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https://fortisont.sharepoint.com/sites/CNPI2022COSIRs/Settlement IRs/"/>
    </mc:Choice>
  </mc:AlternateContent>
  <xr:revisionPtr revIDLastSave="2" documentId="13_ncr:1_{F23A4C25-6CA6-4298-99B0-8AB6E9639E00}" xr6:coauthVersionLast="47" xr6:coauthVersionMax="47" xr10:uidLastSave="{53307A88-9FB5-494E-AAF1-410FFB34B708}"/>
  <bookViews>
    <workbookView xWindow="-19310" yWindow="-110" windowWidth="19420" windowHeight="10420" tabRatio="779" firstSheet="5" activeTab="9" xr2:uid="{00000000-000D-0000-FFFF-FFFF00000000}"/>
  </bookViews>
  <sheets>
    <sheet name="Input - Customer Data" sheetId="16" r:id="rId1"/>
    <sheet name="Input - Adjustments &amp; Variables" sheetId="19" r:id="rId2"/>
    <sheet name="Input - CDM" sheetId="41" r:id="rId3"/>
    <sheet name="Input" sheetId="2" r:id="rId4"/>
    <sheet name="Output" sheetId="3" r:id="rId5"/>
    <sheet name="Forecast" sheetId="7" r:id="rId6"/>
    <sheet name="DW" sheetId="10" state="hidden" r:id="rId7"/>
    <sheet name="Bridge&amp;Test Year Class Forecast" sheetId="21" r:id="rId8"/>
    <sheet name="CDM Adjustment" sheetId="24" r:id="rId9"/>
    <sheet name="Final LF " sheetId="32" r:id="rId10"/>
    <sheet name="Regression" sheetId="4" state="veryHidden" r:id="rId11"/>
    <sheet name="Main" sheetId="5" state="veryHidden" r:id="rId12"/>
  </sheets>
  <externalReferences>
    <externalReference r:id="rId13"/>
    <externalReference r:id="rId14"/>
    <externalReference r:id="rId15"/>
    <externalReference r:id="rId16"/>
  </externalReferences>
  <definedNames>
    <definedName name="CASENUMBER" localSheetId="2">'[1]1. LDC Info'!$E$14</definedName>
    <definedName name="CASENUMBER">'[2]1. LDC Info'!$E$14</definedName>
    <definedName name="dwL">DW!$A$1:$U$101</definedName>
    <definedName name="dwU">DW!$W$1:$AQ$101</definedName>
    <definedName name="EBNUMBER" localSheetId="2">'[1]LDC Info'!$E$16</definedName>
    <definedName name="EBNUMBER">'[3]LDC Info'!$E$16</definedName>
    <definedName name="keyflag">Input!$R$1</definedName>
    <definedName name="_xlnm.Print_Area" localSheetId="6">DW!$A$1:$AQ$101</definedName>
    <definedName name="_xlnm.Print_Area" localSheetId="9">'Final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2">'[1]LDC Info'!$E$28</definedName>
    <definedName name="RebaseYear">'[4]LDC Info'!$E$28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2" l="1"/>
  <c r="E147" i="7"/>
  <c r="E146" i="7"/>
  <c r="G143" i="7"/>
  <c r="G136" i="7"/>
  <c r="G135" i="7"/>
  <c r="G147" i="7" s="1"/>
  <c r="E135" i="7"/>
  <c r="D135" i="7"/>
  <c r="D147" i="7" s="1"/>
  <c r="G134" i="7"/>
  <c r="G146" i="7" s="1"/>
  <c r="E134" i="7"/>
  <c r="D134" i="7"/>
  <c r="D146" i="7" s="1"/>
  <c r="G133" i="7"/>
  <c r="G145" i="7" s="1"/>
  <c r="E133" i="7"/>
  <c r="E145" i="7" s="1"/>
  <c r="D133" i="7"/>
  <c r="C133" i="7" s="1"/>
  <c r="G132" i="7"/>
  <c r="G144" i="7" s="1"/>
  <c r="E132" i="7"/>
  <c r="E144" i="7" s="1"/>
  <c r="D132" i="7"/>
  <c r="D144" i="7" s="1"/>
  <c r="G131" i="7"/>
  <c r="E131" i="7"/>
  <c r="E143" i="7" s="1"/>
  <c r="D131" i="7"/>
  <c r="D143" i="7" s="1"/>
  <c r="G130" i="7"/>
  <c r="G142" i="7" s="1"/>
  <c r="E130" i="7"/>
  <c r="E142" i="7" s="1"/>
  <c r="D130" i="7"/>
  <c r="D142" i="7" s="1"/>
  <c r="G129" i="7"/>
  <c r="G141" i="7" s="1"/>
  <c r="E129" i="7"/>
  <c r="E141" i="7" s="1"/>
  <c r="D129" i="7"/>
  <c r="G128" i="7"/>
  <c r="E128" i="7"/>
  <c r="E140" i="7" s="1"/>
  <c r="D128" i="7"/>
  <c r="D140" i="7" s="1"/>
  <c r="G127" i="7"/>
  <c r="G139" i="7" s="1"/>
  <c r="E127" i="7"/>
  <c r="E139" i="7" s="1"/>
  <c r="D127" i="7"/>
  <c r="D139" i="7" s="1"/>
  <c r="G126" i="7"/>
  <c r="G138" i="7" s="1"/>
  <c r="E126" i="7"/>
  <c r="E138" i="7" s="1"/>
  <c r="D126" i="7"/>
  <c r="D138" i="7" s="1"/>
  <c r="G125" i="7"/>
  <c r="G137" i="7" s="1"/>
  <c r="E125" i="7"/>
  <c r="E137" i="7" s="1"/>
  <c r="D125" i="7"/>
  <c r="C125" i="7" s="1"/>
  <c r="G124" i="7"/>
  <c r="E124" i="7"/>
  <c r="E136" i="7" s="1"/>
  <c r="D124" i="7"/>
  <c r="D136" i="7" s="1"/>
  <c r="C136" i="7" s="1"/>
  <c r="C132" i="7"/>
  <c r="C124" i="7"/>
  <c r="C135" i="7" l="1"/>
  <c r="C127" i="7"/>
  <c r="C143" i="7"/>
  <c r="C128" i="7"/>
  <c r="C129" i="7"/>
  <c r="D141" i="7"/>
  <c r="C144" i="7"/>
  <c r="C138" i="7"/>
  <c r="C146" i="7"/>
  <c r="C141" i="7"/>
  <c r="C142" i="7"/>
  <c r="C139" i="7"/>
  <c r="C147" i="7"/>
  <c r="C130" i="7"/>
  <c r="C131" i="7"/>
  <c r="D137" i="7"/>
  <c r="C137" i="7" s="1"/>
  <c r="D145" i="7"/>
  <c r="C145" i="7" s="1"/>
  <c r="C126" i="7"/>
  <c r="C134" i="7"/>
  <c r="G140" i="7"/>
  <c r="C140" i="7" s="1"/>
  <c r="C123" i="7" l="1"/>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D124" i="19" l="1"/>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D14" i="32" l="1"/>
  <c r="D7" i="32"/>
  <c r="D4" i="32"/>
  <c r="E4" i="32"/>
  <c r="F4" i="32"/>
  <c r="G4" i="32"/>
  <c r="H4" i="32"/>
  <c r="I4" i="32"/>
  <c r="D101" i="16"/>
  <c r="L100" i="16" l="1"/>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48" i="16" s="1"/>
  <c r="H64"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G48" i="16" l="1"/>
  <c r="G64" i="16" s="1"/>
  <c r="K100" i="16"/>
  <c r="C5" i="21"/>
  <c r="C7" i="21"/>
  <c r="C9" i="21"/>
  <c r="C11" i="21"/>
  <c r="C13" i="21"/>
  <c r="D48" i="16"/>
  <c r="F48" i="16"/>
  <c r="F64" i="16" s="1"/>
  <c r="J100" i="16"/>
  <c r="M48" i="16"/>
  <c r="M64" i="16" s="1"/>
  <c r="E48" i="16"/>
  <c r="E64" i="16" s="1"/>
  <c r="I100" i="16"/>
  <c r="H100" i="16"/>
  <c r="D64" i="16"/>
  <c r="C6" i="21"/>
  <c r="C8" i="21"/>
  <c r="C10" i="21"/>
  <c r="C12" i="21"/>
  <c r="C14" i="21"/>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c r="D40" i="41"/>
  <c r="E40" i="41" s="1"/>
  <c r="F40" i="41" s="1"/>
  <c r="F33" i="41"/>
  <c r="D33" i="41"/>
  <c r="E33" i="41" s="1"/>
  <c r="D29" i="41"/>
  <c r="E29" i="41" s="1"/>
  <c r="F29" i="41" s="1"/>
  <c r="D34" i="41"/>
  <c r="E34" i="41" s="1"/>
  <c r="F34" i="41" s="1"/>
  <c r="K40" i="41" l="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C55" i="41" l="1"/>
  <c r="G54" i="41"/>
  <c r="G14" i="32"/>
  <c r="F14" i="32"/>
  <c r="E14" i="32"/>
  <c r="M14" i="21"/>
  <c r="M13" i="21"/>
  <c r="M12" i="21"/>
  <c r="M11" i="21"/>
  <c r="M10" i="21"/>
  <c r="M9" i="21"/>
  <c r="M8" i="21"/>
  <c r="M7" i="21"/>
  <c r="M6" i="21"/>
  <c r="M5" i="21"/>
  <c r="B68" i="21"/>
  <c r="B67" i="21"/>
  <c r="B66" i="21"/>
  <c r="B65" i="21"/>
  <c r="B64" i="21"/>
  <c r="B63" i="21"/>
  <c r="L7" i="21" s="1"/>
  <c r="B62" i="21"/>
  <c r="B61" i="21"/>
  <c r="C41" i="32"/>
  <c r="C43" i="32"/>
  <c r="C44" i="32"/>
  <c r="G36" i="24"/>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P99" i="21" s="1"/>
  <c r="N98" i="21"/>
  <c r="P98" i="21" s="1"/>
  <c r="N97" i="21"/>
  <c r="P97" i="21" s="1"/>
  <c r="N96" i="21"/>
  <c r="P96" i="21" s="1"/>
  <c r="N95" i="21"/>
  <c r="N94" i="21"/>
  <c r="P94" i="21" s="1"/>
  <c r="N93" i="21"/>
  <c r="P93" i="21" s="1"/>
  <c r="N92" i="21"/>
  <c r="P92" i="21" s="1"/>
  <c r="N91" i="21"/>
  <c r="P91" i="21" s="1"/>
  <c r="L100" i="21"/>
  <c r="L99" i="21"/>
  <c r="Q99" i="21" s="1"/>
  <c r="L98" i="21"/>
  <c r="L97" i="21"/>
  <c r="L96" i="21"/>
  <c r="L95" i="21"/>
  <c r="Q95" i="21" s="1"/>
  <c r="L94" i="21"/>
  <c r="O94" i="21" s="1"/>
  <c r="L93" i="21"/>
  <c r="L92" i="21"/>
  <c r="L91" i="21"/>
  <c r="N79" i="21"/>
  <c r="N78" i="21"/>
  <c r="N77" i="21"/>
  <c r="N76" i="21"/>
  <c r="N75" i="21"/>
  <c r="N74" i="21"/>
  <c r="O74" i="21" s="1"/>
  <c r="N73" i="21"/>
  <c r="N72" i="21"/>
  <c r="N71" i="21"/>
  <c r="N70" i="21"/>
  <c r="M79" i="21"/>
  <c r="M78" i="21"/>
  <c r="M77" i="21"/>
  <c r="M76" i="21"/>
  <c r="M75" i="21"/>
  <c r="M74" i="21"/>
  <c r="M73" i="21"/>
  <c r="M72" i="21"/>
  <c r="M71" i="21"/>
  <c r="M70" i="21"/>
  <c r="L79" i="21"/>
  <c r="L78" i="21"/>
  <c r="L77" i="21"/>
  <c r="L76" i="21"/>
  <c r="L75" i="21"/>
  <c r="L74" i="21"/>
  <c r="L73" i="21"/>
  <c r="L72" i="21"/>
  <c r="L71" i="21"/>
  <c r="L70" i="21"/>
  <c r="N57" i="21"/>
  <c r="N56" i="21"/>
  <c r="N55" i="21"/>
  <c r="N54" i="21"/>
  <c r="N53" i="21"/>
  <c r="N52" i="21"/>
  <c r="N51" i="21"/>
  <c r="N50" i="21"/>
  <c r="N49" i="21"/>
  <c r="N48" i="21"/>
  <c r="M48" i="21"/>
  <c r="M49" i="21"/>
  <c r="M50" i="21"/>
  <c r="M51" i="21"/>
  <c r="M52" i="21"/>
  <c r="M53" i="21"/>
  <c r="M54" i="21"/>
  <c r="M55" i="21"/>
  <c r="M56" i="21"/>
  <c r="M57" i="21"/>
  <c r="L57" i="21"/>
  <c r="L56" i="21"/>
  <c r="L55" i="21"/>
  <c r="L54" i="21"/>
  <c r="L53" i="21"/>
  <c r="L52" i="21"/>
  <c r="L51" i="21"/>
  <c r="L50" i="21"/>
  <c r="L49" i="21"/>
  <c r="L48" i="21"/>
  <c r="M36" i="21"/>
  <c r="M35" i="21"/>
  <c r="M34" i="21"/>
  <c r="M33" i="21"/>
  <c r="M32" i="21"/>
  <c r="M31" i="21"/>
  <c r="M30" i="21"/>
  <c r="M29" i="21"/>
  <c r="M28" i="21"/>
  <c r="M27" i="21"/>
  <c r="K25" i="21"/>
  <c r="K39" i="21"/>
  <c r="B98" i="21"/>
  <c r="B97" i="21"/>
  <c r="B96" i="21"/>
  <c r="B95" i="21"/>
  <c r="B94" i="21"/>
  <c r="B93" i="21"/>
  <c r="B92" i="21"/>
  <c r="B91" i="21"/>
  <c r="B90" i="21"/>
  <c r="B89" i="21"/>
  <c r="N103" i="21"/>
  <c r="B42" i="21"/>
  <c r="B41" i="21"/>
  <c r="B40" i="21"/>
  <c r="B39" i="21"/>
  <c r="B38" i="21"/>
  <c r="B37" i="21"/>
  <c r="B36" i="21"/>
  <c r="B35" i="21"/>
  <c r="B34" i="21"/>
  <c r="B33" i="21"/>
  <c r="B14" i="21"/>
  <c r="B13" i="21"/>
  <c r="B12" i="21"/>
  <c r="B11" i="21"/>
  <c r="B10" i="21"/>
  <c r="B9" i="21"/>
  <c r="B8" i="21"/>
  <c r="B7" i="21"/>
  <c r="B6" i="21"/>
  <c r="B5" i="21"/>
  <c r="Q15" i="16"/>
  <c r="G36" i="32" s="1"/>
  <c r="Q14" i="16"/>
  <c r="Q13" i="16"/>
  <c r="Q12" i="16"/>
  <c r="Q11" i="16"/>
  <c r="Q10" i="16"/>
  <c r="Q9" i="16"/>
  <c r="Q8" i="16"/>
  <c r="Q7" i="16"/>
  <c r="Q6" i="16"/>
  <c r="O15" i="16"/>
  <c r="P15" i="16" s="1"/>
  <c r="O14" i="16"/>
  <c r="P14" i="16" s="1"/>
  <c r="O13" i="16"/>
  <c r="O12" i="16"/>
  <c r="O11" i="16"/>
  <c r="O10" i="16"/>
  <c r="O9" i="16"/>
  <c r="O8" i="16"/>
  <c r="O7" i="16"/>
  <c r="O6" i="16"/>
  <c r="M15" i="16"/>
  <c r="M14" i="16"/>
  <c r="M13" i="16"/>
  <c r="M12" i="16"/>
  <c r="M11" i="16"/>
  <c r="M10" i="16"/>
  <c r="M9" i="16"/>
  <c r="M8" i="16"/>
  <c r="M7" i="16"/>
  <c r="M6" i="16"/>
  <c r="K15" i="16"/>
  <c r="K14" i="16"/>
  <c r="K13" i="16"/>
  <c r="L13" i="16" s="1"/>
  <c r="K12" i="16"/>
  <c r="K11" i="16"/>
  <c r="K10" i="16"/>
  <c r="K9" i="16"/>
  <c r="K8" i="16"/>
  <c r="K7" i="16"/>
  <c r="K6" i="16"/>
  <c r="I15" i="16"/>
  <c r="J15" i="16" s="1"/>
  <c r="J17" i="16" s="1"/>
  <c r="I19" i="16" s="1"/>
  <c r="I24" i="16" s="1"/>
  <c r="I14" i="16"/>
  <c r="I13" i="16"/>
  <c r="I12" i="16"/>
  <c r="J12" i="16" s="1"/>
  <c r="I11" i="16"/>
  <c r="I10" i="16"/>
  <c r="I9" i="16"/>
  <c r="I8" i="16"/>
  <c r="I7" i="16"/>
  <c r="I6" i="16"/>
  <c r="G15" i="16"/>
  <c r="H15" i="16" s="1"/>
  <c r="G14" i="16"/>
  <c r="H14" i="16" s="1"/>
  <c r="G13" i="16"/>
  <c r="G12" i="16"/>
  <c r="G11" i="16"/>
  <c r="G10" i="16"/>
  <c r="G9" i="16"/>
  <c r="G8" i="16"/>
  <c r="G7" i="16"/>
  <c r="G6" i="16"/>
  <c r="E15" i="16"/>
  <c r="E14" i="16"/>
  <c r="E13" i="16"/>
  <c r="E12" i="16"/>
  <c r="E11" i="16"/>
  <c r="E10" i="16"/>
  <c r="E9" i="16"/>
  <c r="E8" i="16"/>
  <c r="E7"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I18" i="24"/>
  <c r="I17" i="24"/>
  <c r="I16" i="24"/>
  <c r="E38" i="24"/>
  <c r="G38" i="24" s="1"/>
  <c r="I19" i="24"/>
  <c r="I20" i="24"/>
  <c r="F22" i="24"/>
  <c r="G22" i="24"/>
  <c r="H22" i="24"/>
  <c r="C32" i="24"/>
  <c r="D32" i="24"/>
  <c r="E32" i="24"/>
  <c r="F32" i="24"/>
  <c r="C3" i="3"/>
  <c r="D7" i="16"/>
  <c r="C22" i="24"/>
  <c r="D8" i="16"/>
  <c r="A7" i="21" s="1"/>
  <c r="A63" i="21" s="1"/>
  <c r="D9" i="16"/>
  <c r="D10" i="16"/>
  <c r="K9" i="21" s="1"/>
  <c r="D11" i="16"/>
  <c r="D12" i="16"/>
  <c r="A11" i="21" s="1"/>
  <c r="D13" i="16"/>
  <c r="D14" i="16"/>
  <c r="D15" i="16"/>
  <c r="D6" i="16"/>
  <c r="B21" i="24"/>
  <c r="B20" i="24"/>
  <c r="B19" i="24"/>
  <c r="B18" i="24"/>
  <c r="B17" i="24"/>
  <c r="C38" i="24"/>
  <c r="B16" i="24"/>
  <c r="A3" i="21"/>
  <c r="K3" i="21"/>
  <c r="A31" i="21"/>
  <c r="K46" i="21"/>
  <c r="A59" i="21"/>
  <c r="K68" i="21"/>
  <c r="B3" i="7"/>
  <c r="C3" i="7"/>
  <c r="BP2" i="3"/>
  <c r="L3" i="3"/>
  <c r="BP3" i="3"/>
  <c r="G5" i="3"/>
  <c r="C7" i="3"/>
  <c r="I10"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D22" i="24"/>
  <c r="I21" i="24"/>
  <c r="E22" i="24"/>
  <c r="N13" i="16"/>
  <c r="N14" i="16"/>
  <c r="L10" i="21"/>
  <c r="K6" i="21"/>
  <c r="A6" i="21"/>
  <c r="A62" i="21" s="1"/>
  <c r="T11" i="16"/>
  <c r="K14" i="21"/>
  <c r="T13" i="16"/>
  <c r="V13" i="16"/>
  <c r="T8" i="16"/>
  <c r="J10" i="16"/>
  <c r="L8" i="16"/>
  <c r="L14" i="16"/>
  <c r="P13" i="16"/>
  <c r="L15" i="16"/>
  <c r="J9" i="16"/>
  <c r="H13" i="16"/>
  <c r="F7" i="16"/>
  <c r="L10" i="16"/>
  <c r="P77" i="21"/>
  <c r="P11" i="16"/>
  <c r="O75" i="21"/>
  <c r="L7" i="16"/>
  <c r="H12" i="16"/>
  <c r="L6" i="21"/>
  <c r="V12" i="16"/>
  <c r="O100" i="21"/>
  <c r="O92" i="21"/>
  <c r="G6" i="32"/>
  <c r="O50" i="21"/>
  <c r="G25" i="32"/>
  <c r="F25" i="32"/>
  <c r="Q56" i="21"/>
  <c r="G24" i="32"/>
  <c r="L9" i="21"/>
  <c r="F6" i="32"/>
  <c r="C33" i="21"/>
  <c r="C35" i="21"/>
  <c r="B70" i="21"/>
  <c r="B69" i="21"/>
  <c r="A9" i="21" l="1"/>
  <c r="A37" i="21" s="1"/>
  <c r="A93" i="21" s="1"/>
  <c r="O56" i="21"/>
  <c r="Q77" i="21"/>
  <c r="I22" i="24"/>
  <c r="P76" i="21"/>
  <c r="R13" i="16"/>
  <c r="C56" i="41"/>
  <c r="G55" i="41"/>
  <c r="A39" i="21"/>
  <c r="A95" i="21" s="1"/>
  <c r="A67" i="21"/>
  <c r="L9" i="16"/>
  <c r="E20" i="32"/>
  <c r="O97" i="21"/>
  <c r="Q75" i="21"/>
  <c r="F10" i="16"/>
  <c r="L12" i="16"/>
  <c r="Q92" i="21"/>
  <c r="Q52" i="21"/>
  <c r="Q70" i="21"/>
  <c r="O70" i="21"/>
  <c r="P75" i="21"/>
  <c r="R12" i="16"/>
  <c r="K11" i="21"/>
  <c r="K76" i="21" s="1"/>
  <c r="N12" i="16"/>
  <c r="O95" i="21"/>
  <c r="N8" i="16"/>
  <c r="Q100" i="21"/>
  <c r="N9" i="16"/>
  <c r="D8" i="21"/>
  <c r="N7" i="16"/>
  <c r="F9" i="16"/>
  <c r="Q48" i="21"/>
  <c r="H7" i="16"/>
  <c r="P7" i="16"/>
  <c r="A14" i="21"/>
  <c r="A70" i="21" s="1"/>
  <c r="P71" i="21"/>
  <c r="A5" i="21"/>
  <c r="P95" i="21"/>
  <c r="D11" i="21"/>
  <c r="E34" i="32"/>
  <c r="K5" i="21"/>
  <c r="O77" i="21"/>
  <c r="O98" i="21"/>
  <c r="K7" i="21"/>
  <c r="K93" i="21" s="1"/>
  <c r="L31" i="21"/>
  <c r="N31" i="21" s="1"/>
  <c r="Q91" i="21"/>
  <c r="Q73" i="21"/>
  <c r="E25" i="32"/>
  <c r="F11" i="16"/>
  <c r="L8" i="21"/>
  <c r="Q54" i="21"/>
  <c r="F12" i="16"/>
  <c r="P73" i="21"/>
  <c r="K12" i="21"/>
  <c r="K55" i="21" s="1"/>
  <c r="P8" i="16"/>
  <c r="O45" i="16"/>
  <c r="D7" i="21"/>
  <c r="A12" i="21"/>
  <c r="A68" i="21" s="1"/>
  <c r="P74" i="21"/>
  <c r="O6" i="21"/>
  <c r="P105" i="21"/>
  <c r="L13" i="21"/>
  <c r="E11" i="32"/>
  <c r="G21" i="32"/>
  <c r="E26" i="32"/>
  <c r="P56" i="21"/>
  <c r="G30" i="32"/>
  <c r="A33" i="21"/>
  <c r="A89" i="21" s="1"/>
  <c r="A10" i="21"/>
  <c r="F11" i="32"/>
  <c r="F26" i="32"/>
  <c r="P12" i="16"/>
  <c r="L32" i="21"/>
  <c r="F20" i="32"/>
  <c r="K27" i="21"/>
  <c r="K91" i="21"/>
  <c r="K48" i="21"/>
  <c r="K70" i="21"/>
  <c r="K36" i="21"/>
  <c r="K100" i="21"/>
  <c r="K57" i="21"/>
  <c r="K79" i="21"/>
  <c r="G11" i="32"/>
  <c r="N15" i="16"/>
  <c r="D31" i="32"/>
  <c r="L27" i="21"/>
  <c r="L33" i="21"/>
  <c r="G20" i="32"/>
  <c r="G42" i="32" s="1"/>
  <c r="O55" i="21"/>
  <c r="E29" i="32"/>
  <c r="Q98" i="21"/>
  <c r="Q105" i="21" s="1"/>
  <c r="K50" i="21"/>
  <c r="K72" i="21"/>
  <c r="K29" i="21"/>
  <c r="D16" i="32"/>
  <c r="E31" i="32"/>
  <c r="R11" i="16"/>
  <c r="D10" i="32"/>
  <c r="L28" i="21"/>
  <c r="F24" i="32"/>
  <c r="F29" i="32"/>
  <c r="Q74" i="21"/>
  <c r="L17" i="16"/>
  <c r="K19" i="16" s="1"/>
  <c r="K31" i="21"/>
  <c r="K95" i="21"/>
  <c r="K74" i="21"/>
  <c r="K52" i="21"/>
  <c r="K80" i="21"/>
  <c r="K37" i="21"/>
  <c r="K101" i="21"/>
  <c r="K58" i="21"/>
  <c r="A8" i="21"/>
  <c r="L11" i="16"/>
  <c r="F31" i="32"/>
  <c r="D36" i="32"/>
  <c r="E10" i="32"/>
  <c r="L34" i="21"/>
  <c r="N34" i="21" s="1"/>
  <c r="P51" i="21"/>
  <c r="G29" i="32"/>
  <c r="F34" i="32"/>
  <c r="L11" i="21"/>
  <c r="O11" i="21"/>
  <c r="K92" i="21"/>
  <c r="K49" i="21"/>
  <c r="K28" i="21"/>
  <c r="K71" i="21"/>
  <c r="H11" i="16"/>
  <c r="H17" i="16" s="1"/>
  <c r="J7" i="16"/>
  <c r="F16" i="32"/>
  <c r="D21" i="32"/>
  <c r="G31" i="32"/>
  <c r="F10" i="32"/>
  <c r="L29" i="21"/>
  <c r="N29" i="21" s="1"/>
  <c r="L35" i="21"/>
  <c r="N35" i="21" s="1"/>
  <c r="P57" i="21"/>
  <c r="P70" i="21"/>
  <c r="D30" i="32"/>
  <c r="G34" i="32"/>
  <c r="L12" i="21"/>
  <c r="O12" i="21"/>
  <c r="K13" i="21"/>
  <c r="F14" i="16"/>
  <c r="G16" i="32"/>
  <c r="E21" i="32"/>
  <c r="R14" i="16"/>
  <c r="D6" i="32"/>
  <c r="G10" i="32"/>
  <c r="L36" i="21"/>
  <c r="O73" i="21"/>
  <c r="E30" i="32"/>
  <c r="L5" i="21"/>
  <c r="F15" i="16"/>
  <c r="D11" i="32"/>
  <c r="J8" i="16"/>
  <c r="F21" i="32"/>
  <c r="D26" i="32"/>
  <c r="R15" i="16"/>
  <c r="E6" i="32"/>
  <c r="L30" i="21"/>
  <c r="N30" i="21" s="1"/>
  <c r="D20" i="32"/>
  <c r="F30" i="32"/>
  <c r="D5" i="21"/>
  <c r="P72" i="21"/>
  <c r="U24" i="16"/>
  <c r="V24" i="16" s="1"/>
  <c r="Q79" i="21"/>
  <c r="O14" i="21"/>
  <c r="O79" i="21"/>
  <c r="O57" i="21"/>
  <c r="O61" i="21" s="1"/>
  <c r="D34" i="32"/>
  <c r="Q71" i="21"/>
  <c r="O78" i="21"/>
  <c r="O71" i="21"/>
  <c r="Q72" i="21"/>
  <c r="O72" i="21"/>
  <c r="D29" i="32"/>
  <c r="Q78" i="21"/>
  <c r="P55" i="21"/>
  <c r="P48" i="21"/>
  <c r="Q51" i="21"/>
  <c r="D25" i="32"/>
  <c r="O5" i="21"/>
  <c r="P6" i="21"/>
  <c r="O13" i="21"/>
  <c r="O10" i="21"/>
  <c r="P10" i="21" s="1"/>
  <c r="O9" i="21"/>
  <c r="P9" i="21" s="1"/>
  <c r="O48" i="21"/>
  <c r="D24" i="32"/>
  <c r="O51" i="21"/>
  <c r="N27" i="21"/>
  <c r="N33" i="21"/>
  <c r="N32" i="21"/>
  <c r="D33" i="21"/>
  <c r="O93" i="21"/>
  <c r="E36" i="32"/>
  <c r="P79" i="21"/>
  <c r="G26" i="32"/>
  <c r="J11" i="16"/>
  <c r="D43" i="32"/>
  <c r="H10" i="16"/>
  <c r="F13" i="16"/>
  <c r="O61" i="16"/>
  <c r="C91" i="21"/>
  <c r="D91" i="21" s="1"/>
  <c r="D35" i="21"/>
  <c r="A66" i="21"/>
  <c r="A38" i="21"/>
  <c r="A94" i="21" s="1"/>
  <c r="A64" i="21"/>
  <c r="A36" i="21"/>
  <c r="A92" i="21" s="1"/>
  <c r="A45" i="21"/>
  <c r="A73" i="21"/>
  <c r="A65" i="21"/>
  <c r="K16" i="21"/>
  <c r="A34" i="21"/>
  <c r="A90" i="21" s="1"/>
  <c r="K17" i="21"/>
  <c r="K82" i="21" s="1"/>
  <c r="A16" i="21"/>
  <c r="A27" i="21" s="1"/>
  <c r="A83" i="21" s="1"/>
  <c r="K10" i="21"/>
  <c r="F10" i="24"/>
  <c r="G10" i="24"/>
  <c r="H9" i="24"/>
  <c r="D8" i="24"/>
  <c r="D14" i="24" s="1"/>
  <c r="G12" i="24"/>
  <c r="I12" i="24" s="1"/>
  <c r="F11" i="24"/>
  <c r="I11" i="24" s="1"/>
  <c r="F9" i="24"/>
  <c r="H8" i="24"/>
  <c r="H14" i="24" s="1"/>
  <c r="H11" i="24"/>
  <c r="E10" i="24"/>
  <c r="I10" i="24" s="1"/>
  <c r="H12" i="24"/>
  <c r="F8" i="24"/>
  <c r="F14" i="24" s="1"/>
  <c r="G9" i="24"/>
  <c r="C8" i="24"/>
  <c r="G8" i="24"/>
  <c r="G14" i="24" s="1"/>
  <c r="H10" i="24"/>
  <c r="H13" i="24"/>
  <c r="I13" i="24" s="1"/>
  <c r="E9" i="24"/>
  <c r="D9" i="24"/>
  <c r="I9" i="24" s="1"/>
  <c r="G11" i="24"/>
  <c r="E8" i="24"/>
  <c r="E14" i="24" s="1"/>
  <c r="K20" i="16"/>
  <c r="D14" i="21"/>
  <c r="C42" i="21"/>
  <c r="C41" i="21"/>
  <c r="D13" i="21"/>
  <c r="C63" i="21"/>
  <c r="D63" i="21" s="1"/>
  <c r="A15" i="21"/>
  <c r="A26" i="21" s="1"/>
  <c r="A82" i="21" s="1"/>
  <c r="O76" i="21"/>
  <c r="A35" i="21"/>
  <c r="A91" i="21" s="1"/>
  <c r="R10" i="16"/>
  <c r="O96" i="21"/>
  <c r="Q96" i="21"/>
  <c r="C38" i="21"/>
  <c r="E17" i="21"/>
  <c r="P10" i="16"/>
  <c r="Q55" i="21"/>
  <c r="E24" i="32"/>
  <c r="C89" i="21"/>
  <c r="D89" i="21" s="1"/>
  <c r="A61" i="21"/>
  <c r="T9" i="16"/>
  <c r="N10" i="16"/>
  <c r="N11" i="16"/>
  <c r="O54" i="21"/>
  <c r="P54" i="21"/>
  <c r="C39" i="21"/>
  <c r="K8" i="21"/>
  <c r="F8" i="16"/>
  <c r="R9" i="16"/>
  <c r="Q50" i="21"/>
  <c r="P50" i="21"/>
  <c r="V10" i="16"/>
  <c r="V9" i="16"/>
  <c r="L14" i="21"/>
  <c r="P14" i="21" s="1"/>
  <c r="C36" i="21"/>
  <c r="P9" i="16"/>
  <c r="O49" i="21"/>
  <c r="N36" i="21"/>
  <c r="H9" i="16"/>
  <c r="H8" i="16"/>
  <c r="G19" i="16" s="1"/>
  <c r="C61" i="21"/>
  <c r="D61" i="21" s="1"/>
  <c r="V25" i="16"/>
  <c r="E16" i="32"/>
  <c r="J13" i="16"/>
  <c r="M103" i="21"/>
  <c r="Q76" i="21"/>
  <c r="A13" i="21"/>
  <c r="P61" i="21"/>
  <c r="R8" i="16"/>
  <c r="Q94" i="21"/>
  <c r="P53" i="21"/>
  <c r="P78" i="21"/>
  <c r="P83" i="21" s="1"/>
  <c r="O8" i="21"/>
  <c r="Q93" i="21"/>
  <c r="O7" i="21"/>
  <c r="P7" i="21" s="1"/>
  <c r="J14" i="16"/>
  <c r="Q49" i="21"/>
  <c r="Q97" i="21"/>
  <c r="F36" i="32"/>
  <c r="S19" i="16"/>
  <c r="R7" i="16"/>
  <c r="P49" i="21"/>
  <c r="O52" i="21"/>
  <c r="Q57" i="21"/>
  <c r="Q53" i="21"/>
  <c r="O91" i="21"/>
  <c r="O99" i="21"/>
  <c r="O105" i="21" s="1"/>
  <c r="L103" i="21" s="1"/>
  <c r="O103" i="21" s="1"/>
  <c r="N28" i="21"/>
  <c r="O53" i="21"/>
  <c r="P52" i="21"/>
  <c r="P5" i="21" l="1"/>
  <c r="P12" i="21"/>
  <c r="K98" i="21"/>
  <c r="G56" i="41"/>
  <c r="E56" i="41"/>
  <c r="G25" i="41" s="1"/>
  <c r="H25" i="41" s="1"/>
  <c r="C57" i="41" s="1"/>
  <c r="D56" i="41"/>
  <c r="L24" i="41" s="1"/>
  <c r="M24" i="41" s="1"/>
  <c r="K34" i="21"/>
  <c r="F42" i="32"/>
  <c r="K77" i="21"/>
  <c r="E42" i="32"/>
  <c r="D42" i="32"/>
  <c r="K97" i="21"/>
  <c r="F43" i="32"/>
  <c r="O83" i="21"/>
  <c r="K33" i="21"/>
  <c r="K54" i="21"/>
  <c r="P8" i="21"/>
  <c r="A42" i="21"/>
  <c r="A98" i="21" s="1"/>
  <c r="P17" i="16"/>
  <c r="O19" i="16" s="1"/>
  <c r="O20" i="16" s="1"/>
  <c r="O25" i="16" s="1"/>
  <c r="K24" i="16"/>
  <c r="H21" i="32" s="1"/>
  <c r="F17" i="16"/>
  <c r="Q83" i="21"/>
  <c r="G43" i="32"/>
  <c r="N41" i="21"/>
  <c r="P11" i="21"/>
  <c r="A40" i="21"/>
  <c r="A96" i="21" s="1"/>
  <c r="G44" i="32"/>
  <c r="K102" i="21"/>
  <c r="K59" i="21"/>
  <c r="K81" i="21"/>
  <c r="K38" i="21"/>
  <c r="K103" i="21" s="1"/>
  <c r="F44" i="32"/>
  <c r="E19" i="16"/>
  <c r="E20" i="16" s="1"/>
  <c r="E25" i="16" s="1"/>
  <c r="K56" i="21"/>
  <c r="K35" i="21"/>
  <c r="K99" i="21"/>
  <c r="K78" i="21"/>
  <c r="E44" i="32"/>
  <c r="N17" i="16"/>
  <c r="M19" i="16" s="1"/>
  <c r="K96" i="21"/>
  <c r="K75" i="21"/>
  <c r="K32" i="21"/>
  <c r="K53" i="21"/>
  <c r="E43" i="32"/>
  <c r="D44" i="32"/>
  <c r="K94" i="21"/>
  <c r="K51" i="21"/>
  <c r="K30" i="21"/>
  <c r="K73" i="21"/>
  <c r="P13" i="21"/>
  <c r="P19" i="21" s="1"/>
  <c r="M39" i="21" s="1"/>
  <c r="N39" i="21" s="1"/>
  <c r="A72" i="21"/>
  <c r="A44" i="21"/>
  <c r="M20" i="16"/>
  <c r="M24" i="16"/>
  <c r="G20" i="16"/>
  <c r="G25" i="16" s="1"/>
  <c r="G24" i="16"/>
  <c r="H16" i="32"/>
  <c r="I20" i="16"/>
  <c r="I25" i="16" s="1"/>
  <c r="R17" i="16"/>
  <c r="Q19" i="16" s="1"/>
  <c r="D42" i="21"/>
  <c r="C98" i="21"/>
  <c r="D98" i="21" s="1"/>
  <c r="C70" i="21"/>
  <c r="D70" i="21" s="1"/>
  <c r="S20" i="16"/>
  <c r="S25" i="16" s="1"/>
  <c r="S24" i="16"/>
  <c r="T24" i="16" s="1"/>
  <c r="C66" i="21"/>
  <c r="D66" i="21" s="1"/>
  <c r="C94" i="21"/>
  <c r="D94" i="21" s="1"/>
  <c r="D38" i="21"/>
  <c r="D41" i="21"/>
  <c r="C69" i="21"/>
  <c r="D69" i="21" s="1"/>
  <c r="C97" i="21"/>
  <c r="D97" i="21" s="1"/>
  <c r="I8" i="24"/>
  <c r="C14" i="24"/>
  <c r="I14" i="24" s="1"/>
  <c r="Q61" i="21"/>
  <c r="D10" i="21"/>
  <c r="A69" i="21"/>
  <c r="A41" i="21"/>
  <c r="A97" i="21" s="1"/>
  <c r="C40" i="21"/>
  <c r="D12" i="21"/>
  <c r="K25" i="16"/>
  <c r="C95" i="21"/>
  <c r="D95" i="21" s="1"/>
  <c r="C67" i="21"/>
  <c r="D67" i="21" s="1"/>
  <c r="D39" i="21"/>
  <c r="C34" i="21"/>
  <c r="D6" i="21"/>
  <c r="P103" i="21"/>
  <c r="Q103" i="21"/>
  <c r="C92" i="21"/>
  <c r="D92" i="21" s="1"/>
  <c r="C64" i="21"/>
  <c r="D64" i="21" s="1"/>
  <c r="D36" i="21"/>
  <c r="C37" i="21"/>
  <c r="D9" i="21"/>
  <c r="A43" i="21"/>
  <c r="A71" i="21"/>
  <c r="E45" i="21"/>
  <c r="L24" i="16" l="1"/>
  <c r="H45" i="41"/>
  <c r="C58" i="41"/>
  <c r="E24" i="16"/>
  <c r="F24" i="16" s="1"/>
  <c r="O24" i="16"/>
  <c r="H31" i="32" s="1"/>
  <c r="A99" i="21"/>
  <c r="A110" i="21" s="1"/>
  <c r="A54" i="21"/>
  <c r="A100" i="21"/>
  <c r="A111" i="21" s="1"/>
  <c r="A55" i="21"/>
  <c r="B110" i="21"/>
  <c r="J24" i="16"/>
  <c r="B82" i="21"/>
  <c r="I16" i="32"/>
  <c r="B83" i="21"/>
  <c r="J25" i="16"/>
  <c r="L25" i="16"/>
  <c r="I21" i="32"/>
  <c r="H24" i="16"/>
  <c r="B54" i="21"/>
  <c r="H11" i="32"/>
  <c r="T25" i="16"/>
  <c r="I11" i="32"/>
  <c r="B55" i="21"/>
  <c r="H25" i="16"/>
  <c r="H7" i="32"/>
  <c r="B26" i="21"/>
  <c r="C65" i="21"/>
  <c r="D65" i="21" s="1"/>
  <c r="D37" i="21"/>
  <c r="C93" i="21"/>
  <c r="D93" i="21" s="1"/>
  <c r="I31" i="32"/>
  <c r="N81" i="21"/>
  <c r="L81" i="21" s="1"/>
  <c r="M81" i="21" s="1"/>
  <c r="N82" i="21"/>
  <c r="P25" i="16"/>
  <c r="N101" i="21"/>
  <c r="Q20" i="16"/>
  <c r="Q24" i="16"/>
  <c r="D40" i="21"/>
  <c r="D43" i="21" s="1"/>
  <c r="C96" i="21"/>
  <c r="D96" i="21" s="1"/>
  <c r="C68" i="21"/>
  <c r="D68" i="21" s="1"/>
  <c r="C62" i="21"/>
  <c r="D62" i="21" s="1"/>
  <c r="C90" i="21"/>
  <c r="D90" i="21" s="1"/>
  <c r="D34" i="21"/>
  <c r="H26" i="32"/>
  <c r="N24" i="16"/>
  <c r="N58" i="21"/>
  <c r="L58" i="21" s="1"/>
  <c r="M58" i="21" s="1"/>
  <c r="B27" i="21"/>
  <c r="I7" i="32"/>
  <c r="D15" i="21"/>
  <c r="P24" i="16"/>
  <c r="M25" i="16"/>
  <c r="E101" i="21"/>
  <c r="E73" i="21"/>
  <c r="N80" i="21" l="1"/>
  <c r="L80" i="21" s="1"/>
  <c r="M80" i="21" s="1"/>
  <c r="C59" i="41"/>
  <c r="H46" i="41"/>
  <c r="F25" i="16"/>
  <c r="D99" i="21"/>
  <c r="D100" i="21" s="1"/>
  <c r="I43" i="32"/>
  <c r="L82" i="21"/>
  <c r="O82" i="21" s="1"/>
  <c r="M82" i="21"/>
  <c r="D16" i="21"/>
  <c r="H29" i="32"/>
  <c r="O80" i="21"/>
  <c r="O81" i="21"/>
  <c r="I29" i="32"/>
  <c r="D44" i="21"/>
  <c r="D45" i="21" s="1"/>
  <c r="F45" i="21" s="1"/>
  <c r="G45" i="21" s="1"/>
  <c r="N102" i="21"/>
  <c r="Q25" i="16"/>
  <c r="L101" i="21"/>
  <c r="P101" i="21"/>
  <c r="N25" i="16"/>
  <c r="N59" i="21"/>
  <c r="L59" i="21" s="1"/>
  <c r="M59" i="21" s="1"/>
  <c r="I26" i="32"/>
  <c r="R24" i="16"/>
  <c r="H36" i="32"/>
  <c r="H24" i="32"/>
  <c r="O58" i="21"/>
  <c r="D71" i="21"/>
  <c r="Q58" i="21"/>
  <c r="H25" i="32"/>
  <c r="P58" i="21"/>
  <c r="H30" i="32"/>
  <c r="P80" i="21"/>
  <c r="Q80" i="21"/>
  <c r="H43" i="32"/>
  <c r="C60" i="41" l="1"/>
  <c r="H47" i="41"/>
  <c r="H44" i="32"/>
  <c r="R25" i="16"/>
  <c r="I36" i="32"/>
  <c r="L102" i="21"/>
  <c r="P102" i="21"/>
  <c r="D17" i="21"/>
  <c r="F17" i="21" s="1"/>
  <c r="G17" i="21" s="1"/>
  <c r="D72" i="21"/>
  <c r="I30" i="32"/>
  <c r="Q81" i="21"/>
  <c r="P81" i="21"/>
  <c r="I25" i="32"/>
  <c r="Q59" i="21"/>
  <c r="P59" i="21"/>
  <c r="O59" i="21"/>
  <c r="I24" i="32"/>
  <c r="P82" i="21"/>
  <c r="Q82" i="21"/>
  <c r="Q101" i="21"/>
  <c r="H34" i="32"/>
  <c r="O101" i="21"/>
  <c r="C61" i="41" l="1"/>
  <c r="H48" i="41"/>
  <c r="I44" i="32"/>
  <c r="I34" i="32"/>
  <c r="O102" i="21"/>
  <c r="Q102" i="21"/>
  <c r="D101" i="21"/>
  <c r="D73" i="21"/>
  <c r="C62" i="41" l="1"/>
  <c r="H49" i="41"/>
  <c r="F101" i="21"/>
  <c r="F73" i="21"/>
  <c r="C63" i="41" l="1"/>
  <c r="H50" i="41"/>
  <c r="L17" i="21"/>
  <c r="O17" i="21" s="1"/>
  <c r="P17" i="21" s="1"/>
  <c r="G73" i="21"/>
  <c r="G101" i="21"/>
  <c r="C64" i="41" l="1"/>
  <c r="H51" i="41"/>
  <c r="C65" i="41" l="1"/>
  <c r="H52" i="41"/>
  <c r="C66" i="41" l="1"/>
  <c r="H53" i="41"/>
  <c r="C67" i="41" l="1"/>
  <c r="H54" i="41"/>
  <c r="C68" i="41" l="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I56" i="41" l="1"/>
  <c r="C81" i="41"/>
  <c r="E80" i="41"/>
  <c r="G27" i="41" s="1"/>
  <c r="H27" i="41" s="1"/>
  <c r="D80" i="41"/>
  <c r="L26" i="41" s="1"/>
  <c r="M26" i="41" s="1"/>
  <c r="J45" i="41" l="1"/>
  <c r="C82" i="41"/>
  <c r="C83" i="41" l="1"/>
  <c r="J46" i="41"/>
  <c r="C84" i="41" l="1"/>
  <c r="J47" i="41"/>
  <c r="C85" i="41" l="1"/>
  <c r="J48" i="41"/>
  <c r="C86" i="41" l="1"/>
  <c r="J49" i="41"/>
  <c r="C87" i="41" l="1"/>
  <c r="J50" i="41"/>
  <c r="C88" i="41" l="1"/>
  <c r="J51" i="41"/>
  <c r="C89" i="41" l="1"/>
  <c r="J52" i="41"/>
  <c r="C90" i="41" l="1"/>
  <c r="J53" i="41"/>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M4" i="7" l="1"/>
  <c r="L45" i="41"/>
  <c r="C106" i="41"/>
  <c r="C107" i="41" l="1"/>
  <c r="M5" i="7"/>
  <c r="L46" i="41"/>
  <c r="C108" i="41" l="1"/>
  <c r="M6" i="7"/>
  <c r="L47" i="41"/>
  <c r="C109" i="41" l="1"/>
  <c r="M7" i="7"/>
  <c r="L48" i="41"/>
  <c r="C110" i="41" l="1"/>
  <c r="M8" i="7"/>
  <c r="L49" i="41"/>
  <c r="C111" i="41" l="1"/>
  <c r="M9" i="7"/>
  <c r="L50" i="41"/>
  <c r="C112" i="41" l="1"/>
  <c r="M10" i="7"/>
  <c r="L51" i="41"/>
  <c r="C113" i="41" l="1"/>
  <c r="M11" i="7"/>
  <c r="L52" i="41"/>
  <c r="C114" i="41" l="1"/>
  <c r="M12" i="7"/>
  <c r="L53" i="41"/>
  <c r="C115" i="41" l="1"/>
  <c r="M13" i="7"/>
  <c r="L54" i="41"/>
  <c r="C116" i="41" l="1"/>
  <c r="M14" i="7"/>
  <c r="L55" i="41"/>
  <c r="M15" i="7" l="1"/>
  <c r="E5" i="21" s="1"/>
  <c r="L56" i="41"/>
  <c r="E116" i="41"/>
  <c r="G30" i="41" s="1"/>
  <c r="H30" i="41" s="1"/>
  <c r="C117" i="41" s="1"/>
  <c r="D116" i="41"/>
  <c r="L29" i="41" s="1"/>
  <c r="M29" i="41" s="1"/>
  <c r="M16" i="7" l="1"/>
  <c r="M45" i="41"/>
  <c r="C118" i="41"/>
  <c r="E33" i="21"/>
  <c r="F5" i="21"/>
  <c r="G5" i="21" s="1"/>
  <c r="E61" i="21" l="1"/>
  <c r="F61" i="21" s="1"/>
  <c r="G61" i="21" s="1"/>
  <c r="F33" i="21"/>
  <c r="G33" i="21" s="1"/>
  <c r="E89" i="21"/>
  <c r="F89" i="21" s="1"/>
  <c r="G89" i="21" s="1"/>
  <c r="C119" i="41"/>
  <c r="M17" i="7"/>
  <c r="M46" i="41"/>
  <c r="C120" i="41" l="1"/>
  <c r="M18" i="7"/>
  <c r="M47" i="41"/>
  <c r="C121" i="41" l="1"/>
  <c r="M19" i="7"/>
  <c r="M48" i="41"/>
  <c r="C122" i="41" l="1"/>
  <c r="M20" i="7"/>
  <c r="M49" i="41"/>
  <c r="C123" i="41" l="1"/>
  <c r="M21" i="7"/>
  <c r="M50" i="41"/>
  <c r="C124" i="41" l="1"/>
  <c r="M22" i="7"/>
  <c r="M51" i="41"/>
  <c r="C125" i="41" l="1"/>
  <c r="M23" i="7"/>
  <c r="M52" i="41"/>
  <c r="C126" i="41" l="1"/>
  <c r="M24" i="7"/>
  <c r="M53" i="41"/>
  <c r="C127" i="41" l="1"/>
  <c r="M25" i="7"/>
  <c r="M54" i="41"/>
  <c r="C128" i="41" l="1"/>
  <c r="M26" i="7"/>
  <c r="M55" i="41"/>
  <c r="D128" i="41" l="1"/>
  <c r="L30" i="41" s="1"/>
  <c r="M30" i="41" s="1"/>
  <c r="M27" i="7"/>
  <c r="E6" i="21" s="1"/>
  <c r="M56" i="41"/>
  <c r="E128" i="41"/>
  <c r="G31" i="41" s="1"/>
  <c r="H31" i="41" s="1"/>
  <c r="C129" i="41"/>
  <c r="M28" i="7" l="1"/>
  <c r="N45" i="41"/>
  <c r="C130" i="41"/>
  <c r="E34" i="21"/>
  <c r="F6" i="21"/>
  <c r="G6" i="21" s="1"/>
  <c r="E62" i="21" l="1"/>
  <c r="F62" i="21" s="1"/>
  <c r="G62" i="21" s="1"/>
  <c r="E90" i="21"/>
  <c r="F90" i="21" s="1"/>
  <c r="G90" i="21" s="1"/>
  <c r="F34" i="21"/>
  <c r="G34" i="21" s="1"/>
  <c r="C131" i="41"/>
  <c r="M29" i="7"/>
  <c r="N46" i="41"/>
  <c r="C132" i="41" l="1"/>
  <c r="M30" i="7"/>
  <c r="N47" i="41"/>
  <c r="C133" i="41" l="1"/>
  <c r="M31" i="7"/>
  <c r="N48" i="41"/>
  <c r="C134" i="41" l="1"/>
  <c r="M32" i="7"/>
  <c r="N49" i="41"/>
  <c r="C135" i="41" l="1"/>
  <c r="M33" i="7"/>
  <c r="N50" i="41"/>
  <c r="C136" i="41" l="1"/>
  <c r="M34" i="7"/>
  <c r="N51" i="41"/>
  <c r="C137" i="41" l="1"/>
  <c r="M35" i="7"/>
  <c r="N52" i="41"/>
  <c r="C138" i="41" l="1"/>
  <c r="M36" i="7"/>
  <c r="N53" i="41"/>
  <c r="C139" i="41" l="1"/>
  <c r="M37" i="7"/>
  <c r="N54" i="41"/>
  <c r="C140" i="41" l="1"/>
  <c r="M38" i="7"/>
  <c r="N55" i="41"/>
  <c r="M39" i="7" l="1"/>
  <c r="E7" i="21" s="1"/>
  <c r="N56" i="41"/>
  <c r="E140" i="41"/>
  <c r="G32" i="41" s="1"/>
  <c r="H32" i="41" s="1"/>
  <c r="C141" i="41" s="1"/>
  <c r="D140" i="41"/>
  <c r="L31" i="41" s="1"/>
  <c r="M31" i="41" s="1"/>
  <c r="M40" i="7" l="1"/>
  <c r="G59" i="41"/>
  <c r="C142" i="41"/>
  <c r="E35" i="21"/>
  <c r="F7" i="21"/>
  <c r="G7" i="21" s="1"/>
  <c r="E63" i="21" l="1"/>
  <c r="F63" i="21" s="1"/>
  <c r="G63" i="21" s="1"/>
  <c r="F35" i="21"/>
  <c r="G35" i="21" s="1"/>
  <c r="E91" i="21"/>
  <c r="F91" i="21" s="1"/>
  <c r="G91" i="21" s="1"/>
  <c r="C143" i="41"/>
  <c r="M41" i="7"/>
  <c r="G60" i="41"/>
  <c r="C144" i="41" l="1"/>
  <c r="M42" i="7"/>
  <c r="G61" i="41"/>
  <c r="C145" i="41" l="1"/>
  <c r="M43" i="7"/>
  <c r="G62" i="41"/>
  <c r="C146" i="41" l="1"/>
  <c r="M44" i="7"/>
  <c r="G63" i="41"/>
  <c r="C147" i="41" l="1"/>
  <c r="M45" i="7"/>
  <c r="G64" i="41"/>
  <c r="C148" i="41" l="1"/>
  <c r="M46" i="7"/>
  <c r="G65" i="41"/>
  <c r="C149" i="41" l="1"/>
  <c r="M47" i="7"/>
  <c r="G66" i="41"/>
  <c r="C150" i="41" l="1"/>
  <c r="M48" i="7"/>
  <c r="G67" i="41"/>
  <c r="C151" i="41" l="1"/>
  <c r="M49" i="7"/>
  <c r="G68" i="41"/>
  <c r="C152" i="41" l="1"/>
  <c r="M50" i="7"/>
  <c r="G69" i="41"/>
  <c r="M51" i="7" l="1"/>
  <c r="E8" i="21" s="1"/>
  <c r="G70" i="41"/>
  <c r="E152" i="41"/>
  <c r="G33" i="41" s="1"/>
  <c r="H33" i="41" s="1"/>
  <c r="C153" i="41" s="1"/>
  <c r="D152" i="41"/>
  <c r="L32" i="41" s="1"/>
  <c r="M32" i="41" s="1"/>
  <c r="M52" i="7" l="1"/>
  <c r="H59" i="41"/>
  <c r="C154" i="41"/>
  <c r="F8" i="21"/>
  <c r="G8" i="21" s="1"/>
  <c r="E36" i="21"/>
  <c r="E64" i="21" l="1"/>
  <c r="F64" i="21" s="1"/>
  <c r="G64" i="21" s="1"/>
  <c r="E92" i="21"/>
  <c r="F92" i="21" s="1"/>
  <c r="G92" i="21" s="1"/>
  <c r="F36" i="21"/>
  <c r="G36" i="21" s="1"/>
  <c r="C155" i="41"/>
  <c r="M53" i="7"/>
  <c r="H60" i="41"/>
  <c r="C156" i="41" l="1"/>
  <c r="M54" i="7"/>
  <c r="H61" i="41"/>
  <c r="C157" i="41" l="1"/>
  <c r="M55" i="7"/>
  <c r="H62" i="41"/>
  <c r="C158" i="41" l="1"/>
  <c r="M56" i="7"/>
  <c r="H63" i="41"/>
  <c r="C159" i="41" l="1"/>
  <c r="M57" i="7"/>
  <c r="H64" i="41"/>
  <c r="C160" i="41" l="1"/>
  <c r="M58" i="7"/>
  <c r="H65" i="41"/>
  <c r="C161" i="41" l="1"/>
  <c r="M59" i="7"/>
  <c r="H66" i="41"/>
  <c r="C162" i="41" l="1"/>
  <c r="M60" i="7"/>
  <c r="H67" i="41"/>
  <c r="C163" i="41" l="1"/>
  <c r="M61" i="7"/>
  <c r="H68" i="41"/>
  <c r="C164" i="41" l="1"/>
  <c r="M62" i="7"/>
  <c r="H69" i="41"/>
  <c r="M63" i="7" l="1"/>
  <c r="E9" i="21" s="1"/>
  <c r="H70" i="41"/>
  <c r="E164" i="41"/>
  <c r="G34" i="41" s="1"/>
  <c r="H34" i="41" s="1"/>
  <c r="C165" i="41" s="1"/>
  <c r="D164" i="41"/>
  <c r="L33" i="41" s="1"/>
  <c r="M33" i="41" s="1"/>
  <c r="M64" i="7" l="1"/>
  <c r="I59" i="41"/>
  <c r="C166" i="41"/>
  <c r="E37" i="21"/>
  <c r="F9" i="21"/>
  <c r="G9" i="21" s="1"/>
  <c r="E65" i="21" l="1"/>
  <c r="F65" i="21" s="1"/>
  <c r="G65" i="21" s="1"/>
  <c r="E93" i="21"/>
  <c r="F93" i="21" s="1"/>
  <c r="G93" i="21" s="1"/>
  <c r="F37" i="21"/>
  <c r="G37" i="21" s="1"/>
  <c r="C167" i="41"/>
  <c r="M65" i="7"/>
  <c r="I60" i="41"/>
  <c r="C168" i="41" l="1"/>
  <c r="M66" i="7"/>
  <c r="I61" i="41"/>
  <c r="C169" i="41" l="1"/>
  <c r="M67" i="7"/>
  <c r="I62" i="41"/>
  <c r="C170" i="41" l="1"/>
  <c r="M68" i="7"/>
  <c r="I63" i="41"/>
  <c r="C171" i="41" l="1"/>
  <c r="M69" i="7"/>
  <c r="I64" i="41"/>
  <c r="C172" i="41" l="1"/>
  <c r="M70" i="7"/>
  <c r="I65" i="41"/>
  <c r="C173" i="41" l="1"/>
  <c r="M71" i="7"/>
  <c r="I66" i="41"/>
  <c r="C174" i="41" l="1"/>
  <c r="M72" i="7"/>
  <c r="I67" i="41"/>
  <c r="C175" i="41" l="1"/>
  <c r="M73" i="7"/>
  <c r="I68" i="41"/>
  <c r="C176" i="41" l="1"/>
  <c r="M74" i="7"/>
  <c r="I69" i="41"/>
  <c r="M75" i="7" l="1"/>
  <c r="E10" i="21" s="1"/>
  <c r="I70" i="41"/>
  <c r="E176" i="41"/>
  <c r="G35" i="41" s="1"/>
  <c r="H35" i="41" s="1"/>
  <c r="C177" i="41" s="1"/>
  <c r="D176" i="41"/>
  <c r="L34" i="41" s="1"/>
  <c r="M34" i="41" s="1"/>
  <c r="M76" i="7" l="1"/>
  <c r="J59" i="41"/>
  <c r="C178" i="41"/>
  <c r="E38" i="21"/>
  <c r="F10" i="21"/>
  <c r="G10" i="21" s="1"/>
  <c r="C179" i="41" l="1"/>
  <c r="M77" i="7"/>
  <c r="J60" i="41"/>
  <c r="F38" i="21"/>
  <c r="G38" i="21" s="1"/>
  <c r="E66" i="21"/>
  <c r="F66" i="21" s="1"/>
  <c r="G66" i="21" s="1"/>
  <c r="E94" i="21"/>
  <c r="F94" i="21" s="1"/>
  <c r="G94" i="21" s="1"/>
  <c r="C180" i="41" l="1"/>
  <c r="M78" i="7"/>
  <c r="J61" i="41"/>
  <c r="C181" i="41" l="1"/>
  <c r="M79" i="7"/>
  <c r="J62" i="41"/>
  <c r="C182" i="41" l="1"/>
  <c r="M80" i="7"/>
  <c r="J63" i="41"/>
  <c r="C183" i="41" l="1"/>
  <c r="M81" i="7"/>
  <c r="J64" i="41"/>
  <c r="C184" i="41" l="1"/>
  <c r="M82" i="7"/>
  <c r="J65" i="41"/>
  <c r="C185" i="41" l="1"/>
  <c r="M83" i="7"/>
  <c r="J66" i="41"/>
  <c r="C186" i="41" l="1"/>
  <c r="M84" i="7"/>
  <c r="J67" i="41"/>
  <c r="C187" i="41" l="1"/>
  <c r="M85" i="7"/>
  <c r="J68" i="41"/>
  <c r="C188" i="41" l="1"/>
  <c r="M86" i="7"/>
  <c r="J69" i="41"/>
  <c r="M87" i="7" l="1"/>
  <c r="E11" i="21" s="1"/>
  <c r="J70" i="41"/>
  <c r="E188" i="41"/>
  <c r="G36" i="41" s="1"/>
  <c r="H36" i="41" s="1"/>
  <c r="C189" i="41" s="1"/>
  <c r="D188" i="41"/>
  <c r="L35" i="41" s="1"/>
  <c r="M35" i="41" s="1"/>
  <c r="M88" i="7" l="1"/>
  <c r="K59" i="41"/>
  <c r="C190" i="41"/>
  <c r="E39" i="21"/>
  <c r="F11" i="21"/>
  <c r="G11" i="21" s="1"/>
  <c r="C191" i="41" l="1"/>
  <c r="M89" i="7"/>
  <c r="K60" i="41"/>
  <c r="E67" i="21"/>
  <c r="F67" i="21" s="1"/>
  <c r="G67" i="21" s="1"/>
  <c r="F39" i="21"/>
  <c r="G39" i="21" s="1"/>
  <c r="E95" i="21"/>
  <c r="F95" i="21" s="1"/>
  <c r="G95" i="21" l="1"/>
  <c r="D19" i="32"/>
  <c r="D41" i="32" s="1"/>
  <c r="C192" i="41"/>
  <c r="M90" i="7"/>
  <c r="K61" i="41"/>
  <c r="C193" i="41" l="1"/>
  <c r="M91" i="7"/>
  <c r="K62" i="41"/>
  <c r="C194" i="41" l="1"/>
  <c r="M92" i="7"/>
  <c r="K63" i="41"/>
  <c r="C195" i="41" l="1"/>
  <c r="M93" i="7"/>
  <c r="K64" i="41"/>
  <c r="C196" i="41" l="1"/>
  <c r="M94" i="7"/>
  <c r="K65" i="41"/>
  <c r="C197" i="41" l="1"/>
  <c r="M95" i="7"/>
  <c r="K66" i="41"/>
  <c r="C198" i="41" l="1"/>
  <c r="M96" i="7"/>
  <c r="K67" i="41"/>
  <c r="C199" i="41" l="1"/>
  <c r="M97" i="7"/>
  <c r="K68" i="41"/>
  <c r="C200" i="41" l="1"/>
  <c r="M98" i="7"/>
  <c r="K69" i="41"/>
  <c r="M99" i="7" l="1"/>
  <c r="E12" i="21" s="1"/>
  <c r="K70" i="41"/>
  <c r="E200" i="41"/>
  <c r="G37" i="41" s="1"/>
  <c r="H37" i="41" s="1"/>
  <c r="C201" i="41" s="1"/>
  <c r="D200" i="41"/>
  <c r="L36" i="41" s="1"/>
  <c r="M36" i="41" s="1"/>
  <c r="E40" i="21" l="1"/>
  <c r="F12" i="21"/>
  <c r="G12" i="21" s="1"/>
  <c r="M100" i="7"/>
  <c r="L59" i="41"/>
  <c r="C202" i="41"/>
  <c r="C203" i="41" l="1"/>
  <c r="M101" i="7"/>
  <c r="L60" i="41"/>
  <c r="E68" i="21"/>
  <c r="F68" i="21" s="1"/>
  <c r="G68" i="21" s="1"/>
  <c r="E96" i="21"/>
  <c r="F96" i="21" s="1"/>
  <c r="F40" i="21"/>
  <c r="G40" i="21" s="1"/>
  <c r="E19" i="32" l="1"/>
  <c r="E41" i="32" s="1"/>
  <c r="G96" i="21"/>
  <c r="C204" i="41"/>
  <c r="M102" i="7"/>
  <c r="L61" i="41"/>
  <c r="C205" i="41" l="1"/>
  <c r="M103" i="7"/>
  <c r="L62" i="41"/>
  <c r="C206" i="41" l="1"/>
  <c r="M104" i="7"/>
  <c r="L63" i="41"/>
  <c r="C207" i="41" l="1"/>
  <c r="M105" i="7"/>
  <c r="L64" i="41"/>
  <c r="C208" i="41" l="1"/>
  <c r="M106" i="7"/>
  <c r="L65" i="41"/>
  <c r="C209" i="41" l="1"/>
  <c r="M107" i="7"/>
  <c r="L66" i="41"/>
  <c r="C210" i="41" l="1"/>
  <c r="M108" i="7"/>
  <c r="L67" i="41"/>
  <c r="C211" i="41" l="1"/>
  <c r="M109" i="7"/>
  <c r="L68" i="41"/>
  <c r="C212" i="41" l="1"/>
  <c r="M110" i="7"/>
  <c r="L69" i="41"/>
  <c r="M111" i="7" l="1"/>
  <c r="E13" i="21" s="1"/>
  <c r="L70" i="41"/>
  <c r="E212" i="41"/>
  <c r="G38" i="41" s="1"/>
  <c r="H38" i="41" s="1"/>
  <c r="C213" i="41" s="1"/>
  <c r="D212" i="41"/>
  <c r="L37" i="41" s="1"/>
  <c r="M37" i="41" s="1"/>
  <c r="M112" i="7" l="1"/>
  <c r="M59" i="41"/>
  <c r="C214" i="41"/>
  <c r="F13" i="21"/>
  <c r="G13" i="21" s="1"/>
  <c r="E41" i="21"/>
  <c r="E97" i="21" l="1"/>
  <c r="F97" i="21" s="1"/>
  <c r="F41" i="21"/>
  <c r="G41" i="21" s="1"/>
  <c r="E69" i="21"/>
  <c r="F69" i="21" s="1"/>
  <c r="G69" i="21" s="1"/>
  <c r="C215" i="41"/>
  <c r="M113" i="7"/>
  <c r="M60" i="41"/>
  <c r="C216" i="41" l="1"/>
  <c r="M114" i="7"/>
  <c r="M61" i="41"/>
  <c r="G97" i="21"/>
  <c r="F19" i="32"/>
  <c r="F41" i="32" s="1"/>
  <c r="C217" i="41" l="1"/>
  <c r="M115" i="7"/>
  <c r="M62" i="41"/>
  <c r="C218" i="41" l="1"/>
  <c r="M116" i="7"/>
  <c r="M63" i="41"/>
  <c r="C219" i="41" l="1"/>
  <c r="M117" i="7"/>
  <c r="M64" i="41"/>
  <c r="C220" i="41" l="1"/>
  <c r="M118" i="7"/>
  <c r="M65" i="41"/>
  <c r="C221" i="41" l="1"/>
  <c r="M119" i="7"/>
  <c r="M66" i="41"/>
  <c r="C222" i="41" l="1"/>
  <c r="M120" i="7"/>
  <c r="M67" i="41"/>
  <c r="C223" i="41" l="1"/>
  <c r="M121" i="7"/>
  <c r="M68" i="41"/>
  <c r="C224" i="41" l="1"/>
  <c r="M122" i="7"/>
  <c r="M69" i="41"/>
  <c r="M123" i="7" l="1"/>
  <c r="E14" i="21" s="1"/>
  <c r="M70" i="41"/>
  <c r="E224" i="41"/>
  <c r="G39" i="41" s="1"/>
  <c r="H39" i="41" s="1"/>
  <c r="C225" i="41" s="1"/>
  <c r="D224" i="41"/>
  <c r="L38" i="41" s="1"/>
  <c r="M38" i="41" s="1"/>
  <c r="M124" i="7" l="1"/>
  <c r="N59" i="41"/>
  <c r="C226" i="41"/>
  <c r="E42" i="21"/>
  <c r="F14" i="21"/>
  <c r="G14" i="21" s="1"/>
  <c r="E70" i="21" l="1"/>
  <c r="F70" i="21" s="1"/>
  <c r="G70" i="21" s="1"/>
  <c r="E98" i="21"/>
  <c r="F98" i="21" s="1"/>
  <c r="F42" i="21"/>
  <c r="G42" i="21" s="1"/>
  <c r="C227" i="41"/>
  <c r="M125" i="7"/>
  <c r="N60" i="41"/>
  <c r="C228" i="41" l="1"/>
  <c r="M126" i="7"/>
  <c r="N61" i="41"/>
  <c r="G98" i="21"/>
  <c r="G19" i="32"/>
  <c r="G41" i="32" s="1"/>
  <c r="C229" i="41" l="1"/>
  <c r="M127" i="7"/>
  <c r="N62" i="41"/>
  <c r="C230" i="41" l="1"/>
  <c r="M128" i="7"/>
  <c r="N63" i="41"/>
  <c r="C231" i="41" l="1"/>
  <c r="M129" i="7"/>
  <c r="N64" i="41"/>
  <c r="C232" i="41" l="1"/>
  <c r="M130" i="7"/>
  <c r="N65" i="41"/>
  <c r="C233" i="41" l="1"/>
  <c r="M131" i="7"/>
  <c r="N66" i="41"/>
  <c r="C234" i="41" l="1"/>
  <c r="M132" i="7"/>
  <c r="N67" i="41"/>
  <c r="C235" i="41" l="1"/>
  <c r="M133" i="7"/>
  <c r="N68" i="41"/>
  <c r="C236" i="41" l="1"/>
  <c r="M134" i="7"/>
  <c r="N69" i="41"/>
  <c r="M135" i="7" l="1"/>
  <c r="E15" i="21" s="1"/>
  <c r="N70" i="41"/>
  <c r="E236" i="41"/>
  <c r="G40" i="41" s="1"/>
  <c r="H40" i="41" s="1"/>
  <c r="C237" i="41" s="1"/>
  <c r="D236" i="41"/>
  <c r="L39" i="41" s="1"/>
  <c r="M39" i="41" s="1"/>
  <c r="M136" i="7" l="1"/>
  <c r="O59" i="41"/>
  <c r="C238" i="41"/>
  <c r="E43" i="21"/>
  <c r="F15" i="21"/>
  <c r="G15" i="21" s="1"/>
  <c r="C26" i="21" s="1"/>
  <c r="D26" i="21" s="1"/>
  <c r="G26" i="21" s="1"/>
  <c r="H6" i="32" s="1"/>
  <c r="C239" i="41" l="1"/>
  <c r="M137" i="7"/>
  <c r="O60" i="41"/>
  <c r="E71" i="21"/>
  <c r="F43" i="21"/>
  <c r="G43" i="21" l="1"/>
  <c r="C54" i="21" s="1"/>
  <c r="D54" i="21" s="1"/>
  <c r="G54" i="21" s="1"/>
  <c r="H10" i="32" s="1"/>
  <c r="E99" i="21"/>
  <c r="F99" i="21" s="1"/>
  <c r="G99" i="21" s="1"/>
  <c r="C110" i="21" s="1"/>
  <c r="D110" i="21" s="1"/>
  <c r="G110" i="21" s="1"/>
  <c r="F71" i="21"/>
  <c r="G71" i="21" s="1"/>
  <c r="C82" i="21" s="1"/>
  <c r="D82" i="21" s="1"/>
  <c r="G82" i="21" s="1"/>
  <c r="C240" i="41"/>
  <c r="M138" i="7"/>
  <c r="O61" i="41"/>
  <c r="C241" i="41" l="1"/>
  <c r="M139" i="7"/>
  <c r="O62" i="41"/>
  <c r="H19" i="32"/>
  <c r="L37" i="21"/>
  <c r="M37" i="21" s="1"/>
  <c r="L15" i="21"/>
  <c r="O15" i="21" s="1"/>
  <c r="H14" i="32"/>
  <c r="H41" i="32" s="1"/>
  <c r="P15" i="21" l="1"/>
  <c r="M15" i="21"/>
  <c r="H15" i="32" s="1"/>
  <c r="C242" i="41"/>
  <c r="M140" i="7"/>
  <c r="O63" i="41"/>
  <c r="H20" i="32"/>
  <c r="H42" i="32" s="1"/>
  <c r="N37" i="21"/>
  <c r="C243" i="41" l="1"/>
  <c r="M141" i="7"/>
  <c r="O64" i="41"/>
  <c r="C244" i="41" l="1"/>
  <c r="M142" i="7"/>
  <c r="O65" i="41"/>
  <c r="C245" i="41" l="1"/>
  <c r="M143" i="7"/>
  <c r="O66" i="41"/>
  <c r="C246" i="41" l="1"/>
  <c r="M144" i="7"/>
  <c r="O67" i="41"/>
  <c r="C247" i="41" l="1"/>
  <c r="M145" i="7"/>
  <c r="O68" i="41"/>
  <c r="C248" i="41" l="1"/>
  <c r="M146" i="7"/>
  <c r="O69" i="41"/>
  <c r="E248" i="41" l="1"/>
  <c r="M147" i="7"/>
  <c r="E16" i="21" s="1"/>
  <c r="O70" i="41"/>
  <c r="D248" i="41"/>
  <c r="L40" i="41" s="1"/>
  <c r="M40" i="41" s="1"/>
  <c r="E44" i="21" l="1"/>
  <c r="F16" i="21"/>
  <c r="G16" i="21" s="1"/>
  <c r="C27" i="21" s="1"/>
  <c r="D27" i="21" s="1"/>
  <c r="G27" i="21" s="1"/>
  <c r="I6" i="32" s="1"/>
  <c r="E72" i="21" l="1"/>
  <c r="F44" i="21"/>
  <c r="G44" i="21" l="1"/>
  <c r="C55" i="21" s="1"/>
  <c r="D55" i="21" s="1"/>
  <c r="G55" i="21" s="1"/>
  <c r="I10" i="32" s="1"/>
  <c r="E100" i="21"/>
  <c r="F100" i="21" s="1"/>
  <c r="G100" i="21" s="1"/>
  <c r="C111" i="21" s="1"/>
  <c r="D111" i="21" s="1"/>
  <c r="G111" i="21" s="1"/>
  <c r="F72" i="21"/>
  <c r="I19" i="32" l="1"/>
  <c r="L38" i="21"/>
  <c r="M38" i="21" s="1"/>
  <c r="G72" i="21"/>
  <c r="C83" i="21" s="1"/>
  <c r="D83" i="21" s="1"/>
  <c r="G83" i="21" s="1"/>
  <c r="L16" i="21" l="1"/>
  <c r="O16" i="21" s="1"/>
  <c r="I14" i="32"/>
  <c r="I41" i="32" s="1"/>
  <c r="I20" i="32"/>
  <c r="N38" i="21"/>
  <c r="P16" i="21" l="1"/>
  <c r="M16" i="21"/>
  <c r="I15" i="32" s="1"/>
  <c r="I4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<sst xmlns="http://schemas.openxmlformats.org/spreadsheetml/2006/main" count="470" uniqueCount="223">
  <si>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</si>
  <si>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</si>
  <si>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</si>
  <si>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</si>
  <si>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</si>
  <si>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</si>
  <si>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</si>
  <si>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</si>
  <si>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</si>
  <si>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</si>
  <si>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</si>
  <si>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</si>
  <si>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</si>
  <si>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</si>
  <si>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</si>
  <si>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</si>
  <si>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</si>
  <si>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</si>
  <si>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</si>
  <si>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</si>
  <si>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</si>
  <si>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</si>
  <si>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</si>
  <si>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</si>
  <si>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</si>
  <si>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</si>
  <si>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</si>
  <si>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</si>
  <si>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</si>
  <si>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</si>
  <si>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</si>
  <si>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</si>
  <si>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</si>
  <si>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</si>
  <si>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</si>
  <si>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</si>
  <si>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</si>
  <si>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</si>
  <si>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</si>
  <si>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</si>
  <si>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</si>
  <si>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</si>
  <si>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</si>
  <si>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</si>
  <si>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</si>
  <si>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</si>
  <si>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</si>
  <si>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</si>
  <si>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</si>
  <si>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</si>
  <si>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</si>
  <si>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</si>
  <si>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</si>
  <si>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</si>
  <si>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</si>
  <si>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</si>
  <si>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</si>
  <si>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</si>
  <si>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</si>
  <si>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</si>
  <si>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</si>
  <si>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</si>
  <si>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</si>
  <si>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</si>
  <si>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</si>
  <si>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</si>
  <si>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</si>
  <si>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</si>
  <si>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</si>
  <si>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</si>
  <si>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</si>
  <si>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</si>
  <si>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</si>
  <si>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</si>
  <si>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</si>
  <si>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</si>
  <si>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</si>
  <si>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</si>
  <si>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</si>
  <si>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</si>
  <si>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</si>
  <si>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</si>
  <si>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</si>
  <si>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</si>
  <si>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</si>
  <si>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</si>
  <si>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</si>
  <si>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</si>
  <si>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</si>
  <si>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</si>
  <si>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</si>
  <si>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</si>
  <si>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</si>
  <si>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</si>
  <si>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</si>
  <si>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</si>
  <si>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</si>
  <si>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</si>
  <si>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Weather Normal</t>
  </si>
  <si>
    <t>Ratio%</t>
  </si>
  <si>
    <t>Avg</t>
  </si>
  <si>
    <t>kWh per connection</t>
  </si>
  <si>
    <t>Connection</t>
  </si>
  <si>
    <t>KW/kWh Ratio</t>
  </si>
  <si>
    <t>KW per connection</t>
  </si>
  <si>
    <t xml:space="preserve">Default Value selection rationale.  </t>
  </si>
  <si>
    <t>Weight Factor for each year's CDM program impact on 2014 load forecast</t>
  </si>
  <si>
    <t>Total in Year</t>
  </si>
  <si>
    <t>Final Load Forecast Results</t>
  </si>
  <si>
    <t>GS&gt;50</t>
  </si>
  <si>
    <t>Wholesale</t>
  </si>
  <si>
    <t>Adjustements to Wholesale Purchases</t>
  </si>
  <si>
    <t>2015-2020 CDM Program - 2015, first year of the current CDM plan</t>
  </si>
  <si>
    <t>6 Year (2015-2020) kWh Target:</t>
  </si>
  <si>
    <t>%</t>
  </si>
  <si>
    <t>2015 CDM Programs</t>
  </si>
  <si>
    <t>2016 CDM Programs</t>
  </si>
  <si>
    <t>2017 CDM Programs</t>
  </si>
  <si>
    <t>2018 CDM Programs</t>
  </si>
  <si>
    <t>2019 CDM Programs</t>
  </si>
  <si>
    <t>2020 CDM Programs</t>
  </si>
  <si>
    <t>Distributor can select "0", "0.5", or "1" from drop-down list</t>
  </si>
  <si>
    <t>Actual kWh</t>
  </si>
  <si>
    <t>Weather Sensitive</t>
  </si>
  <si>
    <t>Non-Weather Sensitive</t>
  </si>
  <si>
    <t>Origine of variables</t>
  </si>
  <si>
    <t>HDD: Stats Canada</t>
  </si>
  <si>
    <t>CDD :Stats Canada</t>
  </si>
  <si>
    <t>Variance Inflation Factor</t>
  </si>
  <si>
    <t>Residential Actual kWh</t>
  </si>
  <si>
    <t>Residential Weather Normal</t>
  </si>
  <si>
    <t>(F2 to toggle between value and formula)</t>
  </si>
  <si>
    <t>R Squared</t>
  </si>
  <si>
    <t xml:space="preserve">Winter: </t>
  </si>
  <si>
    <t xml:space="preserve">Employment: </t>
  </si>
  <si>
    <t xml:space="preserve">Cust count: </t>
  </si>
  <si>
    <t>USL</t>
  </si>
  <si>
    <t>Positive autocorrelation detected</t>
  </si>
  <si>
    <t xml:space="preserve">Street Lighting </t>
  </si>
  <si>
    <t>Days in month</t>
  </si>
  <si>
    <t>Amount used for CDM threshold for LRAMVA (2012)</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</si>
  <si>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</si>
  <si>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</si>
  <si>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</si>
  <si>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</si>
  <si>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</si>
  <si>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</si>
  <si>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</si>
  <si>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</si>
  <si>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</si>
  <si>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</si>
  <si>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</si>
  <si>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</si>
  <si>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</si>
  <si>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</si>
  <si>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</si>
  <si>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</si>
  <si>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</si>
  <si>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</si>
  <si>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Cells in yelow come from the 2015-2020 CDM plan</t>
  </si>
  <si>
    <t>unverified results</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</si>
  <si>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</si>
  <si>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</si>
  <si>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</si>
  <si>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</si>
  <si>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</si>
  <si>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</si>
  <si>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</si>
  <si>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</si>
  <si>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</si>
  <si>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</si>
  <si>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</si>
  <si>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</si>
  <si>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</si>
  <si>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</si>
  <si>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</si>
  <si>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</si>
  <si>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</si>
  <si>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</si>
  <si>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</si>
  <si>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Weight Factor for Inclusion in CDM Adjustment to the Load Forecast</t>
  </si>
  <si>
    <t>Adjustment to Load Forecast</t>
  </si>
  <si>
    <t>Total for 2021</t>
  </si>
  <si>
    <t>Amount used for CDM threshold for LRAMVA (2021)</t>
  </si>
  <si>
    <t>Manual Adjustment for 2021 Load Forecast (billed basis)</t>
  </si>
  <si>
    <t>CPI Energy</t>
  </si>
  <si>
    <t>CPI All Item Toronto</t>
  </si>
  <si>
    <t>CPI All Items Ontario</t>
  </si>
  <si>
    <t>Adjustments (Add)</t>
  </si>
  <si>
    <t>Adjustments (Subtract)</t>
  </si>
  <si>
    <t>CDM Activity</t>
  </si>
  <si>
    <t>Weather Normal (Less Adjustments)</t>
  </si>
  <si>
    <t>CNPI</t>
  </si>
  <si>
    <t>Load Change due to Cust Count Change</t>
  </si>
  <si>
    <t>Actual kWh (After Normalizing Adjustments)</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</si>
  <si>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</si>
  <si>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</si>
  <si>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</si>
  <si>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</si>
  <si>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</si>
  <si>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</si>
  <si>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</si>
  <si>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</si>
  <si>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</si>
  <si>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</si>
  <si>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</si>
  <si>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</si>
  <si>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</si>
  <si>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</si>
  <si>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</si>
  <si>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</si>
  <si>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</si>
  <si>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</si>
  <si>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</si>
  <si>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t>kW (Before Lg Cust Adjustment)</t>
  </si>
  <si>
    <t>kW (Remve 2 Large Customers)</t>
  </si>
  <si>
    <t xml:space="preserve"> kWh</t>
  </si>
  <si>
    <t>Remove Persisting CDM from Predicted</t>
  </si>
  <si>
    <t>Total Adjusted Wholesale less Persisting CDM</t>
  </si>
  <si>
    <t>Predicted Wholesale less Persisting CDM</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</si>
  <si>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</si>
  <si>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</si>
  <si>
    <t>Standby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</si>
</sst>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44" formatCode="_-&quot;$&quot;* #,##0.00_-;\-&quot;$&quot;* #,##0.00_-;_-&quot;$&quot;* &quot;-&quot;??_-;_-@_-"/>
    <numFmt numFmtId="43" formatCode="_-* #,##0.00_-;\-* #,##0.00_-;_-* &quot;-&quot;??_-;_-@_-"/>
    <numFmt numFmtId="164" formatCode="_(* #,##0.00_);_(* \(#,##0.00\);_(* &quot;-&quot;??_);_(@_)"/>
    <numFmt numFmtId="165" formatCode="0.0000"/>
    <numFmt numFmtId="166" formatCode="#,##0.000"/>
    <numFmt numFmtId="167" formatCode="#,##0.0000"/>
    <numFmt numFmtId="168" formatCode="#,##0.00000"/>
    <numFmt numFmtId="169" formatCode="0.0"/>
    <numFmt numFmtId="170" formatCode="0.000"/>
    <numFmt numFmtId="171" formatCode="_(* #,##0.0_);_(* \(#,##0.0\);_(* &quot;-&quot;??_);_(@_)"/>
    <numFmt numFmtId="172" formatCode="_(* #,##0_);_(* \(#,##0\);_(* &quot;-&quot;??_);_(@_)"/>
    <numFmt numFmtId="173" formatCode="_-&quot;$&quot;* #,##0_-;\-&quot;$&quot;* #,##0_-;_-&quot;$&quot;* &quot;-&quot;??_-;_-@_-"/>
    <numFmt numFmtId="174" formatCode="_-* #,##0_-;\-* #,##0_-;_-* &quot;-&quot;??_-;_-@_-"/>
    <numFmt numFmtId="175" formatCode="#,##0_ ;\-#,##0\ "/>
    <numFmt numFmtId="176" formatCode="_(* #,##0.00_);_(* \(#,##0.00\);_(* \-??_);_(@_)"/>
    <numFmt numFmtId="177" formatCode="#,##0.0000000"/>
    <numFmt numFmtId="178" formatCode="_-* #,##0.000_-;\-* #,##0.000_-;_-* &quot;-&quot;??_-;_-@_-"/>
    <numFmt numFmtId="179" formatCode="#,##0.000000"/>
    <numFmt numFmtId="180" formatCode="#,##0.0"/>
    <numFmt numFmtId="181" formatCode="_(* #,##0.0_);_(* \(#,##0.0\);_(* \-??_);_(@_)"/>
    <numFmt numFmtId="182" formatCode="mm/dd/yyyy"/>
    <numFmt numFmtId="183" formatCode="0\-0"/>
    <numFmt numFmtId="184" formatCode="_-* #,##0.00_-;\-* #,##0.00_-;_-* \-??_-;_-@_-"/>
    <numFmt numFmtId="185" formatCode="_-\$* #,##0.00_-;&quot;-$&quot;* #,##0.00_-;_-\$* \-??_-;_-@_-"/>
    <numFmt numFmtId="186" formatCode="_(\$* #,##0.00_);_(\$* \(#,##0.00\);_(\$* \-??_);_(@_)"/>
    <numFmt numFmtId="187" formatCode="\$#,##0_);&quot;($&quot;#,##0\)"/>
    <numFmt numFmtId="188" formatCode="##\-#"/>
    <numFmt numFmtId="189" formatCode="_(* #,##0_);_(* \(#,##0\);_(* \-??_);_(@_)"/>
    <numFmt numFmtId="190" formatCode="&quot;£ &quot;#,##0.00;[Red]&quot;-£ &quot;#,##0.00"/>
    <numFmt numFmtId="191" formatCode="[$-409]mmmm\ d\,\ yyyy;@"/>
    <numFmt numFmtId="192" formatCode="&quot;£ &quot;#,##0.00;[Red]\-&quot;£ &quot;#,##0.00"/>
  </numFmts>
  <fonts count="194"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0"/>
      <color indexed="8"/>
      <name val="Arial"/>
      <family val="2"/>
    </font>
    <font>
      <b/>
      <sz val="10"/>
      <color indexed="8"/>
      <name val="Arial"/>
      <family val="2"/>
    </font>
    <font>
      <i/>
      <sz val="10"/>
      <color indexed="8"/>
      <name val="Arial"/>
      <family val="2"/>
    </font>
    <font>
      <b/>
      <sz val="12"/>
      <color indexed="51"/>
      <name val="Arial"/>
      <family val="2"/>
    </font>
    <font>
      <b/>
      <sz val="9"/>
      <color indexed="8"/>
      <name val="Arial"/>
      <family val="2"/>
    </font>
    <font>
      <b/>
      <i/>
      <sz val="10"/>
      <color indexed="8"/>
      <name val="Arial"/>
      <family val="2"/>
    </font>
    <font>
      <b/>
      <sz val="10"/>
      <color indexed="9"/>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sz val="11"/>
      <name val="Calibri"/>
      <family val="2"/>
      <scheme val="minor"/>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
      <b/>
      <sz val="8"/>
      <color rgb="FFFF0000"/>
      <name val="Arial"/>
      <family val="2"/>
    </font>
  </fonts>
  <fills count="134">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99">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double">
        <color indexed="64"/>
      </bottom>
      <diagonal/>
    </border>
    <border>
      <left/>
      <right style="double">
        <color indexed="64"/>
      </right>
      <top/>
      <bottom/>
      <diagonal/>
    </border>
    <border>
      <left/>
      <right/>
      <top/>
      <bottom style="double">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54"/>
      </left>
      <right/>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81" fontId="66" fillId="0" borderId="0"/>
    <xf numFmtId="181" fontId="66" fillId="0" borderId="0"/>
    <xf numFmtId="171" fontId="7" fillId="0" borderId="0"/>
    <xf numFmtId="171" fontId="7" fillId="0" borderId="0"/>
    <xf numFmtId="180" fontId="66" fillId="0" borderId="0"/>
    <xf numFmtId="180" fontId="66" fillId="0" borderId="0"/>
    <xf numFmtId="180" fontId="7" fillId="0" borderId="0"/>
    <xf numFmtId="180" fontId="7" fillId="0" borderId="0"/>
    <xf numFmtId="181" fontId="66" fillId="0" borderId="0"/>
    <xf numFmtId="181" fontId="66" fillId="0" borderId="0"/>
    <xf numFmtId="171" fontId="7" fillId="0" borderId="0"/>
    <xf numFmtId="171" fontId="7" fillId="0" borderId="0"/>
    <xf numFmtId="181" fontId="66" fillId="0" borderId="0"/>
    <xf numFmtId="181" fontId="66" fillId="0" borderId="0"/>
    <xf numFmtId="171" fontId="7" fillId="0" borderId="0"/>
    <xf numFmtId="171" fontId="7" fillId="0" borderId="0"/>
    <xf numFmtId="181" fontId="66" fillId="0" borderId="0"/>
    <xf numFmtId="181" fontId="66" fillId="0" borderId="0"/>
    <xf numFmtId="171" fontId="7" fillId="0" borderId="0"/>
    <xf numFmtId="171" fontId="7" fillId="0" borderId="0"/>
    <xf numFmtId="181" fontId="66" fillId="0" borderId="0"/>
    <xf numFmtId="181" fontId="66" fillId="0" borderId="0"/>
    <xf numFmtId="171" fontId="7" fillId="0" borderId="0"/>
    <xf numFmtId="171" fontId="7" fillId="0" borderId="0"/>
    <xf numFmtId="182" fontId="66" fillId="0" borderId="0"/>
    <xf numFmtId="182" fontId="66" fillId="0" borderId="0"/>
    <xf numFmtId="14" fontId="7" fillId="0" borderId="0"/>
    <xf numFmtId="182" fontId="7" fillId="0" borderId="0"/>
    <xf numFmtId="182" fontId="7" fillId="0" borderId="0"/>
    <xf numFmtId="14" fontId="7" fillId="0" borderId="0"/>
    <xf numFmtId="183" fontId="66" fillId="0" borderId="0"/>
    <xf numFmtId="183" fontId="66" fillId="0" borderId="0"/>
    <xf numFmtId="183" fontId="7" fillId="0" borderId="0"/>
    <xf numFmtId="183" fontId="7" fillId="0" borderId="0"/>
    <xf numFmtId="182" fontId="66" fillId="0" borderId="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6" borderId="0" applyNumberFormat="0" applyBorder="0" applyAlignment="0" applyProtection="0"/>
    <xf numFmtId="0" fontId="67" fillId="4" borderId="0" applyNumberFormat="0" applyBorder="0" applyAlignment="0" applyProtection="0"/>
    <xf numFmtId="0" fontId="146" fillId="3"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1" fillId="7" borderId="0" applyNumberFormat="0" applyBorder="0" applyAlignment="0" applyProtection="0"/>
    <xf numFmtId="0" fontId="67"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4"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91" fontId="146" fillId="3" borderId="0" applyNumberFormat="0" applyBorder="0" applyAlignment="0" applyProtection="0"/>
    <xf numFmtId="0" fontId="147" fillId="3" borderId="0" applyNumberFormat="0" applyBorder="0" applyAlignment="0" applyProtection="0"/>
    <xf numFmtId="0" fontId="67"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8"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91" fontId="1" fillId="7"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6" fillId="97" borderId="0" applyNumberFormat="0" applyBorder="0" applyAlignment="0" applyProtection="0"/>
    <xf numFmtId="0" fontId="67" fillId="9" borderId="0" applyNumberFormat="0" applyBorder="0" applyAlignment="0" applyProtection="0"/>
    <xf numFmtId="0" fontId="146" fillId="8" borderId="0" applyNumberFormat="0" applyBorder="0" applyAlignment="0" applyProtection="0"/>
    <xf numFmtId="0" fontId="67" fillId="10" borderId="0" applyNumberFormat="0" applyBorder="0" applyAlignment="0" applyProtection="0"/>
    <xf numFmtId="0" fontId="1" fillId="11" borderId="0" applyNumberFormat="0" applyBorder="0" applyAlignment="0" applyProtection="0"/>
    <xf numFmtId="0" fontId="67"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7"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7"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67" fillId="9"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191" fontId="146" fillId="8" borderId="0" applyNumberFormat="0" applyBorder="0" applyAlignment="0" applyProtection="0"/>
    <xf numFmtId="0" fontId="147" fillId="8" borderId="0" applyNumberFormat="0" applyBorder="0" applyAlignment="0" applyProtection="0"/>
    <xf numFmtId="0" fontId="67"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8"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91" fontId="1" fillId="11"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8"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98" borderId="0" applyNumberFormat="0" applyBorder="0" applyAlignment="0" applyProtection="0"/>
    <xf numFmtId="0" fontId="67" fillId="13" borderId="0" applyNumberFormat="0" applyBorder="0" applyAlignment="0" applyProtection="0"/>
    <xf numFmtId="0" fontId="146" fillId="12"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1" fillId="16" borderId="0" applyNumberFormat="0" applyBorder="0" applyAlignment="0" applyProtection="0"/>
    <xf numFmtId="0" fontId="67"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13"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91" fontId="146" fillId="12" borderId="0" applyNumberFormat="0" applyBorder="0" applyAlignment="0" applyProtection="0"/>
    <xf numFmtId="0" fontId="147" fillId="12" borderId="0" applyNumberFormat="0" applyBorder="0" applyAlignment="0" applyProtection="0"/>
    <xf numFmtId="0" fontId="67"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8"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91" fontId="1" fillId="16"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99" borderId="0" applyNumberFormat="0" applyBorder="0" applyAlignment="0" applyProtection="0"/>
    <xf numFmtId="0" fontId="67" fillId="17" borderId="0" applyNumberFormat="0" applyBorder="0" applyAlignment="0" applyProtection="0"/>
    <xf numFmtId="0" fontId="146" fillId="3"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1" fillId="20" borderId="0" applyNumberFormat="0" applyBorder="0" applyAlignment="0" applyProtection="0"/>
    <xf numFmtId="0" fontId="67"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67" fillId="17"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0" fontId="146" fillId="3" borderId="0" applyNumberFormat="0" applyBorder="0" applyAlignment="0" applyProtection="0"/>
    <xf numFmtId="191" fontId="146" fillId="3" borderId="0" applyNumberFormat="0" applyBorder="0" applyAlignment="0" applyProtection="0"/>
    <xf numFmtId="0" fontId="147" fillId="3"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8"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1" fontId="1" fillId="20"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7" fillId="3" borderId="0" applyNumberFormat="0" applyBorder="0" applyAlignment="0" applyProtection="0"/>
    <xf numFmtId="0" fontId="146"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67" fillId="22" borderId="0" applyNumberFormat="0" applyBorder="0" applyAlignment="0" applyProtection="0"/>
    <xf numFmtId="0" fontId="146" fillId="100" borderId="0" applyNumberFormat="0" applyBorder="0" applyAlignment="0" applyProtection="0"/>
    <xf numFmtId="0" fontId="67" fillId="23" borderId="0" applyNumberFormat="0" applyBorder="0" applyAlignment="0" applyProtection="0"/>
    <xf numFmtId="0" fontId="67" fillId="22" borderId="0" applyNumberFormat="0" applyBorder="0" applyAlignment="0" applyProtection="0"/>
    <xf numFmtId="0" fontId="1" fillId="21" borderId="0" applyNumberFormat="0" applyBorder="0" applyAlignment="0" applyProtection="0"/>
    <xf numFmtId="0" fontId="67"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7"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7"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67" fillId="22"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0" fontId="146" fillId="100" borderId="0" applyNumberFormat="0" applyBorder="0" applyAlignment="0" applyProtection="0"/>
    <xf numFmtId="191" fontId="146" fillId="100" borderId="0" applyNumberFormat="0" applyBorder="0" applyAlignment="0" applyProtection="0"/>
    <xf numFmtId="0" fontId="147" fillId="100" borderId="0" applyNumberFormat="0" applyBorder="0" applyAlignment="0" applyProtection="0"/>
    <xf numFmtId="0" fontId="67"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8"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91" fontId="1" fillId="21"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00"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6" fillId="101" borderId="0" applyNumberFormat="0" applyBorder="0" applyAlignment="0" applyProtection="0"/>
    <xf numFmtId="0" fontId="67" fillId="24" borderId="0" applyNumberFormat="0" applyBorder="0" applyAlignment="0" applyProtection="0"/>
    <xf numFmtId="0" fontId="146" fillId="1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1" fillId="3" borderId="0" applyNumberFormat="0" applyBorder="0" applyAlignment="0" applyProtection="0"/>
    <xf numFmtId="0" fontId="67"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67" fillId="24"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0" fontId="146" fillId="12" borderId="0" applyNumberFormat="0" applyBorder="0" applyAlignment="0" applyProtection="0"/>
    <xf numFmtId="191" fontId="146" fillId="12" borderId="0" applyNumberFormat="0" applyBorder="0" applyAlignment="0" applyProtection="0"/>
    <xf numFmtId="0" fontId="147" fillId="12" borderId="0" applyNumberFormat="0" applyBorder="0" applyAlignment="0" applyProtection="0"/>
    <xf numFmtId="0" fontId="67"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8"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91" fontId="1" fillId="3"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1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2" borderId="0" applyNumberFormat="0" applyBorder="0" applyAlignment="0" applyProtection="0"/>
    <xf numFmtId="0" fontId="67" fillId="6" borderId="0" applyNumberFormat="0" applyBorder="0" applyAlignment="0" applyProtection="0"/>
    <xf numFmtId="0" fontId="146" fillId="27" borderId="0" applyNumberFormat="0" applyBorder="0" applyAlignment="0" applyProtection="0"/>
    <xf numFmtId="0" fontId="67" fillId="28" borderId="0" applyNumberFormat="0" applyBorder="0" applyAlignment="0" applyProtection="0"/>
    <xf numFmtId="0" fontId="1" fillId="2" borderId="0" applyNumberFormat="0" applyBorder="0" applyAlignment="0" applyProtection="0"/>
    <xf numFmtId="0" fontId="67"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6"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91" fontId="146" fillId="27" borderId="0" applyNumberFormat="0" applyBorder="0" applyAlignment="0" applyProtection="0"/>
    <xf numFmtId="0" fontId="147" fillId="27"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8"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1" fontId="1" fillId="2"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67" fillId="10" borderId="0" applyNumberFormat="0" applyBorder="0" applyAlignment="0" applyProtection="0"/>
    <xf numFmtId="0" fontId="146" fillId="103" borderId="0" applyNumberFormat="0" applyBorder="0" applyAlignment="0" applyProtection="0"/>
    <xf numFmtId="0" fontId="67" fillId="29" borderId="0" applyNumberFormat="0" applyBorder="0" applyAlignment="0" applyProtection="0"/>
    <xf numFmtId="0" fontId="1" fillId="8" borderId="0" applyNumberFormat="0" applyBorder="0" applyAlignment="0" applyProtection="0"/>
    <xf numFmtId="0" fontId="67"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7"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7"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67" fillId="10"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0" fontId="146" fillId="103" borderId="0" applyNumberFormat="0" applyBorder="0" applyAlignment="0" applyProtection="0"/>
    <xf numFmtId="191" fontId="146" fillId="103" borderId="0" applyNumberFormat="0" applyBorder="0" applyAlignment="0" applyProtection="0"/>
    <xf numFmtId="0" fontId="147" fillId="103" borderId="0" applyNumberFormat="0" applyBorder="0" applyAlignment="0" applyProtection="0"/>
    <xf numFmtId="0" fontId="67"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8"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91" fontId="1" fillId="8"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103"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4" borderId="0" applyNumberFormat="0" applyBorder="0" applyAlignment="0" applyProtection="0"/>
    <xf numFmtId="0" fontId="67" fillId="31" borderId="0" applyNumberFormat="0" applyBorder="0" applyAlignment="0" applyProtection="0"/>
    <xf numFmtId="0" fontId="146" fillId="30" borderId="0" applyNumberFormat="0" applyBorder="0" applyAlignment="0" applyProtection="0"/>
    <xf numFmtId="0" fontId="67" fillId="32" borderId="0" applyNumberFormat="0" applyBorder="0" applyAlignment="0" applyProtection="0"/>
    <xf numFmtId="0" fontId="67" fillId="33" borderId="0" applyNumberFormat="0" applyBorder="0" applyAlignment="0" applyProtection="0"/>
    <xf numFmtId="0" fontId="1" fillId="34" borderId="0" applyNumberFormat="0" applyBorder="0" applyAlignment="0" applyProtection="0"/>
    <xf numFmtId="0" fontId="67"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91" fontId="146" fillId="30" borderId="0" applyNumberFormat="0" applyBorder="0" applyAlignment="0" applyProtection="0"/>
    <xf numFmtId="0" fontId="147" fillId="30" borderId="0" applyNumberFormat="0" applyBorder="0" applyAlignment="0" applyProtection="0"/>
    <xf numFmtId="0" fontId="67"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8"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91" fontId="1" fillId="34"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6" fillId="105" borderId="0" applyNumberFormat="0" applyBorder="0" applyAlignment="0" applyProtection="0"/>
    <xf numFmtId="0" fontId="67" fillId="35" borderId="0" applyNumberFormat="0" applyBorder="0" applyAlignment="0" applyProtection="0"/>
    <xf numFmtId="0" fontId="146" fillId="27" borderId="0" applyNumberFormat="0" applyBorder="0" applyAlignment="0" applyProtection="0"/>
    <xf numFmtId="0" fontId="67" fillId="19" borderId="0" applyNumberFormat="0" applyBorder="0" applyAlignment="0" applyProtection="0"/>
    <xf numFmtId="0" fontId="1" fillId="20" borderId="0" applyNumberFormat="0" applyBorder="0" applyAlignment="0" applyProtection="0"/>
    <xf numFmtId="0" fontId="67"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67" fillId="35"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191" fontId="146" fillId="27" borderId="0" applyNumberFormat="0" applyBorder="0" applyAlignment="0" applyProtection="0"/>
    <xf numFmtId="0" fontId="147" fillId="27" borderId="0" applyNumberFormat="0" applyBorder="0" applyAlignment="0" applyProtection="0"/>
    <xf numFmtId="0" fontId="67"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8"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1" fontId="1" fillId="20"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27"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67" fillId="36" borderId="0" applyNumberFormat="0" applyBorder="0" applyAlignment="0" applyProtection="0"/>
    <xf numFmtId="0" fontId="146" fillId="106" borderId="0" applyNumberFormat="0" applyBorder="0" applyAlignment="0" applyProtection="0"/>
    <xf numFmtId="0" fontId="67" fillId="28" borderId="0" applyNumberFormat="0" applyBorder="0" applyAlignment="0" applyProtection="0"/>
    <xf numFmtId="0" fontId="1" fillId="2" borderId="0" applyNumberFormat="0" applyBorder="0" applyAlignment="0" applyProtection="0"/>
    <xf numFmtId="0" fontId="67"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7"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7"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67" fillId="3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0" fontId="146" fillId="106" borderId="0" applyNumberFormat="0" applyBorder="0" applyAlignment="0" applyProtection="0"/>
    <xf numFmtId="191" fontId="146" fillId="106" borderId="0" applyNumberFormat="0" applyBorder="0" applyAlignment="0" applyProtection="0"/>
    <xf numFmtId="0" fontId="147" fillId="106" borderId="0" applyNumberFormat="0" applyBorder="0" applyAlignment="0" applyProtection="0"/>
    <xf numFmtId="0" fontId="67"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8"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1" fontId="1" fillId="2"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106"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6" fillId="107" borderId="0" applyNumberFormat="0" applyBorder="0" applyAlignment="0" applyProtection="0"/>
    <xf numFmtId="0" fontId="67" fillId="37" borderId="0" applyNumberFormat="0" applyBorder="0" applyAlignment="0" applyProtection="0"/>
    <xf numFmtId="0" fontId="146" fillId="30" borderId="0" applyNumberFormat="0" applyBorder="0" applyAlignment="0" applyProtection="0"/>
    <xf numFmtId="0" fontId="67" fillId="38" borderId="0" applyNumberFormat="0" applyBorder="0" applyAlignment="0" applyProtection="0"/>
    <xf numFmtId="0" fontId="67" fillId="39" borderId="0" applyNumberFormat="0" applyBorder="0" applyAlignment="0" applyProtection="0"/>
    <xf numFmtId="0" fontId="1" fillId="40" borderId="0" applyNumberFormat="0" applyBorder="0" applyAlignment="0" applyProtection="0"/>
    <xf numFmtId="0" fontId="67"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67" fillId="37"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191" fontId="146" fillId="30" borderId="0" applyNumberFormat="0" applyBorder="0" applyAlignment="0" applyProtection="0"/>
    <xf numFmtId="0" fontId="147" fillId="30" borderId="0" applyNumberFormat="0" applyBorder="0" applyAlignment="0" applyProtection="0"/>
    <xf numFmtId="0" fontId="67"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8"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91" fontId="1" fillId="4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7" fillId="30"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08"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39" fillId="44" borderId="0" applyNumberFormat="0" applyBorder="0" applyAlignment="0" applyProtection="0"/>
    <xf numFmtId="0" fontId="69" fillId="42"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91" fontId="148" fillId="41" borderId="0" applyNumberFormat="0" applyBorder="0" applyAlignment="0" applyProtection="0"/>
    <xf numFmtId="0" fontId="10" fillId="44" borderId="0" applyNumberFormat="0" applyBorder="0" applyAlignment="0" applyProtection="0"/>
    <xf numFmtId="0" fontId="69"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0" fontId="70"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191" fontId="39" fillId="44"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39" fillId="8" borderId="0" applyNumberFormat="0" applyBorder="0" applyAlignment="0" applyProtection="0"/>
    <xf numFmtId="0" fontId="69" fillId="29" borderId="0" applyNumberFormat="0" applyBorder="0" applyAlignment="0" applyProtection="0"/>
    <xf numFmtId="0" fontId="148" fillId="109" borderId="0" applyNumberFormat="0" applyBorder="0" applyAlignment="0" applyProtection="0"/>
    <xf numFmtId="0" fontId="148" fillId="109" borderId="0" applyNumberFormat="0" applyBorder="0" applyAlignment="0" applyProtection="0"/>
    <xf numFmtId="191" fontId="148" fillId="109" borderId="0" applyNumberFormat="0" applyBorder="0" applyAlignment="0" applyProtection="0"/>
    <xf numFmtId="0" fontId="10" fillId="8" borderId="0" applyNumberFormat="0" applyBorder="0" applyAlignment="0" applyProtection="0"/>
    <xf numFmtId="0" fontId="69"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0" fontId="70"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191" fontId="39" fillId="8"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109"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8" fillId="110" borderId="0" applyNumberFormat="0" applyBorder="0" applyAlignment="0" applyProtection="0"/>
    <xf numFmtId="0" fontId="69" fillId="46" borderId="0" applyNumberFormat="0" applyBorder="0" applyAlignment="0" applyProtection="0"/>
    <xf numFmtId="0" fontId="69" fillId="33" borderId="0" applyNumberFormat="0" applyBorder="0" applyAlignment="0" applyProtection="0"/>
    <xf numFmtId="0" fontId="39" fillId="34" borderId="0" applyNumberFormat="0" applyBorder="0" applyAlignment="0" applyProtection="0"/>
    <xf numFmtId="0" fontId="69" fillId="46" borderId="0" applyNumberFormat="0" applyBorder="0" applyAlignment="0" applyProtection="0"/>
    <xf numFmtId="0" fontId="148" fillId="30" borderId="0" applyNumberFormat="0" applyBorder="0" applyAlignment="0" applyProtection="0"/>
    <xf numFmtId="0" fontId="148" fillId="30" borderId="0" applyNumberFormat="0" applyBorder="0" applyAlignment="0" applyProtection="0"/>
    <xf numFmtId="191" fontId="148" fillId="30" borderId="0" applyNumberFormat="0" applyBorder="0" applyAlignment="0" applyProtection="0"/>
    <xf numFmtId="0" fontId="69" fillId="47" borderId="0" applyNumberFormat="0" applyBorder="0" applyAlignment="0" applyProtection="0"/>
    <xf numFmtId="0" fontId="10" fillId="34" borderId="0" applyNumberFormat="0" applyBorder="0" applyAlignment="0" applyProtection="0"/>
    <xf numFmtId="0" fontId="69"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0" fontId="70"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191" fontId="39" fillId="34"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30"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8" fillId="111" borderId="0" applyNumberFormat="0" applyBorder="0" applyAlignment="0" applyProtection="0"/>
    <xf numFmtId="0" fontId="69" fillId="19" borderId="0" applyNumberFormat="0" applyBorder="0" applyAlignment="0" applyProtection="0"/>
    <xf numFmtId="0" fontId="69" fillId="9" borderId="0" applyNumberFormat="0" applyBorder="0" applyAlignment="0" applyProtection="0"/>
    <xf numFmtId="0" fontId="39" fillId="48" borderId="0" applyNumberFormat="0" applyBorder="0" applyAlignment="0" applyProtection="0"/>
    <xf numFmtId="0" fontId="69" fillId="19" borderId="0" applyNumberFormat="0" applyBorder="0" applyAlignment="0" applyProtection="0"/>
    <xf numFmtId="0" fontId="148" fillId="27" borderId="0" applyNumberFormat="0" applyBorder="0" applyAlignment="0" applyProtection="0"/>
    <xf numFmtId="0" fontId="148" fillId="27" borderId="0" applyNumberFormat="0" applyBorder="0" applyAlignment="0" applyProtection="0"/>
    <xf numFmtId="191" fontId="148" fillId="27" borderId="0" applyNumberFormat="0" applyBorder="0" applyAlignment="0" applyProtection="0"/>
    <xf numFmtId="0" fontId="69" fillId="49" borderId="0" applyNumberFormat="0" applyBorder="0" applyAlignment="0" applyProtection="0"/>
    <xf numFmtId="0" fontId="10"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70"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91" fontId="39" fillId="48"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27"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69" fillId="28" borderId="0" applyNumberFormat="0" applyBorder="0" applyAlignment="0" applyProtection="0"/>
    <xf numFmtId="0" fontId="69" fillId="50" borderId="0" applyNumberFormat="0" applyBorder="0" applyAlignment="0" applyProtection="0"/>
    <xf numFmtId="0" fontId="39" fillId="41" borderId="0" applyNumberFormat="0" applyBorder="0" applyAlignment="0" applyProtection="0"/>
    <xf numFmtId="0" fontId="69" fillId="28" borderId="0" applyNumberFormat="0" applyBorder="0" applyAlignment="0" applyProtection="0"/>
    <xf numFmtId="0" fontId="148" fillId="112" borderId="0" applyNumberFormat="0" applyBorder="0" applyAlignment="0" applyProtection="0"/>
    <xf numFmtId="0" fontId="148" fillId="112" borderId="0" applyNumberFormat="0" applyBorder="0" applyAlignment="0" applyProtection="0"/>
    <xf numFmtId="191" fontId="148" fillId="112" borderId="0" applyNumberFormat="0" applyBorder="0" applyAlignment="0" applyProtection="0"/>
    <xf numFmtId="0" fontId="10"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70"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91" fontId="39" fillId="41"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11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8" fillId="113" borderId="0" applyNumberFormat="0" applyBorder="0" applyAlignment="0" applyProtection="0"/>
    <xf numFmtId="0" fontId="69" fillId="39" borderId="0" applyNumberFormat="0" applyBorder="0" applyAlignment="0" applyProtection="0"/>
    <xf numFmtId="0" fontId="69" fillId="51" borderId="0" applyNumberFormat="0" applyBorder="0" applyAlignment="0" applyProtection="0"/>
    <xf numFmtId="0" fontId="39" fillId="52" borderId="0" applyNumberFormat="0" applyBorder="0" applyAlignment="0" applyProtection="0"/>
    <xf numFmtId="0" fontId="69" fillId="39" borderId="0" applyNumberFormat="0" applyBorder="0" applyAlignment="0" applyProtection="0"/>
    <xf numFmtId="0" fontId="148" fillId="8" borderId="0" applyNumberFormat="0" applyBorder="0" applyAlignment="0" applyProtection="0"/>
    <xf numFmtId="0" fontId="148" fillId="8" borderId="0" applyNumberFormat="0" applyBorder="0" applyAlignment="0" applyProtection="0"/>
    <xf numFmtId="191" fontId="148" fillId="8" borderId="0" applyNumberFormat="0" applyBorder="0" applyAlignment="0" applyProtection="0"/>
    <xf numFmtId="0" fontId="10" fillId="52" borderId="0" applyNumberFormat="0" applyBorder="0" applyAlignment="0" applyProtection="0"/>
    <xf numFmtId="0" fontId="69"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0" fontId="70"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191" fontId="39" fillId="52"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8"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8" fillId="114"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39" fillId="55" borderId="0" applyNumberFormat="0" applyBorder="0" applyAlignment="0" applyProtection="0"/>
    <xf numFmtId="0" fontId="69" fillId="56" borderId="0" applyNumberFormat="0" applyBorder="0" applyAlignment="0" applyProtection="0"/>
    <xf numFmtId="0" fontId="148" fillId="41" borderId="0" applyNumberFormat="0" applyBorder="0" applyAlignment="0" applyProtection="0"/>
    <xf numFmtId="0" fontId="148" fillId="41" borderId="0" applyNumberFormat="0" applyBorder="0" applyAlignment="0" applyProtection="0"/>
    <xf numFmtId="191" fontId="148" fillId="41" borderId="0" applyNumberFormat="0" applyBorder="0" applyAlignment="0" applyProtection="0"/>
    <xf numFmtId="0" fontId="69" fillId="57" borderId="0" applyNumberFormat="0" applyBorder="0" applyAlignment="0" applyProtection="0"/>
    <xf numFmtId="0" fontId="10" fillId="55" borderId="0" applyNumberFormat="0" applyBorder="0" applyAlignment="0" applyProtection="0"/>
    <xf numFmtId="0" fontId="69"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0" fontId="70"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191" fontId="39" fillId="55"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41"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69" fillId="59" borderId="0" applyNumberFormat="0" applyBorder="0" applyAlignment="0" applyProtection="0"/>
    <xf numFmtId="0" fontId="69" fillId="60" borderId="0" applyNumberFormat="0" applyBorder="0" applyAlignment="0" applyProtection="0"/>
    <xf numFmtId="0" fontId="39" fillId="58" borderId="0" applyNumberFormat="0" applyBorder="0" applyAlignment="0" applyProtection="0"/>
    <xf numFmtId="0" fontId="69" fillId="59" borderId="0" applyNumberFormat="0" applyBorder="0" applyAlignment="0" applyProtection="0"/>
    <xf numFmtId="0" fontId="148" fillId="115" borderId="0" applyNumberFormat="0" applyBorder="0" applyAlignment="0" applyProtection="0"/>
    <xf numFmtId="0" fontId="148" fillId="115" borderId="0" applyNumberFormat="0" applyBorder="0" applyAlignment="0" applyProtection="0"/>
    <xf numFmtId="191" fontId="148" fillId="115" borderId="0" applyNumberFormat="0" applyBorder="0" applyAlignment="0" applyProtection="0"/>
    <xf numFmtId="0" fontId="69" fillId="61" borderId="0" applyNumberFormat="0" applyBorder="0" applyAlignment="0" applyProtection="0"/>
    <xf numFmtId="0" fontId="10" fillId="58" borderId="0" applyNumberFormat="0" applyBorder="0" applyAlignment="0" applyProtection="0"/>
    <xf numFmtId="0" fontId="69"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0" fontId="70"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191" fontId="39" fillId="58"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5"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69" fillId="63" borderId="0" applyNumberFormat="0" applyBorder="0" applyAlignment="0" applyProtection="0"/>
    <xf numFmtId="0" fontId="69" fillId="64" borderId="0" applyNumberFormat="0" applyBorder="0" applyAlignment="0" applyProtection="0"/>
    <xf numFmtId="0" fontId="39" fillId="62" borderId="0" applyNumberFormat="0" applyBorder="0" applyAlignment="0" applyProtection="0"/>
    <xf numFmtId="0" fontId="69" fillId="63" borderId="0" applyNumberFormat="0" applyBorder="0" applyAlignment="0" applyProtection="0"/>
    <xf numFmtId="0" fontId="148" fillId="116" borderId="0" applyNumberFormat="0" applyBorder="0" applyAlignment="0" applyProtection="0"/>
    <xf numFmtId="0" fontId="148" fillId="116" borderId="0" applyNumberFormat="0" applyBorder="0" applyAlignment="0" applyProtection="0"/>
    <xf numFmtId="191" fontId="148" fillId="116" borderId="0" applyNumberFormat="0" applyBorder="0" applyAlignment="0" applyProtection="0"/>
    <xf numFmtId="0" fontId="69" fillId="65" borderId="0" applyNumberFormat="0" applyBorder="0" applyAlignment="0" applyProtection="0"/>
    <xf numFmtId="0" fontId="10" fillId="62" borderId="0" applyNumberFormat="0" applyBorder="0" applyAlignment="0" applyProtection="0"/>
    <xf numFmtId="0" fontId="69"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0" fontId="70"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191" fontId="39" fillId="62"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11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7" borderId="0" applyNumberFormat="0" applyBorder="0" applyAlignment="0" applyProtection="0"/>
    <xf numFmtId="0" fontId="69" fillId="67" borderId="0" applyNumberFormat="0" applyBorder="0" applyAlignment="0" applyProtection="0"/>
    <xf numFmtId="0" fontId="69" fillId="9" borderId="0" applyNumberFormat="0" applyBorder="0" applyAlignment="0" applyProtection="0"/>
    <xf numFmtId="0" fontId="39" fillId="48" borderId="0" applyNumberFormat="0" applyBorder="0" applyAlignment="0" applyProtection="0"/>
    <xf numFmtId="0" fontId="69" fillId="67" borderId="0" applyNumberFormat="0" applyBorder="0" applyAlignment="0" applyProtection="0"/>
    <xf numFmtId="0" fontId="148" fillId="66" borderId="0" applyNumberFormat="0" applyBorder="0" applyAlignment="0" applyProtection="0"/>
    <xf numFmtId="0" fontId="148" fillId="66" borderId="0" applyNumberFormat="0" applyBorder="0" applyAlignment="0" applyProtection="0"/>
    <xf numFmtId="191" fontId="148" fillId="66" borderId="0" applyNumberFormat="0" applyBorder="0" applyAlignment="0" applyProtection="0"/>
    <xf numFmtId="0" fontId="69" fillId="68" borderId="0" applyNumberFormat="0" applyBorder="0" applyAlignment="0" applyProtection="0"/>
    <xf numFmtId="0" fontId="10" fillId="48" borderId="0" applyNumberFormat="0" applyBorder="0" applyAlignment="0" applyProtection="0"/>
    <xf numFmtId="0" fontId="69"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70"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91" fontId="39" fillId="48"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9" fillId="66" borderId="0" applyNumberFormat="0" applyBorder="0" applyAlignment="0" applyProtection="0"/>
    <xf numFmtId="0" fontId="148"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39" fillId="41" borderId="0" applyNumberFormat="0" applyBorder="0" applyAlignment="0" applyProtection="0"/>
    <xf numFmtId="0" fontId="69" fillId="50" borderId="0" applyNumberFormat="0" applyBorder="0" applyAlignment="0" applyProtection="0"/>
    <xf numFmtId="0" fontId="148" fillId="118" borderId="0" applyNumberFormat="0" applyBorder="0" applyAlignment="0" applyProtection="0"/>
    <xf numFmtId="0" fontId="148" fillId="118" borderId="0" applyNumberFormat="0" applyBorder="0" applyAlignment="0" applyProtection="0"/>
    <xf numFmtId="191" fontId="148" fillId="118" borderId="0" applyNumberFormat="0" applyBorder="0" applyAlignment="0" applyProtection="0"/>
    <xf numFmtId="0" fontId="10" fillId="41" borderId="0" applyNumberFormat="0" applyBorder="0" applyAlignment="0" applyProtection="0"/>
    <xf numFmtId="0" fontId="69"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70"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91" fontId="39" fillId="41"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8"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69" fillId="51" borderId="0" applyNumberFormat="0" applyBorder="0" applyAlignment="0" applyProtection="0"/>
    <xf numFmtId="0" fontId="69" fillId="69" borderId="0" applyNumberFormat="0" applyBorder="0" applyAlignment="0" applyProtection="0"/>
    <xf numFmtId="0" fontId="39" fillId="45" borderId="0" applyNumberFormat="0" applyBorder="0" applyAlignment="0" applyProtection="0"/>
    <xf numFmtId="0" fontId="69" fillId="51" borderId="0" applyNumberFormat="0" applyBorder="0" applyAlignment="0" applyProtection="0"/>
    <xf numFmtId="0" fontId="148" fillId="119" borderId="0" applyNumberFormat="0" applyBorder="0" applyAlignment="0" applyProtection="0"/>
    <xf numFmtId="0" fontId="148" fillId="119" borderId="0" applyNumberFormat="0" applyBorder="0" applyAlignment="0" applyProtection="0"/>
    <xf numFmtId="191" fontId="148" fillId="119" borderId="0" applyNumberFormat="0" applyBorder="0" applyAlignment="0" applyProtection="0"/>
    <xf numFmtId="0" fontId="69" fillId="70" borderId="0" applyNumberFormat="0" applyBorder="0" applyAlignment="0" applyProtection="0"/>
    <xf numFmtId="0" fontId="10" fillId="45" borderId="0" applyNumberFormat="0" applyBorder="0" applyAlignment="0" applyProtection="0"/>
    <xf numFmtId="0" fontId="69"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0" fontId="70"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191" fontId="39" fillId="45"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49" fillId="119"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71" fillId="71" borderId="0" applyNumberFormat="0" applyBorder="0" applyAlignment="0" applyProtection="0"/>
    <xf numFmtId="0" fontId="72" fillId="10" borderId="0" applyNumberFormat="0" applyBorder="0" applyAlignment="0" applyProtection="0"/>
    <xf numFmtId="0" fontId="40" fillId="11" borderId="0" applyNumberFormat="0" applyBorder="0" applyAlignment="0" applyProtection="0"/>
    <xf numFmtId="0" fontId="71" fillId="71" borderId="0" applyNumberFormat="0" applyBorder="0" applyAlignment="0" applyProtection="0"/>
    <xf numFmtId="0" fontId="150" fillId="120" borderId="0" applyNumberFormat="0" applyBorder="0" applyAlignment="0" applyProtection="0"/>
    <xf numFmtId="0" fontId="150" fillId="120" borderId="0" applyNumberFormat="0" applyBorder="0" applyAlignment="0" applyProtection="0"/>
    <xf numFmtId="191" fontId="150" fillId="120" borderId="0" applyNumberFormat="0" applyBorder="0" applyAlignment="0" applyProtection="0"/>
    <xf numFmtId="0" fontId="71" fillId="72" borderId="0" applyNumberFormat="0" applyBorder="0" applyAlignment="0" applyProtection="0"/>
    <xf numFmtId="0" fontId="72" fillId="10" borderId="0" applyNumberFormat="0" applyBorder="0" applyAlignment="0" applyProtection="0"/>
    <xf numFmtId="0" fontId="124" fillId="11" borderId="0" applyNumberFormat="0" applyBorder="0" applyAlignment="0" applyProtection="0"/>
    <xf numFmtId="0" fontId="40" fillId="11" borderId="0" applyNumberFormat="0" applyBorder="0" applyAlignment="0" applyProtection="0"/>
    <xf numFmtId="0" fontId="73" fillId="10" borderId="0" applyNumberFormat="0" applyBorder="0" applyAlignment="0" applyProtection="0"/>
    <xf numFmtId="0" fontId="124" fillId="11" borderId="0" applyNumberFormat="0" applyBorder="0" applyAlignment="0" applyProtection="0"/>
    <xf numFmtId="0" fontId="40" fillId="11" borderId="0" applyNumberFormat="0" applyBorder="0" applyAlignment="0" applyProtection="0"/>
    <xf numFmtId="191" fontId="40" fillId="11"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1" fillId="120" borderId="0" applyNumberFormat="0" applyBorder="0" applyAlignment="0" applyProtection="0"/>
    <xf numFmtId="0" fontId="152" fillId="3" borderId="189" applyNumberFormat="0" applyAlignment="0" applyProtection="0"/>
    <xf numFmtId="0" fontId="152" fillId="3" borderId="189" applyNumberFormat="0" applyAlignment="0" applyProtection="0"/>
    <xf numFmtId="0" fontId="152" fillId="3" borderId="189" applyNumberFormat="0" applyAlignment="0" applyProtection="0"/>
    <xf numFmtId="0" fontId="152" fillId="3" borderId="189" applyNumberFormat="0" applyAlignment="0" applyProtection="0"/>
    <xf numFmtId="0" fontId="152" fillId="3" borderId="189" applyNumberFormat="0" applyAlignment="0" applyProtection="0"/>
    <xf numFmtId="0" fontId="152" fillId="3" borderId="189" applyNumberFormat="0" applyAlignment="0" applyProtection="0"/>
    <xf numFmtId="0" fontId="153" fillId="121" borderId="189" applyNumberFormat="0" applyAlignment="0" applyProtection="0"/>
    <xf numFmtId="0" fontId="74" fillId="73" borderId="2" applyNumberFormat="0" applyAlignment="0" applyProtection="0"/>
    <xf numFmtId="0" fontId="75" fillId="74" borderId="1" applyNumberFormat="0" applyAlignment="0" applyProtection="0"/>
    <xf numFmtId="0" fontId="115" fillId="27" borderId="1" applyNumberFormat="0" applyAlignment="0" applyProtection="0"/>
    <xf numFmtId="0" fontId="74" fillId="73" borderId="2" applyNumberFormat="0" applyAlignment="0" applyProtection="0"/>
    <xf numFmtId="0" fontId="153" fillId="3" borderId="189" applyNumberFormat="0" applyAlignment="0" applyProtection="0"/>
    <xf numFmtId="0" fontId="153" fillId="3" borderId="189" applyNumberFormat="0" applyAlignment="0" applyProtection="0"/>
    <xf numFmtId="191" fontId="153" fillId="3" borderId="189" applyNumberFormat="0" applyAlignment="0" applyProtection="0"/>
    <xf numFmtId="0" fontId="137" fillId="75" borderId="3" applyNumberFormat="0" applyAlignment="0" applyProtection="0"/>
    <xf numFmtId="0" fontId="75" fillId="74" borderId="1" applyNumberFormat="0" applyAlignment="0" applyProtection="0"/>
    <xf numFmtId="0" fontId="125" fillId="27" borderId="1" applyNumberFormat="0" applyAlignment="0" applyProtection="0"/>
    <xf numFmtId="0" fontId="115" fillId="27" borderId="1" applyNumberFormat="0" applyAlignment="0" applyProtection="0"/>
    <xf numFmtId="0" fontId="76" fillId="74" borderId="1" applyNumberFormat="0" applyAlignment="0" applyProtection="0"/>
    <xf numFmtId="0" fontId="125" fillId="27" borderId="1" applyNumberFormat="0" applyAlignment="0" applyProtection="0"/>
    <xf numFmtId="0" fontId="115" fillId="27" borderId="1" applyNumberFormat="0" applyAlignment="0" applyProtection="0"/>
    <xf numFmtId="191" fontId="115" fillId="27" borderId="1" applyNumberFormat="0" applyAlignment="0" applyProtection="0"/>
    <xf numFmtId="0" fontId="152" fillId="3" borderId="189" applyNumberFormat="0" applyAlignment="0" applyProtection="0"/>
    <xf numFmtId="0" fontId="152" fillId="3" borderId="189" applyNumberFormat="0" applyAlignment="0" applyProtection="0"/>
    <xf numFmtId="0" fontId="152" fillId="3" borderId="189" applyNumberFormat="0" applyAlignment="0" applyProtection="0"/>
    <xf numFmtId="0" fontId="154"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0" fontId="77" fillId="43" borderId="4" applyNumberFormat="0" applyAlignment="0" applyProtection="0"/>
    <xf numFmtId="0" fontId="77" fillId="77" borderId="4" applyNumberFormat="0" applyAlignment="0" applyProtection="0"/>
    <xf numFmtId="0" fontId="41" fillId="76" borderId="4" applyNumberFormat="0" applyAlignment="0" applyProtection="0"/>
    <xf numFmtId="0" fontId="77" fillId="43" borderId="4" applyNumberFormat="0" applyAlignment="0" applyProtection="0"/>
    <xf numFmtId="0" fontId="154" fillId="122" borderId="190" applyNumberFormat="0" applyAlignment="0" applyProtection="0"/>
    <xf numFmtId="0" fontId="154" fillId="122" borderId="190" applyNumberFormat="0" applyAlignment="0" applyProtection="0"/>
    <xf numFmtId="191" fontId="154" fillId="122" borderId="190" applyNumberFormat="0" applyAlignment="0" applyProtection="0"/>
    <xf numFmtId="0" fontId="77" fillId="78" borderId="4" applyNumberFormat="0" applyAlignment="0" applyProtection="0"/>
    <xf numFmtId="0" fontId="77" fillId="77" borderId="4" applyNumberFormat="0" applyAlignment="0" applyProtection="0"/>
    <xf numFmtId="0" fontId="19" fillId="76" borderId="4" applyNumberFormat="0" applyAlignment="0" applyProtection="0"/>
    <xf numFmtId="0" fontId="41" fillId="76" borderId="4" applyNumberFormat="0" applyAlignment="0" applyProtection="0"/>
    <xf numFmtId="0" fontId="78" fillId="77" borderId="4" applyNumberFormat="0" applyAlignment="0" applyProtection="0"/>
    <xf numFmtId="0" fontId="19" fillId="76" borderId="4" applyNumberFormat="0" applyAlignment="0" applyProtection="0"/>
    <xf numFmtId="0" fontId="41" fillId="76" borderId="4" applyNumberFormat="0" applyAlignment="0" applyProtection="0"/>
    <xf numFmtId="191" fontId="41" fillId="76" borderId="4" applyNumberFormat="0" applyAlignment="0" applyProtection="0"/>
    <xf numFmtId="0" fontId="155" fillId="122" borderId="190" applyNumberFormat="0" applyAlignment="0" applyProtection="0"/>
    <xf numFmtId="0" fontId="155" fillId="122" borderId="190" applyNumberFormat="0" applyAlignment="0" applyProtection="0"/>
    <xf numFmtId="0" fontId="155" fillId="122" borderId="190" applyNumberFormat="0" applyAlignment="0" applyProtection="0"/>
    <xf numFmtId="164" fontId="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23" fillId="0" borderId="0" applyFont="0" applyFill="0" applyBorder="0" applyAlignment="0" applyProtection="0"/>
    <xf numFmtId="184" fontId="79"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184" fontId="79"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76" fontId="37" fillId="0" borderId="0" applyFill="0" applyBorder="0" applyAlignment="0" applyProtection="0"/>
    <xf numFmtId="176" fontId="37" fillId="0" borderId="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184" fontId="37" fillId="0" borderId="0" applyFill="0" applyBorder="0" applyAlignment="0" applyProtection="0"/>
    <xf numFmtId="43" fontId="49" fillId="0" borderId="0" applyFont="0" applyFill="0" applyBorder="0" applyAlignment="0" applyProtection="0"/>
    <xf numFmtId="176" fontId="37" fillId="0" borderId="0" applyFill="0" applyBorder="0" applyAlignment="0" applyProtection="0"/>
    <xf numFmtId="43" fontId="7" fillId="0" borderId="0" applyFont="0" applyFill="0" applyBorder="0" applyAlignment="0" applyProtection="0"/>
    <xf numFmtId="184" fontId="37" fillId="0" borderId="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176" fontId="37" fillId="0" borderId="0" applyFill="0" applyBorder="0" applyAlignment="0" applyProtection="0"/>
    <xf numFmtId="176" fontId="37" fillId="0" borderId="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84" fontId="37" fillId="0" borderId="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184" fontId="79" fillId="0" borderId="0" applyFill="0" applyBorder="0" applyAlignment="0" applyProtection="0"/>
    <xf numFmtId="176" fontId="37" fillId="0" borderId="0" applyFill="0" applyBorder="0" applyAlignment="0" applyProtection="0"/>
    <xf numFmtId="176" fontId="37" fillId="0" borderId="0" applyFill="0" applyBorder="0" applyAlignment="0" applyProtection="0"/>
    <xf numFmtId="43" fontId="7" fillId="0" borderId="0" applyFont="0" applyFill="0" applyBorder="0" applyAlignment="0" applyProtection="0"/>
    <xf numFmtId="184" fontId="37" fillId="0" borderId="0" applyFill="0" applyBorder="0" applyAlignment="0" applyProtection="0"/>
    <xf numFmtId="43" fontId="49" fillId="0" borderId="0" applyFont="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84" fontId="79" fillId="0" borderId="0" applyFill="0" applyBorder="0" applyAlignment="0" applyProtection="0"/>
    <xf numFmtId="176" fontId="37" fillId="0" borderId="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76"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43" fontId="49" fillId="0" borderId="0" applyFont="0" applyFill="0" applyBorder="0" applyAlignment="0" applyProtection="0"/>
    <xf numFmtId="43" fontId="2" fillId="0" borderId="0" applyFont="0" applyFill="0" applyBorder="0" applyAlignment="0" applyProtection="0"/>
    <xf numFmtId="43" fontId="49"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9"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5" fontId="79"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86" fontId="37" fillId="0" borderId="0" applyFill="0" applyBorder="0" applyAlignment="0" applyProtection="0"/>
    <xf numFmtId="186" fontId="37" fillId="0" borderId="0" applyFill="0" applyBorder="0" applyAlignment="0" applyProtection="0"/>
    <xf numFmtId="44" fontId="49" fillId="0" borderId="0" applyFont="0" applyFill="0" applyBorder="0" applyAlignment="0" applyProtection="0"/>
    <xf numFmtId="44" fontId="1" fillId="0" borderId="0" applyFont="0" applyFill="0" applyBorder="0" applyAlignment="0" applyProtection="0"/>
    <xf numFmtId="185" fontId="37" fillId="0" borderId="0" applyFill="0" applyBorder="0" applyAlignment="0" applyProtection="0"/>
    <xf numFmtId="44" fontId="49" fillId="0" borderId="0" applyFont="0" applyFill="0" applyBorder="0" applyAlignment="0" applyProtection="0"/>
    <xf numFmtId="186" fontId="37" fillId="0" borderId="0" applyFill="0" applyBorder="0" applyAlignment="0" applyProtection="0"/>
    <xf numFmtId="44" fontId="7" fillId="0" borderId="0" applyFont="0" applyFill="0" applyBorder="0" applyAlignment="0" applyProtection="0"/>
    <xf numFmtId="185" fontId="37" fillId="0" borderId="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185" fontId="79" fillId="0" borderId="0" applyFill="0" applyBorder="0" applyAlignment="0" applyProtection="0"/>
    <xf numFmtId="186"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6"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7" fillId="0" borderId="0" applyFont="0" applyFill="0" applyBorder="0" applyAlignment="0" applyProtection="0"/>
    <xf numFmtId="185" fontId="37" fillId="0" borderId="0" applyFill="0" applyBorder="0" applyAlignment="0" applyProtection="0"/>
    <xf numFmtId="44" fontId="7" fillId="0" borderId="0" applyFont="0" applyFill="0" applyBorder="0" applyAlignment="0" applyProtection="0"/>
    <xf numFmtId="44" fontId="49" fillId="0" borderId="0" applyFont="0" applyFill="0" applyBorder="0" applyAlignment="0" applyProtection="0"/>
    <xf numFmtId="0" fontId="37" fillId="0" borderId="0" applyNumberForma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187" fontId="79" fillId="0" borderId="0" applyFill="0" applyBorder="0" applyAlignment="0" applyProtection="0"/>
    <xf numFmtId="187" fontId="37" fillId="0" borderId="0" applyFill="0" applyBorder="0" applyAlignment="0" applyProtection="0"/>
    <xf numFmtId="5" fontId="7" fillId="0" borderId="0" applyFont="0" applyFill="0" applyBorder="0" applyAlignment="0" applyProtection="0"/>
    <xf numFmtId="187" fontId="37" fillId="0" borderId="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4" fontId="79"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83" fillId="15" borderId="0" applyNumberFormat="0" applyBorder="0" applyAlignment="0" applyProtection="0"/>
    <xf numFmtId="0" fontId="139" fillId="79" borderId="0" applyNumberFormat="0" applyBorder="0" applyAlignment="0" applyProtection="0"/>
    <xf numFmtId="0" fontId="66" fillId="0" borderId="0"/>
    <xf numFmtId="0" fontId="156"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42" fillId="0" borderId="0" applyNumberFormat="0" applyFill="0" applyBorder="0" applyAlignment="0" applyProtection="0"/>
    <xf numFmtId="0" fontId="80"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91" fontId="156" fillId="0" borderId="0" applyNumberFormat="0" applyFill="0" applyBorder="0" applyAlignment="0" applyProtection="0"/>
    <xf numFmtId="0" fontId="138" fillId="0" borderId="0" applyNumberFormat="0" applyFill="0" applyBorder="0" applyAlignment="0" applyProtection="0"/>
    <xf numFmtId="0" fontId="81" fillId="0" borderId="0" applyNumberFormat="0" applyFill="0" applyBorder="0" applyAlignment="0" applyProtection="0"/>
    <xf numFmtId="0" fontId="126" fillId="0" borderId="0" applyNumberFormat="0" applyFill="0" applyBorder="0" applyAlignment="0" applyProtection="0"/>
    <xf numFmtId="0" fontId="42" fillId="0" borderId="0" applyNumberFormat="0" applyFill="0" applyBorder="0" applyAlignment="0" applyProtection="0"/>
    <xf numFmtId="0" fontId="82" fillId="0" borderId="0" applyNumberFormat="0" applyFill="0" applyBorder="0" applyAlignment="0" applyProtection="0"/>
    <xf numFmtId="0" fontId="126" fillId="0" borderId="0" applyNumberFormat="0" applyFill="0" applyBorder="0" applyAlignment="0" applyProtection="0"/>
    <xf numFmtId="0" fontId="42" fillId="0" borderId="0" applyNumberFormat="0" applyFill="0" applyBorder="0" applyAlignment="0" applyProtection="0"/>
    <xf numFmtId="191" fontId="42"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3" borderId="191" applyNumberFormat="0" applyAlignment="0" applyProtection="0">
      <alignment horizontal="right" vertical="center"/>
    </xf>
    <xf numFmtId="0" fontId="159" fillId="80" borderId="191" applyNumberFormat="0">
      <alignment horizontal="center" vertical="center"/>
    </xf>
    <xf numFmtId="2" fontId="79"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60" fillId="0" borderId="0" applyNumberFormat="0" applyFill="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3" fillId="81" borderId="0" applyNumberFormat="0" applyBorder="0" applyAlignment="0" applyProtection="0"/>
    <xf numFmtId="0" fontId="83" fillId="15" borderId="0" applyNumberFormat="0" applyBorder="0" applyAlignment="0" applyProtection="0"/>
    <xf numFmtId="0" fontId="43" fillId="16" borderId="0" applyNumberFormat="0" applyBorder="0" applyAlignment="0" applyProtection="0"/>
    <xf numFmtId="0" fontId="83" fillId="81" borderId="0" applyNumberFormat="0" applyBorder="0" applyAlignment="0" applyProtection="0"/>
    <xf numFmtId="0" fontId="161" fillId="123" borderId="0" applyNumberFormat="0" applyBorder="0" applyAlignment="0" applyProtection="0"/>
    <xf numFmtId="0" fontId="161" fillId="123" borderId="0" applyNumberFormat="0" applyBorder="0" applyAlignment="0" applyProtection="0"/>
    <xf numFmtId="191" fontId="161" fillId="123" borderId="0" applyNumberFormat="0" applyBorder="0" applyAlignment="0" applyProtection="0"/>
    <xf numFmtId="0" fontId="139" fillId="82" borderId="0" applyNumberFormat="0" applyBorder="0" applyAlignment="0" applyProtection="0"/>
    <xf numFmtId="0" fontId="83" fillId="15" borderId="0" applyNumberFormat="0" applyBorder="0" applyAlignment="0" applyProtection="0"/>
    <xf numFmtId="0" fontId="127" fillId="16" borderId="0" applyNumberFormat="0" applyBorder="0" applyAlignment="0" applyProtection="0"/>
    <xf numFmtId="0" fontId="43" fillId="16" borderId="0" applyNumberFormat="0" applyBorder="0" applyAlignment="0" applyProtection="0"/>
    <xf numFmtId="0" fontId="84" fillId="15" borderId="0" applyNumberFormat="0" applyBorder="0" applyAlignment="0" applyProtection="0"/>
    <xf numFmtId="0" fontId="127" fillId="16" borderId="0" applyNumberFormat="0" applyBorder="0" applyAlignment="0" applyProtection="0"/>
    <xf numFmtId="0" fontId="43" fillId="16" borderId="0" applyNumberFormat="0" applyBorder="0" applyAlignment="0" applyProtection="0"/>
    <xf numFmtId="191" fontId="43" fillId="16"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162" fillId="123" borderId="0" applyNumberFormat="0" applyBorder="0" applyAlignment="0" applyProtection="0"/>
    <xf numFmtId="0" fontId="85" fillId="74" borderId="0" applyNumberFormat="0" applyBorder="0" applyAlignment="0" applyProtection="0"/>
    <xf numFmtId="0" fontId="85"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5" fillId="84" borderId="0" applyNumberFormat="0" applyBorder="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64" fillId="0" borderId="192" applyNumberFormat="0" applyFill="0" applyAlignment="0" applyProtection="0"/>
    <xf numFmtId="0" fontId="86" fillId="0" borderId="6" applyNumberFormat="0" applyFill="0" applyAlignment="0" applyProtection="0"/>
    <xf numFmtId="0" fontId="86" fillId="0" borderId="6" applyNumberFormat="0" applyFill="0" applyAlignment="0" applyProtection="0"/>
    <xf numFmtId="0" fontId="163" fillId="0" borderId="5" applyNumberFormat="0" applyFill="0" applyAlignment="0" applyProtection="0"/>
    <xf numFmtId="0" fontId="87" fillId="0" borderId="7" applyNumberFormat="0" applyFill="0" applyAlignment="0" applyProtection="0"/>
    <xf numFmtId="0" fontId="116" fillId="0" borderId="7" applyNumberFormat="0" applyFill="0" applyAlignment="0" applyProtection="0"/>
    <xf numFmtId="0" fontId="163" fillId="0" borderId="5" applyNumberFormat="0" applyFill="0" applyAlignment="0" applyProtection="0"/>
    <xf numFmtId="191" fontId="163" fillId="0" borderId="5" applyNumberFormat="0" applyFill="0" applyAlignment="0" applyProtection="0"/>
    <xf numFmtId="0" fontId="37" fillId="0" borderId="0" applyNumberFormat="0" applyFill="0" applyAlignment="0" applyProtection="0"/>
    <xf numFmtId="0" fontId="113" fillId="0" borderId="0" applyNumberFormat="0" applyFont="0" applyFill="0" applyAlignment="0" applyProtection="0"/>
    <xf numFmtId="0" fontId="87" fillId="0" borderId="7" applyNumberFormat="0" applyFill="0" applyAlignment="0" applyProtection="0"/>
    <xf numFmtId="0" fontId="129" fillId="0" borderId="7" applyNumberFormat="0" applyFill="0" applyAlignment="0" applyProtection="0"/>
    <xf numFmtId="0" fontId="116" fillId="0" borderId="7" applyNumberFormat="0" applyFill="0" applyAlignment="0" applyProtection="0"/>
    <xf numFmtId="0" fontId="113" fillId="0" borderId="0" applyNumberFormat="0" applyFont="0" applyFill="0" applyAlignment="0" applyProtection="0"/>
    <xf numFmtId="0" fontId="116" fillId="0" borderId="7" applyNumberFormat="0" applyFill="0" applyAlignment="0" applyProtection="0"/>
    <xf numFmtId="191" fontId="116" fillId="0" borderId="7" applyNumberFormat="0" applyFill="0" applyAlignment="0" applyProtection="0"/>
    <xf numFmtId="0" fontId="128" fillId="0" borderId="5" applyNumberFormat="0" applyFill="0" applyAlignment="0" applyProtection="0"/>
    <xf numFmtId="0" fontId="128" fillId="0" borderId="5"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66" fillId="0" borderId="193"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165" fillId="0" borderId="193" applyNumberFormat="0" applyFill="0" applyAlignment="0" applyProtection="0"/>
    <xf numFmtId="0" fontId="89" fillId="0" borderId="8" applyNumberFormat="0" applyFill="0" applyAlignment="0" applyProtection="0"/>
    <xf numFmtId="0" fontId="117" fillId="0" borderId="8" applyNumberFormat="0" applyFill="0" applyAlignment="0" applyProtection="0"/>
    <xf numFmtId="0" fontId="165" fillId="0" borderId="193" applyNumberFormat="0" applyFill="0" applyAlignment="0" applyProtection="0"/>
    <xf numFmtId="191" fontId="165" fillId="0" borderId="193" applyNumberFormat="0" applyFill="0" applyAlignment="0" applyProtection="0"/>
    <xf numFmtId="0" fontId="37" fillId="0" borderId="0" applyNumberFormat="0" applyFill="0" applyAlignment="0" applyProtection="0"/>
    <xf numFmtId="0" fontId="114" fillId="0" borderId="0" applyNumberFormat="0" applyFont="0" applyFill="0" applyAlignment="0" applyProtection="0"/>
    <xf numFmtId="0" fontId="89" fillId="0" borderId="8" applyNumberFormat="0" applyFill="0" applyAlignment="0" applyProtection="0"/>
    <xf numFmtId="0" fontId="131" fillId="0" borderId="8" applyNumberFormat="0" applyFill="0" applyAlignment="0" applyProtection="0"/>
    <xf numFmtId="0" fontId="117" fillId="0" borderId="8" applyNumberFormat="0" applyFill="0" applyAlignment="0" applyProtection="0"/>
    <xf numFmtId="0" fontId="114" fillId="0" borderId="0" applyNumberFormat="0" applyFont="0" applyFill="0" applyAlignment="0" applyProtection="0"/>
    <xf numFmtId="0" fontId="117" fillId="0" borderId="8" applyNumberFormat="0" applyFill="0" applyAlignment="0" applyProtection="0"/>
    <xf numFmtId="191" fontId="117" fillId="0" borderId="8" applyNumberFormat="0" applyFill="0" applyAlignment="0" applyProtection="0"/>
    <xf numFmtId="0" fontId="130" fillId="0" borderId="193" applyNumberFormat="0" applyFill="0" applyAlignment="0" applyProtection="0"/>
    <xf numFmtId="0" fontId="130" fillId="0" borderId="193"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68" fillId="0" borderId="194" applyNumberFormat="0" applyFill="0" applyAlignment="0" applyProtection="0"/>
    <xf numFmtId="0" fontId="90" fillId="0" borderId="11" applyNumberFormat="0" applyFill="0" applyAlignment="0" applyProtection="0"/>
    <xf numFmtId="0" fontId="91" fillId="0" borderId="12" applyNumberFormat="0" applyFill="0" applyAlignment="0" applyProtection="0"/>
    <xf numFmtId="0" fontId="118" fillId="0" borderId="13" applyNumberFormat="0" applyFill="0" applyAlignment="0" applyProtection="0"/>
    <xf numFmtId="0" fontId="90" fillId="0" borderId="11" applyNumberFormat="0" applyFill="0" applyAlignment="0" applyProtection="0"/>
    <xf numFmtId="0" fontId="167" fillId="0" borderId="10" applyNumberFormat="0" applyFill="0" applyAlignment="0" applyProtection="0"/>
    <xf numFmtId="0" fontId="167" fillId="0" borderId="10" applyNumberFormat="0" applyFill="0" applyAlignment="0" applyProtection="0"/>
    <xf numFmtId="191" fontId="167" fillId="0" borderId="10" applyNumberFormat="0" applyFill="0" applyAlignment="0" applyProtection="0"/>
    <xf numFmtId="0" fontId="91" fillId="0" borderId="12" applyNumberFormat="0" applyFill="0" applyAlignment="0" applyProtection="0"/>
    <xf numFmtId="0" fontId="133" fillId="0" borderId="13" applyNumberFormat="0" applyFill="0" applyAlignment="0" applyProtection="0"/>
    <xf numFmtId="0" fontId="118" fillId="0" borderId="13" applyNumberFormat="0" applyFill="0" applyAlignment="0" applyProtection="0"/>
    <xf numFmtId="0" fontId="92" fillId="0" borderId="12" applyNumberFormat="0" applyFill="0" applyAlignment="0" applyProtection="0"/>
    <xf numFmtId="0" fontId="133" fillId="0" borderId="13" applyNumberFormat="0" applyFill="0" applyAlignment="0" applyProtection="0"/>
    <xf numFmtId="0" fontId="118" fillId="0" borderId="13" applyNumberFormat="0" applyFill="0" applyAlignment="0" applyProtection="0"/>
    <xf numFmtId="191" fontId="118" fillId="0" borderId="13"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10"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68"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118" fillId="0" borderId="0" applyNumberFormat="0" applyFill="0" applyBorder="0" applyAlignment="0" applyProtection="0"/>
    <xf numFmtId="0" fontId="90" fillId="0" borderId="0" applyNumberFormat="0" applyFill="0" applyBorder="0" applyAlignment="0" applyProtection="0"/>
    <xf numFmtId="0" fontId="167" fillId="0" borderId="0" applyNumberFormat="0" applyFill="0" applyBorder="0" applyAlignment="0" applyProtection="0"/>
    <xf numFmtId="0" fontId="167" fillId="0" borderId="0" applyNumberFormat="0" applyFill="0" applyBorder="0" applyAlignment="0" applyProtection="0"/>
    <xf numFmtId="191" fontId="167" fillId="0" borderId="0" applyNumberFormat="0" applyFill="0" applyBorder="0" applyAlignment="0" applyProtection="0"/>
    <xf numFmtId="0" fontId="91" fillId="0" borderId="0" applyNumberFormat="0" applyFill="0" applyBorder="0" applyAlignment="0" applyProtection="0"/>
    <xf numFmtId="0" fontId="133" fillId="0" borderId="0" applyNumberFormat="0" applyFill="0" applyBorder="0" applyAlignment="0" applyProtection="0"/>
    <xf numFmtId="0" fontId="118" fillId="0" borderId="0" applyNumberFormat="0" applyFill="0" applyBorder="0" applyAlignment="0" applyProtection="0"/>
    <xf numFmtId="0" fontId="92" fillId="0" borderId="0" applyNumberFormat="0" applyFill="0" applyBorder="0" applyAlignment="0" applyProtection="0"/>
    <xf numFmtId="0" fontId="133" fillId="0" borderId="0" applyNumberFormat="0" applyFill="0" applyBorder="0" applyAlignment="0" applyProtection="0"/>
    <xf numFmtId="0" fontId="118" fillId="0" borderId="0" applyNumberFormat="0" applyFill="0" applyBorder="0" applyAlignment="0" applyProtection="0"/>
    <xf numFmtId="191" fontId="118"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93" fillId="0" borderId="0" applyNumberFormat="0" applyFill="0" applyBorder="0" applyAlignment="0" applyProtection="0"/>
    <xf numFmtId="0" fontId="122" fillId="0" borderId="0" applyNumberFormat="0" applyFill="0" applyBorder="0" applyAlignment="0" applyProtection="0">
      <alignment vertical="top"/>
      <protection locked="0"/>
    </xf>
    <xf numFmtId="0" fontId="169" fillId="0" borderId="0" applyNumberFormat="0" applyFill="0" applyBorder="0" applyAlignment="0" applyProtection="0"/>
    <xf numFmtId="0" fontId="94" fillId="0" borderId="0" applyNumberFormat="0" applyFill="0" applyBorder="0" applyAlignment="0" applyProtection="0"/>
    <xf numFmtId="0"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191" fontId="112" fillId="0" borderId="0" applyNumberFormat="0" applyFill="0" applyBorder="0" applyAlignment="0" applyProtection="0">
      <alignment vertical="top"/>
      <protection locked="0"/>
    </xf>
    <xf numFmtId="0" fontId="94" fillId="0" borderId="0" applyNumberFormat="0" applyFill="0" applyBorder="0" applyAlignment="0" applyProtection="0"/>
    <xf numFmtId="0" fontId="85" fillId="85" borderId="0" applyNumberFormat="0" applyBorder="0" applyAlignment="0" applyProtection="0"/>
    <xf numFmtId="0" fontId="85"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6" fillId="26" borderId="2" applyNumberFormat="0" applyAlignment="0" applyProtection="0"/>
    <xf numFmtId="0" fontId="95" fillId="26" borderId="1" applyNumberFormat="0" applyAlignment="0" applyProtection="0"/>
    <xf numFmtId="0" fontId="44" fillId="3" borderId="1" applyNumberFormat="0" applyAlignment="0" applyProtection="0"/>
    <xf numFmtId="0" fontId="96" fillId="26" borderId="2" applyNumberFormat="0" applyAlignment="0" applyProtection="0"/>
    <xf numFmtId="0" fontId="170" fillId="30" borderId="189" applyNumberFormat="0" applyAlignment="0" applyProtection="0"/>
    <xf numFmtId="0" fontId="170" fillId="30" borderId="189" applyNumberFormat="0" applyAlignment="0" applyProtection="0"/>
    <xf numFmtId="191" fontId="170" fillId="30" borderId="189" applyNumberFormat="0" applyAlignment="0" applyProtection="0"/>
    <xf numFmtId="0" fontId="96" fillId="26" borderId="3"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7" fillId="26" borderId="1" applyNumberFormat="0" applyAlignment="0" applyProtection="0"/>
    <xf numFmtId="0" fontId="134" fillId="3" borderId="1" applyNumberFormat="0" applyAlignment="0" applyProtection="0"/>
    <xf numFmtId="0" fontId="95" fillId="26" borderId="1" applyNumberFormat="0" applyAlignment="0" applyProtection="0"/>
    <xf numFmtId="0" fontId="134" fillId="3" borderId="1" applyNumberFormat="0" applyAlignment="0" applyProtection="0"/>
    <xf numFmtId="0" fontId="44" fillId="3" borderId="1" applyNumberFormat="0" applyAlignment="0" applyProtection="0"/>
    <xf numFmtId="0" fontId="44" fillId="3" borderId="1" applyNumberFormat="0" applyAlignment="0" applyProtection="0"/>
    <xf numFmtId="191"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134" fillId="3" borderId="1" applyNumberFormat="0" applyAlignment="0" applyProtection="0"/>
    <xf numFmtId="0" fontId="134" fillId="3" borderId="1" applyNumberFormat="0" applyAlignment="0" applyProtection="0"/>
    <xf numFmtId="0" fontId="95" fillId="26" borderId="1" applyNumberFormat="0" applyAlignment="0" applyProtection="0"/>
    <xf numFmtId="0" fontId="134" fillId="3" borderId="1" applyNumberFormat="0" applyAlignment="0" applyProtection="0"/>
    <xf numFmtId="0" fontId="44" fillId="3" borderId="1" applyNumberFormat="0" applyAlignment="0" applyProtection="0"/>
    <xf numFmtId="0" fontId="170" fillId="124" borderId="189" applyNumberFormat="0" applyAlignment="0" applyProtection="0"/>
    <xf numFmtId="0" fontId="95" fillId="26" borderId="1" applyNumberFormat="0" applyAlignment="0" applyProtection="0"/>
    <xf numFmtId="0" fontId="134" fillId="3"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95" fillId="26" borderId="1" applyNumberFormat="0" applyAlignment="0" applyProtection="0"/>
    <xf numFmtId="0" fontId="44" fillId="3" borderId="1" applyNumberFormat="0" applyAlignment="0" applyProtection="0"/>
    <xf numFmtId="0" fontId="171" fillId="0" borderId="19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0" fontId="98" fillId="0" borderId="16" applyNumberFormat="0" applyFill="0" applyAlignment="0" applyProtection="0"/>
    <xf numFmtId="0" fontId="99" fillId="0" borderId="15" applyNumberFormat="0" applyFill="0" applyAlignment="0" applyProtection="0"/>
    <xf numFmtId="0" fontId="119" fillId="0" borderId="15" applyNumberFormat="0" applyFill="0" applyAlignment="0" applyProtection="0"/>
    <xf numFmtId="0" fontId="98" fillId="0" borderId="16" applyNumberFormat="0" applyFill="0" applyAlignment="0" applyProtection="0"/>
    <xf numFmtId="0" fontId="172" fillId="0" borderId="195" applyNumberFormat="0" applyFill="0" applyAlignment="0" applyProtection="0"/>
    <xf numFmtId="0" fontId="172" fillId="0" borderId="195" applyNumberFormat="0" applyFill="0" applyAlignment="0" applyProtection="0"/>
    <xf numFmtId="191" fontId="172" fillId="0" borderId="195" applyNumberFormat="0" applyFill="0" applyAlignment="0" applyProtection="0"/>
    <xf numFmtId="0" fontId="140" fillId="0" borderId="17" applyNumberFormat="0" applyFill="0" applyAlignment="0" applyProtection="0"/>
    <xf numFmtId="0" fontId="99" fillId="0" borderId="15" applyNumberFormat="0" applyFill="0" applyAlignment="0" applyProtection="0"/>
    <xf numFmtId="0" fontId="135" fillId="0" borderId="15" applyNumberFormat="0" applyFill="0" applyAlignment="0" applyProtection="0"/>
    <xf numFmtId="0" fontId="119" fillId="0" borderId="15" applyNumberFormat="0" applyFill="0" applyAlignment="0" applyProtection="0"/>
    <xf numFmtId="0" fontId="100" fillId="0" borderId="15" applyNumberFormat="0" applyFill="0" applyAlignment="0" applyProtection="0"/>
    <xf numFmtId="0" fontId="135" fillId="0" borderId="15" applyNumberFormat="0" applyFill="0" applyAlignment="0" applyProtection="0"/>
    <xf numFmtId="0" fontId="119" fillId="0" borderId="15" applyNumberFormat="0" applyFill="0" applyAlignment="0" applyProtection="0"/>
    <xf numFmtId="191" fontId="119" fillId="0" borderId="1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0" fontId="171" fillId="0" borderId="195" applyNumberFormat="0" applyFill="0" applyAlignment="0" applyProtection="0"/>
    <xf numFmtId="188" fontId="66" fillId="0" borderId="0"/>
    <xf numFmtId="188" fontId="66" fillId="0" borderId="0"/>
    <xf numFmtId="188" fontId="7" fillId="0" borderId="0"/>
    <xf numFmtId="188" fontId="7" fillId="0" borderId="0"/>
    <xf numFmtId="189" fontId="66" fillId="0" borderId="0"/>
    <xf numFmtId="189" fontId="66" fillId="0" borderId="0"/>
    <xf numFmtId="172" fontId="7" fillId="0" borderId="0"/>
    <xf numFmtId="172" fontId="7" fillId="0" borderId="0"/>
    <xf numFmtId="188" fontId="66" fillId="0" borderId="0"/>
    <xf numFmtId="188" fontId="66" fillId="0" borderId="0"/>
    <xf numFmtId="188" fontId="7" fillId="0" borderId="0"/>
    <xf numFmtId="188" fontId="7" fillId="0" borderId="0"/>
    <xf numFmtId="188" fontId="66" fillId="0" borderId="0"/>
    <xf numFmtId="188" fontId="66" fillId="0" borderId="0"/>
    <xf numFmtId="188" fontId="7" fillId="0" borderId="0"/>
    <xf numFmtId="188" fontId="7" fillId="0" borderId="0"/>
    <xf numFmtId="188" fontId="66" fillId="0" borderId="0"/>
    <xf numFmtId="188" fontId="66" fillId="0" borderId="0"/>
    <xf numFmtId="188" fontId="7" fillId="0" borderId="0"/>
    <xf numFmtId="188" fontId="7" fillId="0" borderId="0"/>
    <xf numFmtId="188" fontId="66" fillId="0" borderId="0"/>
    <xf numFmtId="188" fontId="66" fillId="0" borderId="0"/>
    <xf numFmtId="188" fontId="7" fillId="0" borderId="0"/>
    <xf numFmtId="188" fontId="7" fillId="0" borderId="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01" fillId="87" borderId="0" applyNumberFormat="0" applyBorder="0" applyAlignment="0" applyProtection="0"/>
    <xf numFmtId="0" fontId="102" fillId="88" borderId="0" applyNumberFormat="0" applyBorder="0" applyAlignment="0" applyProtection="0"/>
    <xf numFmtId="0" fontId="120" fillId="30" borderId="0" applyNumberFormat="0" applyBorder="0" applyAlignment="0" applyProtection="0"/>
    <xf numFmtId="0" fontId="101" fillId="87" borderId="0" applyNumberFormat="0" applyBorder="0" applyAlignment="0" applyProtection="0"/>
    <xf numFmtId="0" fontId="174" fillId="125" borderId="0" applyNumberFormat="0" applyBorder="0" applyAlignment="0" applyProtection="0"/>
    <xf numFmtId="0" fontId="174" fillId="125" borderId="0" applyNumberFormat="0" applyBorder="0" applyAlignment="0" applyProtection="0"/>
    <xf numFmtId="191" fontId="174" fillId="125" borderId="0" applyNumberFormat="0" applyBorder="0" applyAlignment="0" applyProtection="0"/>
    <xf numFmtId="0" fontId="141" fillId="89" borderId="0" applyNumberFormat="0" applyBorder="0" applyAlignment="0" applyProtection="0"/>
    <xf numFmtId="0" fontId="102" fillId="88" borderId="0" applyNumberFormat="0" applyBorder="0" applyAlignment="0" applyProtection="0"/>
    <xf numFmtId="0" fontId="136" fillId="30" borderId="0" applyNumberFormat="0" applyBorder="0" applyAlignment="0" applyProtection="0"/>
    <xf numFmtId="0" fontId="120" fillId="30" borderId="0" applyNumberFormat="0" applyBorder="0" applyAlignment="0" applyProtection="0"/>
    <xf numFmtId="0" fontId="103" fillId="88" borderId="0" applyNumberFormat="0" applyBorder="0" applyAlignment="0" applyProtection="0"/>
    <xf numFmtId="0" fontId="136" fillId="30" borderId="0" applyNumberFormat="0" applyBorder="0" applyAlignment="0" applyProtection="0"/>
    <xf numFmtId="0" fontId="120" fillId="30" borderId="0" applyNumberFormat="0" applyBorder="0" applyAlignment="0" applyProtection="0"/>
    <xf numFmtId="191" fontId="120" fillId="30"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0" fontId="173" fillId="125" borderId="0" applyNumberFormat="0" applyBorder="0" applyAlignment="0" applyProtection="0"/>
    <xf numFmtId="190" fontId="66" fillId="0" borderId="0"/>
    <xf numFmtId="190" fontId="66" fillId="0" borderId="0"/>
    <xf numFmtId="192" fontId="7" fillId="0" borderId="0"/>
    <xf numFmtId="192" fontId="7" fillId="0" borderId="0"/>
    <xf numFmtId="0" fontId="66" fillId="0" borderId="0"/>
    <xf numFmtId="0" fontId="7"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191" fontId="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7" fillId="0" borderId="0"/>
    <xf numFmtId="0" fontId="146" fillId="0" borderId="0"/>
    <xf numFmtId="0" fontId="7" fillId="0" borderId="0"/>
    <xf numFmtId="0" fontId="7" fillId="0" borderId="0"/>
    <xf numFmtId="0" fontId="7" fillId="0" borderId="0"/>
    <xf numFmtId="0" fontId="146" fillId="0" borderId="0"/>
    <xf numFmtId="0" fontId="2" fillId="0" borderId="0"/>
    <xf numFmtId="0" fontId="66" fillId="0" borderId="0"/>
    <xf numFmtId="0" fontId="67" fillId="0" borderId="0"/>
    <xf numFmtId="0" fontId="146" fillId="0" borderId="0"/>
    <xf numFmtId="0" fontId="7" fillId="0" borderId="0"/>
    <xf numFmtId="0" fontId="66" fillId="0" borderId="0"/>
    <xf numFmtId="0" fontId="146" fillId="0" borderId="0"/>
    <xf numFmtId="0" fontId="7" fillId="0" borderId="0"/>
    <xf numFmtId="0" fontId="7" fillId="0" borderId="0"/>
    <xf numFmtId="0" fontId="146" fillId="0" borderId="0"/>
    <xf numFmtId="0" fontId="67" fillId="0" borderId="0"/>
    <xf numFmtId="0" fontId="7" fillId="0" borderId="0"/>
    <xf numFmtId="191" fontId="7" fillId="0" borderId="0"/>
    <xf numFmtId="0" fontId="66" fillId="0" borderId="0"/>
    <xf numFmtId="0" fontId="2" fillId="0" borderId="0"/>
    <xf numFmtId="0" fontId="146" fillId="0" borderId="0"/>
    <xf numFmtId="0" fontId="146" fillId="0" borderId="0"/>
    <xf numFmtId="0" fontId="2" fillId="0" borderId="0"/>
    <xf numFmtId="0" fontId="2" fillId="0" borderId="0"/>
    <xf numFmtId="0" fontId="146" fillId="0" borderId="0"/>
    <xf numFmtId="0" fontId="146"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7" fillId="0" borderId="0"/>
    <xf numFmtId="0" fontId="104" fillId="0" borderId="0"/>
    <xf numFmtId="0" fontId="175" fillId="0" borderId="0"/>
    <xf numFmtId="0" fontId="66" fillId="0" borderId="0"/>
    <xf numFmtId="0" fontId="7"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191" fontId="146" fillId="0" borderId="0"/>
    <xf numFmtId="0" fontId="7"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146" fillId="0" borderId="0"/>
    <xf numFmtId="0" fontId="67" fillId="0" borderId="0"/>
    <xf numFmtId="0" fontId="66" fillId="0" borderId="0"/>
    <xf numFmtId="0" fontId="7" fillId="0" borderId="0"/>
    <xf numFmtId="0" fontId="67"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0" fontId="146" fillId="0" borderId="0"/>
    <xf numFmtId="0" fontId="146" fillId="0" borderId="0"/>
    <xf numFmtId="0" fontId="67" fillId="0" borderId="0"/>
    <xf numFmtId="0" fontId="146" fillId="0" borderId="0"/>
    <xf numFmtId="0" fontId="146" fillId="0" borderId="0"/>
    <xf numFmtId="0" fontId="146" fillId="0" borderId="0"/>
    <xf numFmtId="191"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7" fillId="0" borderId="0"/>
    <xf numFmtId="0" fontId="67" fillId="0" borderId="0"/>
    <xf numFmtId="0" fontId="7" fillId="0" borderId="0"/>
    <xf numFmtId="0" fontId="146" fillId="0" borderId="0"/>
    <xf numFmtId="0" fontId="67" fillId="0" borderId="0"/>
    <xf numFmtId="0" fontId="67" fillId="0" borderId="0"/>
    <xf numFmtId="0" fontId="146" fillId="0" borderId="0"/>
    <xf numFmtId="0" fontId="67" fillId="0" borderId="0"/>
    <xf numFmtId="0" fontId="146" fillId="0" borderId="0"/>
    <xf numFmtId="0" fontId="67" fillId="0" borderId="0"/>
    <xf numFmtId="0" fontId="146" fillId="0" borderId="0"/>
    <xf numFmtId="0" fontId="66" fillId="0" borderId="0"/>
    <xf numFmtId="0" fontId="7" fillId="0" borderId="0"/>
    <xf numFmtId="0" fontId="146" fillId="0" borderId="0"/>
    <xf numFmtId="191"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7" fillId="0" borderId="0"/>
    <xf numFmtId="0" fontId="67" fillId="0" borderId="0"/>
    <xf numFmtId="0" fontId="146" fillId="0" borderId="0"/>
    <xf numFmtId="0" fontId="66" fillId="0" borderId="0"/>
    <xf numFmtId="0" fontId="7" fillId="0" borderId="0"/>
    <xf numFmtId="191" fontId="146" fillId="0" borderId="0"/>
    <xf numFmtId="0" fontId="14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6" fillId="0" borderId="0"/>
    <xf numFmtId="0" fontId="146" fillId="0" borderId="0"/>
    <xf numFmtId="0" fontId="7" fillId="0" borderId="0"/>
    <xf numFmtId="0" fontId="7" fillId="0" borderId="0"/>
    <xf numFmtId="0" fontId="146" fillId="0" borderId="0"/>
    <xf numFmtId="0" fontId="146" fillId="0" borderId="0"/>
    <xf numFmtId="0" fontId="66" fillId="0" borderId="0"/>
    <xf numFmtId="0" fontId="146" fillId="0" borderId="0"/>
    <xf numFmtId="0" fontId="142"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6" fillId="0" borderId="0"/>
    <xf numFmtId="0" fontId="146" fillId="0" borderId="0"/>
    <xf numFmtId="0" fontId="7" fillId="0" borderId="0"/>
    <xf numFmtId="0" fontId="146" fillId="0" borderId="0"/>
    <xf numFmtId="0" fontId="146" fillId="0" borderId="0"/>
    <xf numFmtId="0" fontId="67" fillId="0" borderId="0"/>
    <xf numFmtId="0" fontId="67" fillId="0" borderId="0"/>
    <xf numFmtId="0" fontId="146" fillId="0" borderId="0"/>
    <xf numFmtId="0" fontId="146" fillId="0" borderId="0"/>
    <xf numFmtId="0" fontId="146" fillId="0" borderId="0"/>
    <xf numFmtId="0" fontId="4" fillId="0" borderId="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79" fillId="85" borderId="19" applyNumberFormat="0" applyAlignment="0" applyProtection="0"/>
    <xf numFmtId="0" fontId="49" fillId="126" borderId="196" applyNumberFormat="0" applyFont="0" applyAlignment="0" applyProtection="0"/>
    <xf numFmtId="0" fontId="37" fillId="85" borderId="20" applyNumberFormat="0" applyAlignment="0" applyProtection="0"/>
    <xf numFmtId="0" fontId="146" fillId="126" borderId="196"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37" fillId="85" borderId="19" applyNumberForma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37" fillId="85" borderId="19" applyNumberForma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0" fontId="37" fillId="85" borderId="19" applyNumberFormat="0" applyAlignment="0" applyProtection="0"/>
    <xf numFmtId="0" fontId="49" fillId="126" borderId="196" applyNumberFormat="0" applyFont="0" applyAlignment="0" applyProtection="0"/>
    <xf numFmtId="0" fontId="49" fillId="126" borderId="196" applyNumberFormat="0" applyFont="0" applyAlignment="0" applyProtection="0"/>
    <xf numFmtId="0" fontId="49" fillId="126" borderId="196" applyNumberFormat="0" applyFont="0" applyAlignment="0" applyProtection="0"/>
    <xf numFmtId="191" fontId="49" fillId="126" borderId="196" applyNumberFormat="0" applyFont="0" applyAlignment="0" applyProtection="0"/>
    <xf numFmtId="0" fontId="35" fillId="126" borderId="196" applyNumberFormat="0" applyFont="0" applyAlignment="0" applyProtection="0"/>
    <xf numFmtId="0" fontId="37" fillId="85" borderId="18" applyNumberFormat="0" applyAlignment="0" applyProtection="0"/>
    <xf numFmtId="0" fontId="50" fillId="126" borderId="196"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0" fillId="126" borderId="196" applyNumberFormat="0" applyFont="0" applyAlignment="0" applyProtection="0"/>
    <xf numFmtId="191" fontId="7" fillId="12" borderId="18"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35" fillId="126" borderId="196" applyNumberFormat="0" applyFont="0" applyAlignment="0" applyProtection="0"/>
    <xf numFmtId="0" fontId="50" fillId="126" borderId="196" applyNumberFormat="0" applyFont="0" applyAlignment="0" applyProtection="0"/>
    <xf numFmtId="0" fontId="177" fillId="3" borderId="197" applyNumberFormat="0" applyAlignment="0" applyProtection="0"/>
    <xf numFmtId="0" fontId="177" fillId="3" borderId="197" applyNumberFormat="0" applyAlignment="0" applyProtection="0"/>
    <xf numFmtId="0" fontId="177" fillId="3" borderId="197" applyNumberFormat="0" applyAlignment="0" applyProtection="0"/>
    <xf numFmtId="0" fontId="177" fillId="3" borderId="197" applyNumberFormat="0" applyAlignment="0" applyProtection="0"/>
    <xf numFmtId="0" fontId="177" fillId="3" borderId="197" applyNumberFormat="0" applyAlignment="0" applyProtection="0"/>
    <xf numFmtId="0" fontId="177" fillId="3" borderId="197" applyNumberFormat="0" applyAlignment="0" applyProtection="0"/>
    <xf numFmtId="0" fontId="176" fillId="121" borderId="197" applyNumberFormat="0" applyAlignment="0" applyProtection="0"/>
    <xf numFmtId="0" fontId="105" fillId="73" borderId="21" applyNumberFormat="0" applyAlignment="0" applyProtection="0"/>
    <xf numFmtId="0" fontId="105" fillId="74" borderId="21" applyNumberFormat="0" applyAlignment="0" applyProtection="0"/>
    <xf numFmtId="0" fontId="45" fillId="27" borderId="21" applyNumberFormat="0" applyAlignment="0" applyProtection="0"/>
    <xf numFmtId="0" fontId="105" fillId="73" borderId="21" applyNumberFormat="0" applyAlignment="0" applyProtection="0"/>
    <xf numFmtId="0" fontId="176" fillId="3" borderId="197" applyNumberFormat="0" applyAlignment="0" applyProtection="0"/>
    <xf numFmtId="0" fontId="176" fillId="3" borderId="197" applyNumberFormat="0" applyAlignment="0" applyProtection="0"/>
    <xf numFmtId="191" fontId="176" fillId="3" borderId="197" applyNumberFormat="0" applyAlignment="0" applyProtection="0"/>
    <xf numFmtId="0" fontId="105" fillId="75" borderId="21" applyNumberFormat="0" applyAlignment="0" applyProtection="0"/>
    <xf numFmtId="0" fontId="105" fillId="74" borderId="21" applyNumberFormat="0" applyAlignment="0" applyProtection="0"/>
    <xf numFmtId="0" fontId="48" fillId="27" borderId="21" applyNumberFormat="0" applyAlignment="0" applyProtection="0"/>
    <xf numFmtId="0" fontId="45" fillId="27" borderId="21" applyNumberFormat="0" applyAlignment="0" applyProtection="0"/>
    <xf numFmtId="0" fontId="106" fillId="74" borderId="21" applyNumberFormat="0" applyAlignment="0" applyProtection="0"/>
    <xf numFmtId="0" fontId="48" fillId="27" borderId="21" applyNumberFormat="0" applyAlignment="0" applyProtection="0"/>
    <xf numFmtId="0" fontId="45" fillId="27" borderId="21" applyNumberFormat="0" applyAlignment="0" applyProtection="0"/>
    <xf numFmtId="191" fontId="45" fillId="27" borderId="21" applyNumberFormat="0" applyAlignment="0" applyProtection="0"/>
    <xf numFmtId="0" fontId="177" fillId="3" borderId="197" applyNumberFormat="0" applyAlignment="0" applyProtection="0"/>
    <xf numFmtId="0" fontId="177" fillId="3" borderId="197" applyNumberFormat="0" applyAlignment="0" applyProtection="0"/>
    <xf numFmtId="0" fontId="177" fillId="3" borderId="197" applyNumberFormat="0" applyAlignment="0" applyProtection="0"/>
    <xf numFmtId="9" fontId="24" fillId="0" borderId="0" applyFont="0" applyFill="0" applyBorder="0" applyAlignment="0" applyProtection="0"/>
    <xf numFmtId="10" fontId="79"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123" fillId="0" borderId="0" applyFont="0" applyFill="0" applyBorder="0" applyAlignment="0" applyProtection="0"/>
    <xf numFmtId="9" fontId="79" fillId="0" borderId="0" applyFill="0" applyBorder="0" applyAlignment="0" applyProtection="0"/>
    <xf numFmtId="9" fontId="79" fillId="0" borderId="0" applyFill="0" applyBorder="0" applyAlignment="0" applyProtection="0"/>
    <xf numFmtId="9" fontId="79"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9"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79"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9"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23" fillId="0" borderId="0" applyNumberFormat="0" applyFont="0" applyFill="0" applyBorder="0" applyAlignment="0" applyProtection="0">
      <alignment horizontal="left"/>
    </xf>
    <xf numFmtId="0" fontId="178" fillId="0" borderId="0" applyNumberFormat="0" applyBorder="0" applyAlignment="0"/>
    <xf numFmtId="0" fontId="179" fillId="0" borderId="0" applyNumberFormat="0" applyBorder="0" applyAlignment="0"/>
    <xf numFmtId="0" fontId="180" fillId="0" borderId="0" applyNumberFormat="0" applyBorder="0" applyAlignment="0"/>
    <xf numFmtId="0" fontId="107" fillId="0" borderId="0" applyNumberFormat="0" applyFill="0" applyBorder="0" applyAlignment="0" applyProtection="0"/>
    <xf numFmtId="0" fontId="108" fillId="0" borderId="0" applyNumberFormat="0" applyFill="0" applyBorder="0" applyAlignment="0" applyProtection="0"/>
    <xf numFmtId="0" fontId="121" fillId="0" borderId="0" applyNumberFormat="0" applyFill="0" applyBorder="0" applyAlignment="0" applyProtection="0"/>
    <xf numFmtId="0" fontId="107"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1" fontId="51" fillId="0" borderId="0" applyNumberFormat="0" applyFill="0" applyBorder="0" applyAlignment="0" applyProtection="0"/>
    <xf numFmtId="0" fontId="108"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191" fontId="121" fillId="0" borderId="0" applyNumberFormat="0" applyFill="0" applyBorder="0" applyAlignment="0" applyProtection="0"/>
    <xf numFmtId="0" fontId="181" fillId="0" borderId="0" applyNumberFormat="0" applyFill="0" applyBorder="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2" fillId="0" borderId="198" applyNumberFormat="0" applyFill="0" applyAlignment="0" applyProtection="0"/>
    <xf numFmtId="0" fontId="109"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9" fillId="0" borderId="23" applyNumberFormat="0" applyFill="0" applyAlignment="0" applyProtection="0"/>
    <xf numFmtId="0" fontId="182" fillId="0" borderId="22" applyNumberFormat="0" applyFill="0" applyAlignment="0" applyProtection="0"/>
    <xf numFmtId="0" fontId="109" fillId="0" borderId="25" applyNumberFormat="0" applyFill="0" applyAlignment="0" applyProtection="0"/>
    <xf numFmtId="0" fontId="46" fillId="0" borderId="25" applyNumberFormat="0" applyFill="0" applyAlignment="0" applyProtection="0"/>
    <xf numFmtId="0" fontId="182" fillId="0" borderId="22" applyNumberFormat="0" applyFill="0" applyAlignment="0" applyProtection="0"/>
    <xf numFmtId="191" fontId="182"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9" fillId="0" borderId="25" applyNumberFormat="0" applyFill="0" applyAlignment="0" applyProtection="0"/>
    <xf numFmtId="0" fontId="36" fillId="0" borderId="25" applyNumberFormat="0" applyFill="0" applyAlignment="0" applyProtection="0"/>
    <xf numFmtId="0" fontId="46" fillId="0" borderId="25" applyNumberFormat="0" applyFill="0" applyAlignment="0" applyProtection="0"/>
    <xf numFmtId="0" fontId="7" fillId="0" borderId="24" applyNumberFormat="0" applyFont="0" applyBorder="0" applyAlignment="0" applyProtection="0"/>
    <xf numFmtId="0" fontId="46" fillId="0" borderId="25" applyNumberFormat="0" applyFill="0" applyAlignment="0" applyProtection="0"/>
    <xf numFmtId="191" fontId="46" fillId="0" borderId="25" applyNumberFormat="0" applyFill="0" applyAlignment="0" applyProtection="0"/>
    <xf numFmtId="0" fontId="183" fillId="0" borderId="22" applyNumberFormat="0" applyFill="0" applyAlignment="0" applyProtection="0"/>
    <xf numFmtId="0" fontId="183" fillId="0" borderId="22" applyNumberFormat="0" applyFill="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1" fillId="0" borderId="0" applyNumberFormat="0" applyFill="0" applyBorder="0" applyAlignment="0" applyProtection="0"/>
    <xf numFmtId="0" fontId="110"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191" fontId="184" fillId="0" borderId="0" applyNumberFormat="0" applyFill="0" applyBorder="0" applyAlignment="0" applyProtection="0"/>
    <xf numFmtId="0" fontId="110"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0" fontId="111"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191" fontId="31"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cellStyleXfs>
  <cellXfs count="556">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5" fontId="7" fillId="0" borderId="34" xfId="0" applyNumberFormat="1" applyFont="1" applyBorder="1"/>
    <xf numFmtId="165" fontId="7" fillId="0" borderId="35" xfId="0" applyNumberFormat="1" applyFont="1" applyBorder="1"/>
    <xf numFmtId="165" fontId="7" fillId="0" borderId="36" xfId="0" applyNumberFormat="1" applyFont="1" applyBorder="1"/>
    <xf numFmtId="165"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5" fontId="15" fillId="0" borderId="53" xfId="0" applyNumberFormat="1" applyFont="1" applyFill="1" applyBorder="1" applyAlignment="1" applyProtection="1">
      <alignment horizontal="center"/>
    </xf>
    <xf numFmtId="170"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5"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0"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5" fontId="15" fillId="0" borderId="65" xfId="0" applyNumberFormat="1" applyFont="1" applyFill="1" applyBorder="1" applyAlignment="1" applyProtection="1">
      <alignment horizontal="center"/>
    </xf>
    <xf numFmtId="10" fontId="15" fillId="0" borderId="66" xfId="1867"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6" fontId="17" fillId="0" borderId="62" xfId="0" applyNumberFormat="1" applyFont="1" applyFill="1" applyBorder="1" applyAlignment="1" applyProtection="1">
      <alignment horizontal="right"/>
    </xf>
    <xf numFmtId="166" fontId="17" fillId="0" borderId="72" xfId="0" applyNumberFormat="1" applyFont="1" applyFill="1" applyBorder="1" applyAlignment="1" applyProtection="1">
      <alignment horizontal="right"/>
    </xf>
    <xf numFmtId="10" fontId="17" fillId="0" borderId="73" xfId="1867"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6" fontId="17" fillId="0" borderId="88" xfId="0" applyNumberFormat="1" applyFont="1" applyFill="1" applyBorder="1" applyAlignment="1" applyProtection="1">
      <alignment horizontal="right"/>
    </xf>
    <xf numFmtId="166" fontId="17" fillId="0" borderId="89" xfId="0" applyNumberFormat="1" applyFont="1" applyFill="1" applyBorder="1" applyAlignment="1" applyProtection="1">
      <alignment horizontal="right"/>
    </xf>
    <xf numFmtId="10" fontId="17" fillId="0" borderId="53" xfId="1867"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69"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6" fontId="17" fillId="0" borderId="98" xfId="0" applyNumberFormat="1" applyFont="1" applyFill="1" applyBorder="1" applyAlignment="1" applyProtection="1">
      <alignment horizontal="right"/>
    </xf>
    <xf numFmtId="166"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69"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6"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165"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5" fontId="34" fillId="0" borderId="14" xfId="1540" applyNumberFormat="1" applyFont="1" applyBorder="1" applyAlignment="1">
      <alignment horizontal="center"/>
    </xf>
    <xf numFmtId="0" fontId="7" fillId="0" borderId="14" xfId="1540" applyFont="1" applyBorder="1" applyAlignment="1">
      <alignment horizontal="center"/>
    </xf>
    <xf numFmtId="165"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4" fillId="0" borderId="0" xfId="1540" applyNumberFormat="1" applyFont="1" applyBorder="1" applyAlignment="1">
      <alignment horizontal="center" vertical="center" wrapText="1"/>
    </xf>
    <xf numFmtId="0" fontId="55" fillId="0" borderId="112" xfId="1540" applyFont="1" applyFill="1" applyBorder="1" applyAlignment="1">
      <alignment horizontal="center" vertical="center" wrapText="1"/>
    </xf>
    <xf numFmtId="0" fontId="55" fillId="0" borderId="113" xfId="1540" applyFont="1" applyBorder="1" applyAlignment="1">
      <alignment horizontal="center" vertical="center" wrapText="1"/>
    </xf>
    <xf numFmtId="0" fontId="55" fillId="0" borderId="0" xfId="1540" applyFont="1" applyFill="1" applyBorder="1" applyAlignment="1">
      <alignment horizontal="center" vertical="center" wrapText="1"/>
    </xf>
    <xf numFmtId="0" fontId="7" fillId="0" borderId="0" xfId="1540" applyFont="1" applyBorder="1" applyAlignment="1">
      <alignment horizontal="center"/>
    </xf>
    <xf numFmtId="3" fontId="55" fillId="0" borderId="0" xfId="1540" applyNumberFormat="1" applyFont="1" applyBorder="1" applyAlignment="1">
      <alignment horizontal="center" vertical="center" wrapText="1"/>
    </xf>
    <xf numFmtId="3" fontId="52" fillId="0" borderId="0" xfId="1540" applyNumberFormat="1" applyFont="1" applyBorder="1" applyAlignment="1">
      <alignment horizontal="center" vertical="center" wrapText="1"/>
    </xf>
    <xf numFmtId="3" fontId="52" fillId="92" borderId="0" xfId="1540" applyNumberFormat="1" applyFont="1" applyFill="1" applyBorder="1" applyAlignment="1">
      <alignment horizontal="left" vertical="center"/>
    </xf>
    <xf numFmtId="0" fontId="7" fillId="92" borderId="0" xfId="1540" applyFont="1" applyFill="1" applyBorder="1"/>
    <xf numFmtId="10" fontId="52" fillId="92" borderId="0" xfId="1540" applyNumberFormat="1" applyFont="1" applyFill="1" applyBorder="1" applyAlignment="1">
      <alignment horizontal="center" vertical="center" wrapText="1"/>
    </xf>
    <xf numFmtId="3" fontId="52" fillId="92" borderId="0" xfId="1540" applyNumberFormat="1" applyFont="1" applyFill="1" applyBorder="1" applyAlignment="1">
      <alignment horizontal="center" vertical="center" wrapText="1"/>
    </xf>
    <xf numFmtId="0" fontId="52" fillId="92" borderId="0" xfId="1540" applyFont="1" applyFill="1" applyBorder="1" applyAlignment="1">
      <alignment horizontal="center" vertical="center" wrapText="1"/>
    </xf>
    <xf numFmtId="3" fontId="55" fillId="0" borderId="1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68" fontId="34" fillId="0" borderId="114" xfId="1540" applyNumberFormat="1" applyFont="1" applyBorder="1" applyAlignment="1">
      <alignment horizontal="center" vertical="center" wrapText="1"/>
    </xf>
    <xf numFmtId="167" fontId="34" fillId="0" borderId="14" xfId="1540" applyNumberFormat="1" applyFont="1" applyBorder="1" applyAlignment="1">
      <alignment horizontal="center" vertical="center" wrapText="1"/>
    </xf>
    <xf numFmtId="3" fontId="52" fillId="0" borderId="114" xfId="1540" applyNumberFormat="1" applyFont="1" applyBorder="1" applyAlignment="1">
      <alignment horizontal="center" vertical="center" wrapText="1"/>
    </xf>
    <xf numFmtId="0" fontId="52" fillId="0" borderId="118" xfId="1540" applyFont="1" applyBorder="1" applyAlignment="1">
      <alignment horizontal="center" vertical="center" wrapText="1"/>
    </xf>
    <xf numFmtId="49" fontId="55" fillId="0" borderId="118" xfId="1540" applyNumberFormat="1" applyFont="1" applyBorder="1" applyAlignment="1">
      <alignment horizontal="center" vertical="center" wrapText="1"/>
    </xf>
    <xf numFmtId="168" fontId="55" fillId="0" borderId="114" xfId="1540" applyNumberFormat="1" applyFont="1" applyBorder="1" applyAlignment="1">
      <alignment horizontal="center" vertical="center" wrapText="1"/>
    </xf>
    <xf numFmtId="167" fontId="55" fillId="0" borderId="14" xfId="1540" applyNumberFormat="1" applyFont="1" applyBorder="1" applyAlignment="1">
      <alignment horizontal="center" vertical="center" wrapText="1"/>
    </xf>
    <xf numFmtId="0" fontId="55" fillId="0" borderId="14" xfId="1540" applyFont="1" applyFill="1" applyBorder="1" applyAlignment="1">
      <alignment horizontal="center" vertical="center" wrapText="1"/>
    </xf>
    <xf numFmtId="0" fontId="56" fillId="0" borderId="14" xfId="1540" applyFont="1" applyFill="1" applyBorder="1" applyAlignment="1">
      <alignment horizontal="center" vertical="center" wrapText="1"/>
    </xf>
    <xf numFmtId="0" fontId="56" fillId="0" borderId="118" xfId="1540" applyFont="1" applyBorder="1" applyAlignment="1">
      <alignment horizontal="center" vertical="center" wrapText="1"/>
    </xf>
    <xf numFmtId="0" fontId="50" fillId="0" borderId="0" xfId="1706" applyFont="1"/>
    <xf numFmtId="0" fontId="7" fillId="0" borderId="0" xfId="1554" applyFont="1"/>
    <xf numFmtId="10" fontId="7" fillId="0" borderId="0" xfId="1961" applyNumberFormat="1" applyFont="1" applyBorder="1"/>
    <xf numFmtId="0" fontId="7" fillId="0" borderId="0" xfId="1554" applyFont="1" applyAlignment="1">
      <alignment horizontal="left"/>
    </xf>
    <xf numFmtId="3" fontId="55" fillId="0" borderId="14" xfId="1540" applyNumberFormat="1" applyFont="1" applyFill="1" applyBorder="1" applyAlignment="1">
      <alignment horizontal="center" vertical="center" wrapText="1"/>
    </xf>
    <xf numFmtId="3" fontId="52"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9"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3" fontId="3" fillId="0" borderId="122" xfId="1164" applyNumberFormat="1" applyFont="1" applyFill="1" applyBorder="1" applyAlignment="1">
      <alignment horizontal="left"/>
    </xf>
    <xf numFmtId="0" fontId="60" fillId="0" borderId="14" xfId="1540" applyFont="1" applyBorder="1" applyAlignment="1" applyProtection="1">
      <alignment vertical="center"/>
    </xf>
    <xf numFmtId="0" fontId="60" fillId="0" borderId="14" xfId="1540" applyFont="1" applyBorder="1" applyAlignment="1" applyProtection="1">
      <alignment horizontal="left" vertical="center"/>
    </xf>
    <xf numFmtId="0" fontId="7" fillId="0" borderId="0" xfId="1540" applyFont="1" applyAlignment="1">
      <alignment horizontal="center" vertical="center"/>
    </xf>
    <xf numFmtId="10" fontId="7" fillId="0" borderId="123" xfId="1963" applyNumberFormat="1" applyFont="1" applyBorder="1"/>
    <xf numFmtId="10" fontId="7" fillId="0" borderId="0" xfId="1963" applyNumberFormat="1" applyFont="1" applyBorder="1"/>
    <xf numFmtId="10" fontId="7" fillId="0" borderId="124" xfId="1963" applyNumberFormat="1" applyFont="1" applyBorder="1" applyAlignment="1">
      <alignment horizontal="center" vertical="center" wrapText="1"/>
    </xf>
    <xf numFmtId="43" fontId="7" fillId="83" borderId="125" xfId="1096" applyNumberFormat="1" applyFont="1" applyFill="1" applyBorder="1" applyAlignment="1">
      <alignment horizontal="center" vertical="center"/>
    </xf>
    <xf numFmtId="43" fontId="7" fillId="83" borderId="126" xfId="1096" applyNumberFormat="1" applyFont="1" applyFill="1" applyBorder="1" applyAlignment="1">
      <alignment horizontal="center" vertical="center"/>
    </xf>
    <xf numFmtId="177" fontId="50" fillId="0" borderId="0" xfId="1706" applyNumberFormat="1" applyFont="1"/>
    <xf numFmtId="178" fontId="50" fillId="0" borderId="0" xfId="1077" applyNumberFormat="1" applyFont="1"/>
    <xf numFmtId="179" fontId="50" fillId="0" borderId="0" xfId="1706" applyNumberFormat="1" applyFont="1"/>
    <xf numFmtId="0" fontId="9" fillId="0" borderId="14" xfId="1540" applyFont="1" applyBorder="1"/>
    <xf numFmtId="0" fontId="9" fillId="92" borderId="39" xfId="0" applyFont="1" applyFill="1" applyBorder="1" applyAlignment="1" applyProtection="1">
      <alignment horizontal="center" wrapText="1"/>
      <protection locked="0"/>
    </xf>
    <xf numFmtId="0" fontId="52" fillId="92" borderId="26" xfId="1540" applyFont="1" applyFill="1" applyBorder="1" applyAlignment="1">
      <alignment horizontal="center" vertical="center" wrapText="1"/>
    </xf>
    <xf numFmtId="0" fontId="7" fillId="92" borderId="124" xfId="1540" applyFont="1" applyFill="1" applyBorder="1"/>
    <xf numFmtId="0" fontId="52" fillId="0" borderId="26" xfId="1540" applyFont="1" applyBorder="1" applyAlignment="1">
      <alignment horizontal="center" vertical="center" wrapText="1"/>
    </xf>
    <xf numFmtId="3" fontId="55" fillId="0" borderId="124" xfId="1540" applyNumberFormat="1" applyFont="1" applyBorder="1" applyAlignment="1">
      <alignment horizontal="center" vertical="center" wrapText="1"/>
    </xf>
    <xf numFmtId="0" fontId="7" fillId="92" borderId="26" xfId="1540" applyFont="1" applyFill="1" applyBorder="1"/>
    <xf numFmtId="0" fontId="29" fillId="94" borderId="127" xfId="0" applyFont="1" applyFill="1" applyBorder="1" applyAlignment="1" applyProtection="1">
      <alignment horizontal="center" vertical="center"/>
    </xf>
    <xf numFmtId="0" fontId="29" fillId="94" borderId="128" xfId="0" applyFont="1" applyFill="1" applyBorder="1" applyAlignment="1" applyProtection="1">
      <alignment horizontal="center" vertical="center"/>
    </xf>
    <xf numFmtId="0" fontId="6" fillId="92" borderId="129" xfId="0" applyFont="1" applyFill="1" applyBorder="1" applyAlignment="1" applyProtection="1">
      <alignment horizontal="center" vertical="center" wrapText="1"/>
    </xf>
    <xf numFmtId="0" fontId="6" fillId="92" borderId="13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58" fillId="0" borderId="0" xfId="1706" applyFont="1" applyAlignment="1">
      <alignment horizontal="left" vertical="center"/>
    </xf>
    <xf numFmtId="0" fontId="50" fillId="0" borderId="0" xfId="1708" applyFont="1"/>
    <xf numFmtId="0" fontId="28" fillId="0" borderId="0" xfId="0" applyFont="1" applyFill="1" applyBorder="1" applyAlignment="1" applyProtection="1">
      <alignment horizontal="center" vertical="center" wrapText="1"/>
      <protection locked="0"/>
    </xf>
    <xf numFmtId="0" fontId="57" fillId="83" borderId="26" xfId="1708" applyFont="1" applyFill="1" applyBorder="1" applyAlignment="1">
      <alignment horizontal="right"/>
    </xf>
    <xf numFmtId="0" fontId="57" fillId="83" borderId="0" xfId="1708" applyFont="1" applyFill="1" applyBorder="1" applyAlignment="1">
      <alignment horizontal="right"/>
    </xf>
    <xf numFmtId="0" fontId="57" fillId="83" borderId="124" xfId="1708" applyFont="1" applyFill="1" applyBorder="1" applyAlignment="1">
      <alignment horizontal="right"/>
    </xf>
    <xf numFmtId="0" fontId="57" fillId="92" borderId="26" xfId="1708" applyFont="1" applyFill="1" applyBorder="1" applyAlignment="1">
      <alignment horizontal="center" vertical="top"/>
    </xf>
    <xf numFmtId="0" fontId="57" fillId="92" borderId="0" xfId="1708" applyFont="1" applyFill="1" applyBorder="1" applyAlignment="1">
      <alignment horizontal="center" vertical="top"/>
    </xf>
    <xf numFmtId="0" fontId="57" fillId="92" borderId="124" xfId="1708" applyFont="1" applyFill="1" applyBorder="1" applyAlignment="1">
      <alignment horizontal="center" vertical="top"/>
    </xf>
    <xf numFmtId="0" fontId="57" fillId="0" borderId="131" xfId="1708" applyFont="1" applyBorder="1"/>
    <xf numFmtId="10" fontId="57" fillId="0" borderId="132" xfId="1708" applyNumberFormat="1" applyFont="1" applyBorder="1"/>
    <xf numFmtId="10" fontId="57" fillId="0" borderId="133" xfId="1708" applyNumberFormat="1" applyFont="1" applyBorder="1"/>
    <xf numFmtId="10" fontId="57" fillId="0" borderId="134" xfId="1708" applyNumberFormat="1" applyFont="1" applyBorder="1"/>
    <xf numFmtId="0" fontId="57" fillId="0" borderId="135" xfId="1708" applyFont="1" applyBorder="1"/>
    <xf numFmtId="0" fontId="57" fillId="0" borderId="26" xfId="1708" applyFont="1" applyBorder="1" applyAlignment="1">
      <alignment horizontal="left" vertical="center" wrapText="1"/>
    </xf>
    <xf numFmtId="0" fontId="61" fillId="0" borderId="135" xfId="1708" applyFont="1" applyBorder="1" applyAlignment="1">
      <alignment horizontal="left" vertical="top" wrapText="1"/>
    </xf>
    <xf numFmtId="0" fontId="58" fillId="0" borderId="136" xfId="1708" applyFont="1" applyBorder="1" applyAlignment="1">
      <alignment vertical="top" wrapText="1"/>
    </xf>
    <xf numFmtId="0" fontId="50" fillId="83" borderId="137" xfId="1708" applyFont="1" applyFill="1" applyBorder="1" applyAlignment="1">
      <alignment wrapText="1"/>
    </xf>
    <xf numFmtId="43" fontId="50" fillId="83" borderId="125" xfId="1708" applyNumberFormat="1" applyFont="1" applyFill="1" applyBorder="1" applyAlignment="1">
      <alignment horizontal="center" vertical="center"/>
    </xf>
    <xf numFmtId="43" fontId="50" fillId="83" borderId="126" xfId="1708" applyNumberFormat="1" applyFont="1" applyFill="1" applyBorder="1" applyAlignment="1">
      <alignment horizontal="center" vertical="center"/>
    </xf>
    <xf numFmtId="0" fontId="50" fillId="83" borderId="138" xfId="1708" applyFont="1" applyFill="1" applyBorder="1" applyAlignment="1">
      <alignment wrapText="1"/>
    </xf>
    <xf numFmtId="43" fontId="50" fillId="83" borderId="0" xfId="1708" applyNumberFormat="1" applyFont="1" applyFill="1" applyBorder="1" applyAlignment="1">
      <alignment horizontal="center" vertical="center"/>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2"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4" fontId="7" fillId="0" borderId="14" xfId="1077" applyNumberFormat="1" applyFont="1" applyFill="1" applyBorder="1" applyAlignment="1">
      <alignment horizontal="right"/>
    </xf>
    <xf numFmtId="174" fontId="9" fillId="0" borderId="14" xfId="1077" applyNumberFormat="1" applyFont="1" applyFill="1" applyBorder="1" applyAlignment="1">
      <alignment horizontal="right"/>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39" xfId="1540" applyFont="1" applyBorder="1" applyAlignment="1">
      <alignment horizontal="center"/>
    </xf>
    <xf numFmtId="0" fontId="7" fillId="0" borderId="140" xfId="1540" applyFont="1" applyBorder="1" applyAlignment="1">
      <alignment horizontal="center"/>
    </xf>
    <xf numFmtId="0" fontId="7" fillId="0" borderId="141" xfId="1540" applyFont="1" applyBorder="1" applyAlignment="1">
      <alignment horizontal="center"/>
    </xf>
    <xf numFmtId="0" fontId="55" fillId="0" borderId="142" xfId="1540" applyFont="1" applyBorder="1" applyAlignment="1">
      <alignment horizontal="center" vertical="center" wrapText="1"/>
    </xf>
    <xf numFmtId="3" fontId="52" fillId="0" borderId="14" xfId="1540" applyNumberFormat="1" applyFont="1" applyBorder="1" applyAlignment="1">
      <alignment horizontal="center" vertical="center" wrapText="1"/>
    </xf>
    <xf numFmtId="0" fontId="64" fillId="0" borderId="143" xfId="1540" applyFont="1" applyBorder="1" applyAlignment="1">
      <alignment horizontal="center" vertical="center" wrapText="1"/>
    </xf>
    <xf numFmtId="0" fontId="64" fillId="0" borderId="144"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5" fillId="0" borderId="118" xfId="1540" applyNumberFormat="1" applyFont="1" applyBorder="1" applyAlignment="1">
      <alignment horizontal="center" vertical="center" wrapText="1"/>
    </xf>
    <xf numFmtId="3" fontId="65" fillId="0" borderId="14" xfId="1540" applyNumberFormat="1" applyFont="1" applyBorder="1" applyAlignment="1">
      <alignment horizontal="center" vertical="center" wrapText="1"/>
    </xf>
    <xf numFmtId="168" fontId="65" fillId="0" borderId="114" xfId="1540" applyNumberFormat="1" applyFont="1" applyBorder="1" applyAlignment="1">
      <alignment horizontal="center" vertical="center" wrapText="1"/>
    </xf>
    <xf numFmtId="0" fontId="65" fillId="0" borderId="116" xfId="1540" applyFont="1" applyBorder="1" applyAlignment="1">
      <alignment horizontal="center" vertical="center" wrapText="1"/>
    </xf>
    <xf numFmtId="10" fontId="65" fillId="0" borderId="116" xfId="1540" applyNumberFormat="1" applyFont="1" applyBorder="1" applyAlignment="1">
      <alignment horizontal="center" vertical="center" wrapText="1"/>
    </xf>
    <xf numFmtId="3" fontId="65" fillId="0" borderId="116" xfId="1540" applyNumberFormat="1" applyFont="1" applyBorder="1" applyAlignment="1">
      <alignment horizontal="center" vertical="center" wrapText="1"/>
    </xf>
    <xf numFmtId="3" fontId="65" fillId="0" borderId="115" xfId="1540" applyNumberFormat="1" applyFont="1" applyBorder="1" applyAlignment="1">
      <alignment horizontal="center" vertical="center" wrapText="1"/>
    </xf>
    <xf numFmtId="167" fontId="65"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9" xfId="1540" applyFont="1" applyFill="1" applyBorder="1" applyAlignment="1">
      <alignment horizontal="left" wrapText="1"/>
    </xf>
    <xf numFmtId="0" fontId="7" fillId="86" borderId="130"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45"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38"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5" fillId="0" borderId="14" xfId="1540" applyNumberFormat="1" applyFont="1" applyBorder="1" applyAlignment="1">
      <alignment horizontal="center" vertical="center" wrapText="1"/>
    </xf>
    <xf numFmtId="168" fontId="185" fillId="0" borderId="114" xfId="1540" applyNumberFormat="1" applyFont="1" applyBorder="1" applyAlignment="1">
      <alignment horizontal="center" vertical="center" wrapText="1"/>
    </xf>
    <xf numFmtId="167" fontId="185" fillId="0" borderId="14" xfId="1540" applyNumberFormat="1" applyFont="1" applyBorder="1" applyAlignment="1">
      <alignment horizontal="center" vertical="center" wrapText="1"/>
    </xf>
    <xf numFmtId="3" fontId="185" fillId="0" borderId="114" xfId="1540" applyNumberFormat="1" applyFont="1" applyBorder="1" applyAlignment="1">
      <alignment horizontal="center" vertical="center" wrapText="1"/>
    </xf>
    <xf numFmtId="10" fontId="185" fillId="0" borderId="14" xfId="1540" applyNumberFormat="1" applyFont="1" applyBorder="1" applyAlignment="1">
      <alignment horizontal="center" vertical="center" wrapText="1"/>
    </xf>
    <xf numFmtId="0" fontId="185" fillId="0" borderId="14" xfId="1540" applyFont="1" applyBorder="1" applyAlignment="1">
      <alignment horizontal="center" vertical="center" wrapText="1"/>
    </xf>
    <xf numFmtId="0" fontId="186" fillId="0" borderId="14" xfId="1540" applyFont="1" applyBorder="1" applyAlignment="1">
      <alignment horizontal="right" vertical="center" wrapText="1"/>
    </xf>
    <xf numFmtId="49" fontId="185" fillId="0" borderId="118" xfId="1540" applyNumberFormat="1" applyFont="1" applyBorder="1" applyAlignment="1">
      <alignment horizontal="center" vertical="center" wrapText="1"/>
    </xf>
    <xf numFmtId="0" fontId="185" fillId="0" borderId="118" xfId="1540" applyNumberFormat="1" applyFont="1" applyBorder="1" applyAlignment="1">
      <alignment horizontal="center" vertical="center" wrapText="1"/>
    </xf>
    <xf numFmtId="0" fontId="50" fillId="0" borderId="146" xfId="1708" applyFont="1" applyBorder="1"/>
    <xf numFmtId="0" fontId="50" fillId="0" borderId="147" xfId="1708" applyFont="1" applyBorder="1"/>
    <xf numFmtId="0" fontId="57" fillId="92" borderId="14" xfId="1708" applyFont="1" applyFill="1" applyBorder="1" applyAlignment="1">
      <alignment horizontal="center"/>
    </xf>
    <xf numFmtId="0" fontId="57" fillId="92" borderId="14" xfId="1708" applyFont="1" applyFill="1" applyBorder="1" applyAlignment="1">
      <alignment horizontal="center" vertical="top"/>
    </xf>
    <xf numFmtId="43" fontId="50" fillId="0" borderId="14" xfId="1708" applyNumberFormat="1" applyFont="1" applyBorder="1" applyAlignment="1">
      <alignment horizontal="center" vertical="center"/>
    </xf>
    <xf numFmtId="43" fontId="50" fillId="83" borderId="148" xfId="1708" applyNumberFormat="1" applyFont="1" applyFill="1" applyBorder="1" applyAlignment="1">
      <alignment horizontal="center" vertical="center"/>
    </xf>
    <xf numFmtId="43" fontId="7" fillId="0" borderId="14" xfId="1096" applyNumberFormat="1" applyFont="1" applyBorder="1" applyAlignment="1">
      <alignment horizontal="center" vertical="center"/>
    </xf>
    <xf numFmtId="0" fontId="36" fillId="92" borderId="14" xfId="1708" applyFont="1" applyFill="1" applyBorder="1" applyAlignment="1">
      <alignment horizontal="center" vertical="center"/>
    </xf>
    <xf numFmtId="0" fontId="146" fillId="0" borderId="26" xfId="1709" applyFont="1" applyBorder="1" applyProtection="1">
      <protection locked="0"/>
    </xf>
    <xf numFmtId="10" fontId="187" fillId="0" borderId="0" xfId="1962" applyNumberFormat="1" applyFont="1" applyBorder="1" applyProtection="1">
      <protection locked="0"/>
    </xf>
    <xf numFmtId="10" fontId="187" fillId="0" borderId="149" xfId="1962" applyNumberFormat="1" applyFont="1" applyBorder="1" applyProtection="1">
      <protection locked="0"/>
    </xf>
    <xf numFmtId="10" fontId="187" fillId="0" borderId="124" xfId="1962" applyNumberFormat="1" applyFont="1" applyBorder="1" applyProtection="1">
      <protection locked="0"/>
    </xf>
    <xf numFmtId="0" fontId="146" fillId="127" borderId="0" xfId="1709" applyFont="1" applyFill="1" applyBorder="1" applyProtection="1">
      <protection locked="0"/>
    </xf>
    <xf numFmtId="10" fontId="187" fillId="127" borderId="0" xfId="1962" applyNumberFormat="1" applyFont="1" applyFill="1" applyBorder="1" applyProtection="1">
      <protection locked="0"/>
    </xf>
    <xf numFmtId="0" fontId="146" fillId="0" borderId="138" xfId="1709" applyFont="1" applyBorder="1" applyProtection="1">
      <protection locked="0"/>
    </xf>
    <xf numFmtId="0" fontId="146" fillId="127" borderId="150" xfId="1709" applyFont="1" applyFill="1" applyBorder="1" applyProtection="1">
      <protection locked="0"/>
    </xf>
    <xf numFmtId="10" fontId="187" fillId="0" borderId="148" xfId="1962" applyNumberFormat="1" applyFont="1" applyBorder="1" applyProtection="1">
      <protection locked="0"/>
    </xf>
    <xf numFmtId="43" fontId="187" fillId="128" borderId="0" xfId="1095" applyNumberFormat="1" applyFont="1" applyFill="1" applyBorder="1" applyProtection="1">
      <protection locked="0"/>
    </xf>
    <xf numFmtId="43" fontId="187" fillId="127" borderId="0" xfId="1095" applyNumberFormat="1" applyFont="1" applyFill="1" applyBorder="1" applyProtection="1">
      <protection locked="0"/>
    </xf>
    <xf numFmtId="43" fontId="187" fillId="127" borderId="150" xfId="1095" applyNumberFormat="1" applyFont="1" applyFill="1" applyBorder="1" applyProtection="1">
      <protection locked="0"/>
    </xf>
    <xf numFmtId="1" fontId="9" fillId="92" borderId="14" xfId="0" applyNumberFormat="1" applyFont="1" applyFill="1" applyBorder="1" applyAlignment="1" applyProtection="1">
      <alignment horizontal="center" wrapText="1"/>
      <protection locked="0"/>
    </xf>
    <xf numFmtId="0" fontId="50" fillId="0" borderId="124" xfId="1706" applyFont="1" applyBorder="1"/>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43" fontId="36" fillId="0" borderId="136" xfId="1098" applyNumberFormat="1" applyFont="1" applyBorder="1"/>
    <xf numFmtId="0" fontId="35" fillId="0" borderId="26" xfId="1708" applyFont="1" applyBorder="1" applyAlignment="1">
      <alignment wrapText="1"/>
    </xf>
    <xf numFmtId="0" fontId="35" fillId="0" borderId="152" xfId="1708" applyFont="1" applyBorder="1" applyAlignment="1">
      <alignment wrapText="1"/>
    </xf>
    <xf numFmtId="0" fontId="35" fillId="0" borderId="113" xfId="1708" applyFont="1" applyBorder="1" applyAlignment="1">
      <alignment wrapText="1"/>
    </xf>
    <xf numFmtId="43" fontId="36" fillId="0" borderId="153" xfId="1098" applyNumberFormat="1" applyFont="1" applyBorder="1"/>
    <xf numFmtId="43" fontId="7" fillId="0" borderId="154" xfId="1098" applyNumberFormat="1" applyFont="1" applyBorder="1"/>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2" fontId="7" fillId="86" borderId="14" xfId="1066" applyNumberFormat="1" applyFont="1" applyFill="1" applyBorder="1" applyAlignment="1">
      <alignment horizontal="center"/>
    </xf>
    <xf numFmtId="172" fontId="7" fillId="0" borderId="14" xfId="1066" applyNumberFormat="1" applyFont="1" applyBorder="1" applyAlignment="1">
      <alignment horizontal="center"/>
    </xf>
    <xf numFmtId="172" fontId="7" fillId="0" borderId="14" xfId="1066" applyNumberFormat="1" applyFont="1" applyFill="1" applyBorder="1" applyAlignment="1">
      <alignment horizontal="center"/>
    </xf>
    <xf numFmtId="172" fontId="7" fillId="0" borderId="0" xfId="1066" applyNumberFormat="1" applyFont="1" applyFill="1" applyBorder="1" applyAlignment="1">
      <alignment horizont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0" fontId="7" fillId="0" borderId="14" xfId="1540" applyFont="1" applyFill="1" applyBorder="1"/>
    <xf numFmtId="0" fontId="7" fillId="0" borderId="14" xfId="1540" applyFont="1" applyFill="1" applyBorder="1" applyAlignment="1">
      <alignment horizontal="center" vertical="center"/>
    </xf>
    <xf numFmtId="0" fontId="57" fillId="0" borderId="26" xfId="1708" applyFont="1" applyBorder="1" applyAlignment="1">
      <alignment vertical="top" wrapText="1"/>
    </xf>
    <xf numFmtId="0" fontId="36" fillId="0" borderId="142" xfId="1708" applyFont="1" applyBorder="1" applyAlignment="1">
      <alignment horizontal="center"/>
    </xf>
    <xf numFmtId="43" fontId="7" fillId="0" borderId="156" xfId="1098" applyNumberFormat="1" applyFont="1" applyBorder="1"/>
    <xf numFmtId="3" fontId="185"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43" fontId="187" fillId="128" borderId="151" xfId="1095" applyNumberFormat="1" applyFont="1" applyFill="1" applyBorder="1" applyProtection="1">
      <protection locked="0"/>
    </xf>
    <xf numFmtId="0" fontId="35" fillId="0" borderId="0" xfId="1706" applyFont="1"/>
    <xf numFmtId="43" fontId="50" fillId="0" borderId="14" xfId="1708" applyNumberFormat="1" applyFont="1" applyFill="1" applyBorder="1" applyAlignment="1">
      <alignment horizontal="center" vertical="center"/>
    </xf>
    <xf numFmtId="43" fontId="7" fillId="0" borderId="14" xfId="1096" applyNumberFormat="1" applyFont="1" applyFill="1" applyBorder="1" applyAlignment="1">
      <alignment horizontal="center" vertical="center"/>
    </xf>
    <xf numFmtId="172" fontId="188" fillId="0" borderId="0" xfId="1540" applyNumberFormat="1" applyFont="1" applyAlignment="1">
      <alignment horizontal="center" vertical="center"/>
    </xf>
    <xf numFmtId="0" fontId="2" fillId="0" borderId="0" xfId="1540" applyAlignment="1">
      <alignment horizontal="center" vertical="center"/>
    </xf>
    <xf numFmtId="165" fontId="7" fillId="0" borderId="14" xfId="1540" applyNumberFormat="1" applyFont="1" applyFill="1" applyBorder="1" applyAlignment="1">
      <alignment horizontal="center" vertical="center"/>
    </xf>
    <xf numFmtId="165" fontId="7" fillId="0" borderId="14" xfId="1540" applyNumberFormat="1" applyFont="1" applyBorder="1" applyAlignment="1">
      <alignment horizontal="center" vertical="center"/>
    </xf>
    <xf numFmtId="165"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0" fontId="29" fillId="94" borderId="127"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3"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7"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2" fillId="0" borderId="14" xfId="1540" applyNumberFormat="1" applyFont="1" applyBorder="1" applyAlignment="1">
      <alignment horizontal="center" vertical="center" wrapText="1"/>
    </xf>
    <xf numFmtId="3" fontId="54" fillId="0" borderId="14" xfId="1540" applyNumberFormat="1" applyFont="1" applyBorder="1" applyAlignment="1">
      <alignment horizontal="center" vertical="center" wrapText="1"/>
    </xf>
    <xf numFmtId="49" fontId="185" fillId="0" borderId="14" xfId="1540" applyNumberFormat="1" applyFont="1" applyBorder="1" applyAlignment="1">
      <alignment horizontal="center" vertical="center" wrapText="1"/>
    </xf>
    <xf numFmtId="0" fontId="55" fillId="0" borderId="14" xfId="1540" applyFont="1" applyBorder="1" applyAlignment="1">
      <alignment horizontal="center" vertical="center" wrapText="1"/>
    </xf>
    <xf numFmtId="0" fontId="64" fillId="0" borderId="14" xfId="1540" applyFont="1" applyBorder="1" applyAlignment="1">
      <alignment horizontal="center" vertical="center"/>
    </xf>
    <xf numFmtId="0" fontId="55" fillId="0" borderId="14" xfId="1540" applyFont="1" applyBorder="1" applyAlignment="1">
      <alignment horizontal="left" vertical="center" wrapText="1"/>
    </xf>
    <xf numFmtId="0" fontId="64"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67"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5" fillId="0" borderId="14" xfId="1540" applyNumberFormat="1" applyFont="1" applyBorder="1" applyAlignment="1">
      <alignment horizontal="center" vertical="center" wrapText="1"/>
    </xf>
    <xf numFmtId="10" fontId="55" fillId="0" borderId="14" xfId="1540" applyNumberFormat="1" applyFont="1" applyBorder="1" applyAlignment="1">
      <alignment horizontal="center" vertical="center" wrapText="1"/>
    </xf>
    <xf numFmtId="49" fontId="65"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5" fillId="130" borderId="118" xfId="1540" applyNumberFormat="1" applyFont="1" applyFill="1" applyBorder="1" applyAlignment="1">
      <alignment horizontal="center" vertical="center" wrapText="1"/>
    </xf>
    <xf numFmtId="3" fontId="55" fillId="130" borderId="14" xfId="1540" applyNumberFormat="1" applyFont="1" applyFill="1" applyBorder="1" applyAlignment="1">
      <alignment horizontal="center" vertical="center" wrapText="1"/>
    </xf>
    <xf numFmtId="167" fontId="55" fillId="130" borderId="14" xfId="1540" applyNumberFormat="1" applyFont="1" applyFill="1" applyBorder="1" applyAlignment="1">
      <alignment horizontal="center" vertical="center" wrapText="1"/>
    </xf>
    <xf numFmtId="168" fontId="55" fillId="130" borderId="114" xfId="1540" applyNumberFormat="1" applyFont="1" applyFill="1" applyBorder="1" applyAlignment="1">
      <alignment horizontal="center" vertical="center" wrapText="1"/>
    </xf>
    <xf numFmtId="3" fontId="7" fillId="130" borderId="14" xfId="1540" applyNumberFormat="1" applyFont="1" applyFill="1" applyBorder="1" applyAlignment="1">
      <alignment horizontal="center" vertical="center" wrapText="1"/>
    </xf>
    <xf numFmtId="167" fontId="7" fillId="130" borderId="14" xfId="1540" applyNumberFormat="1" applyFont="1" applyFill="1" applyBorder="1" applyAlignment="1">
      <alignment horizontal="center" vertical="center" wrapText="1"/>
    </xf>
    <xf numFmtId="168" fontId="7" fillId="130" borderId="114" xfId="1540" applyNumberFormat="1" applyFont="1" applyFill="1" applyBorder="1" applyAlignment="1">
      <alignment horizontal="center" vertical="center" wrapText="1"/>
    </xf>
    <xf numFmtId="174"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2" fontId="7" fillId="0" borderId="0" xfId="1540" applyNumberFormat="1" applyFont="1" applyAlignment="1">
      <alignment horizontal="center" vertical="center"/>
    </xf>
    <xf numFmtId="172" fontId="6" fillId="92" borderId="14" xfId="0" applyNumberFormat="1" applyFont="1" applyFill="1" applyBorder="1" applyAlignment="1" applyProtection="1">
      <alignment horizontal="center" vertical="center" wrapText="1"/>
    </xf>
    <xf numFmtId="172" fontId="7" fillId="86" borderId="14" xfId="1066" applyNumberFormat="1" applyFont="1" applyFill="1" applyBorder="1" applyAlignment="1">
      <alignment horizontal="center" vertical="center"/>
    </xf>
    <xf numFmtId="172" fontId="7" fillId="86" borderId="0" xfId="1540" applyNumberFormat="1" applyFont="1" applyFill="1" applyAlignment="1">
      <alignment horizontal="center" vertical="center"/>
    </xf>
    <xf numFmtId="172" fontId="7" fillId="0" borderId="0" xfId="1540" applyNumberFormat="1" applyFont="1" applyFill="1" applyAlignment="1">
      <alignment horizontal="center" vertical="center"/>
    </xf>
    <xf numFmtId="43" fontId="187" fillId="128" borderId="150" xfId="1095" applyNumberFormat="1" applyFont="1" applyFill="1" applyBorder="1" applyProtection="1">
      <protection locked="0"/>
    </xf>
    <xf numFmtId="0" fontId="57" fillId="0" borderId="14" xfId="1708" applyFont="1" applyFill="1" applyBorder="1" applyAlignment="1">
      <alignment horizontal="center" vertical="center" wrapText="1"/>
    </xf>
    <xf numFmtId="0" fontId="57" fillId="128" borderId="14" xfId="1708" applyFont="1" applyFill="1" applyBorder="1" applyAlignment="1">
      <alignment horizontal="center" vertical="center" wrapText="1"/>
    </xf>
    <xf numFmtId="43" fontId="62" fillId="0" borderId="157" xfId="1096" applyNumberFormat="1" applyFont="1" applyFill="1" applyBorder="1" applyAlignment="1">
      <alignment horizontal="center" vertical="center"/>
    </xf>
    <xf numFmtId="3" fontId="7" fillId="0" borderId="14" xfId="1540" applyNumberFormat="1" applyFont="1" applyFill="1" applyBorder="1"/>
    <xf numFmtId="0" fontId="143" fillId="0" borderId="14" xfId="1540" applyFont="1" applyBorder="1" applyAlignment="1">
      <alignment vertical="center" wrapText="1"/>
    </xf>
    <xf numFmtId="0" fontId="35" fillId="0" borderId="14" xfId="1540" applyFont="1" applyBorder="1" applyAlignment="1">
      <alignment horizontal="center" vertical="center" wrapText="1"/>
    </xf>
    <xf numFmtId="180" fontId="52" fillId="0" borderId="14" xfId="1540" applyNumberFormat="1" applyFont="1" applyBorder="1" applyAlignment="1">
      <alignment horizontal="center" vertical="center" wrapText="1"/>
    </xf>
    <xf numFmtId="180" fontId="185" fillId="0" borderId="14" xfId="1540" applyNumberFormat="1" applyFont="1" applyFill="1" applyBorder="1" applyAlignment="1">
      <alignment horizontal="center" vertical="center" wrapText="1"/>
    </xf>
    <xf numFmtId="17" fontId="189" fillId="0" borderId="14" xfId="1540" applyNumberFormat="1" applyFont="1" applyBorder="1" applyAlignment="1">
      <alignment horizontal="left"/>
    </xf>
    <xf numFmtId="1" fontId="189" fillId="0" borderId="14" xfId="1077" applyNumberFormat="1" applyFont="1" applyFill="1" applyBorder="1" applyAlignment="1">
      <alignment horizontal="center"/>
    </xf>
    <xf numFmtId="172" fontId="189" fillId="86" borderId="14" xfId="1066" applyNumberFormat="1" applyFont="1" applyFill="1" applyBorder="1" applyAlignment="1">
      <alignment horizontal="center" vertical="center"/>
    </xf>
    <xf numFmtId="2" fontId="189" fillId="86" borderId="14" xfId="1540" applyNumberFormat="1" applyFont="1" applyFill="1" applyBorder="1" applyAlignment="1">
      <alignment horizontal="center" vertical="center"/>
    </xf>
    <xf numFmtId="2" fontId="189" fillId="0" borderId="0" xfId="1077" applyNumberFormat="1" applyFont="1" applyFill="1" applyBorder="1" applyAlignment="1">
      <alignment horizontal="center"/>
    </xf>
    <xf numFmtId="2" fontId="189" fillId="86" borderId="14" xfId="1077" applyNumberFormat="1" applyFont="1" applyFill="1" applyBorder="1" applyAlignment="1">
      <alignment horizontal="center"/>
    </xf>
    <xf numFmtId="1" fontId="189" fillId="86" borderId="14" xfId="1077" applyNumberFormat="1" applyFont="1" applyFill="1" applyBorder="1" applyAlignment="1">
      <alignment horizontal="center"/>
    </xf>
    <xf numFmtId="0" fontId="189" fillId="0" borderId="0" xfId="1540" applyFont="1"/>
    <xf numFmtId="0" fontId="190" fillId="0" borderId="0" xfId="0" applyFont="1"/>
    <xf numFmtId="49" fontId="7" fillId="86" borderId="129" xfId="1540" applyNumberFormat="1" applyFont="1" applyFill="1" applyBorder="1" applyAlignment="1">
      <alignment horizontal="left" wrapText="1"/>
    </xf>
    <xf numFmtId="49" fontId="7" fillId="86" borderId="130" xfId="1540" applyNumberFormat="1" applyFont="1" applyFill="1" applyBorder="1" applyAlignment="1">
      <alignment horizontal="left" wrapText="1"/>
    </xf>
    <xf numFmtId="17" fontId="7" fillId="131" borderId="14" xfId="1540" applyNumberFormat="1" applyFont="1" applyFill="1" applyBorder="1" applyAlignment="1">
      <alignment horizontal="left"/>
    </xf>
    <xf numFmtId="2" fontId="20" fillId="92" borderId="42" xfId="0" applyNumberFormat="1" applyFont="1" applyFill="1" applyBorder="1" applyProtection="1">
      <protection locked="0"/>
    </xf>
    <xf numFmtId="2" fontId="15" fillId="132" borderId="42" xfId="0" applyNumberFormat="1" applyFont="1" applyFill="1" applyBorder="1" applyProtection="1">
      <protection locked="0"/>
    </xf>
    <xf numFmtId="172" fontId="7" fillId="0" borderId="0" xfId="1066" applyNumberFormat="1" applyFont="1"/>
    <xf numFmtId="172" fontId="9" fillId="0" borderId="0" xfId="1066" applyNumberFormat="1" applyFont="1"/>
    <xf numFmtId="0" fontId="7" fillId="0" borderId="0" xfId="1540" applyFont="1" applyAlignment="1">
      <alignment horizontal="center" wrapText="1"/>
    </xf>
    <xf numFmtId="172" fontId="7" fillId="0" borderId="0" xfId="1540" applyNumberFormat="1" applyFont="1" applyAlignment="1">
      <alignment horizontal="center"/>
    </xf>
    <xf numFmtId="172"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3" borderId="60" xfId="1774" applyNumberFormat="1" applyFont="1" applyFill="1" applyBorder="1" applyAlignment="1" applyProtection="1">
      <alignment horizontal="right"/>
      <protection locked="0"/>
    </xf>
    <xf numFmtId="4" fontId="7" fillId="133" borderId="42" xfId="0" applyNumberFormat="1" applyFont="1" applyFill="1" applyBorder="1" applyProtection="1">
      <protection locked="0"/>
    </xf>
    <xf numFmtId="4" fontId="7" fillId="133" borderId="42" xfId="0" quotePrefix="1" applyNumberFormat="1" applyFont="1" applyFill="1" applyBorder="1" applyProtection="1">
      <protection locked="0"/>
    </xf>
    <xf numFmtId="49" fontId="7" fillId="86" borderId="129" xfId="1540" applyNumberFormat="1" applyFont="1" applyFill="1" applyBorder="1" applyAlignment="1">
      <alignment wrapText="1"/>
    </xf>
    <xf numFmtId="49" fontId="7" fillId="86" borderId="130" xfId="1540" applyNumberFormat="1" applyFont="1" applyFill="1" applyBorder="1" applyAlignment="1">
      <alignment wrapText="1"/>
    </xf>
    <xf numFmtId="172" fontId="7" fillId="0" borderId="0" xfId="1540" applyNumberFormat="1" applyFont="1" applyFill="1" applyAlignment="1">
      <alignment horizontal="center"/>
    </xf>
    <xf numFmtId="0" fontId="185" fillId="0" borderId="118" xfId="1540" applyNumberFormat="1" applyFont="1" applyFill="1" applyBorder="1" applyAlignment="1">
      <alignment horizontal="center" vertical="center" wrapText="1"/>
    </xf>
    <xf numFmtId="168" fontId="185" fillId="0" borderId="114"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5" fillId="0" borderId="118" xfId="1540" applyNumberFormat="1" applyFont="1" applyBorder="1" applyAlignment="1">
      <alignment horizontal="center" vertical="center" wrapText="1"/>
    </xf>
    <xf numFmtId="49" fontId="55" fillId="0" borderId="118" xfId="1540" applyNumberFormat="1" applyFont="1" applyFill="1" applyBorder="1" applyAlignment="1">
      <alignment horizontal="center" vertical="center" wrapText="1"/>
    </xf>
    <xf numFmtId="0" fontId="55" fillId="130" borderId="118" xfId="1540" applyNumberFormat="1" applyFont="1" applyFill="1" applyBorder="1" applyAlignment="1">
      <alignment horizontal="center" vertical="center" wrapText="1"/>
    </xf>
    <xf numFmtId="0" fontId="7" fillId="130" borderId="118" xfId="1540" applyNumberFormat="1" applyFont="1" applyFill="1" applyBorder="1" applyAlignment="1">
      <alignment horizontal="center" vertical="center" wrapText="1"/>
    </xf>
    <xf numFmtId="4" fontId="185" fillId="133" borderId="42" xfId="0" applyNumberFormat="1" applyFont="1" applyFill="1" applyBorder="1" applyProtection="1">
      <protection locked="0"/>
    </xf>
    <xf numFmtId="1" fontId="54" fillId="83" borderId="14" xfId="1540" applyNumberFormat="1" applyFont="1" applyFill="1" applyBorder="1" applyAlignment="1">
      <alignment horizontal="center"/>
    </xf>
    <xf numFmtId="165" fontId="191" fillId="0" borderId="14" xfId="1540" applyNumberFormat="1" applyFont="1" applyBorder="1" applyAlignment="1">
      <alignment horizontal="center"/>
    </xf>
    <xf numFmtId="165" fontId="192" fillId="0" borderId="14" xfId="1540" applyNumberFormat="1" applyFont="1" applyFill="1" applyBorder="1" applyAlignment="1">
      <alignment horizontal="center"/>
    </xf>
    <xf numFmtId="172" fontId="192" fillId="86" borderId="14" xfId="1066" applyNumberFormat="1" applyFont="1" applyFill="1" applyBorder="1" applyAlignment="1">
      <alignment horizontal="center" vertical="center"/>
    </xf>
    <xf numFmtId="3" fontId="192" fillId="0" borderId="14" xfId="1540" applyNumberFormat="1" applyFont="1" applyBorder="1" applyAlignment="1">
      <alignment horizontal="center" vertical="center" wrapText="1"/>
    </xf>
    <xf numFmtId="3" fontId="192" fillId="0" borderId="14" xfId="1540" applyNumberFormat="1" applyFont="1" applyFill="1" applyBorder="1" applyAlignment="1">
      <alignment horizontal="center" vertical="center" wrapText="1"/>
    </xf>
    <xf numFmtId="3" fontId="192" fillId="129" borderId="14" xfId="1540" applyNumberFormat="1" applyFont="1" applyFill="1" applyBorder="1" applyAlignment="1">
      <alignment horizontal="center" vertical="center" wrapText="1"/>
    </xf>
    <xf numFmtId="2" fontId="192" fillId="86" borderId="14" xfId="1540" applyNumberFormat="1" applyFont="1" applyFill="1" applyBorder="1" applyAlignment="1">
      <alignment horizontal="center" vertical="center"/>
    </xf>
    <xf numFmtId="0" fontId="193" fillId="83" borderId="39" xfId="0" applyFont="1" applyFill="1" applyBorder="1" applyAlignment="1" applyProtection="1">
      <alignment horizontal="center" wrapText="1"/>
      <protection locked="0"/>
    </xf>
    <xf numFmtId="2" fontId="192" fillId="0" borderId="107" xfId="0" applyNumberFormat="1" applyFont="1" applyFill="1" applyBorder="1" applyProtection="1">
      <protection locked="0"/>
    </xf>
    <xf numFmtId="2" fontId="192" fillId="0" borderId="42" xfId="0" applyNumberFormat="1" applyFont="1" applyFill="1" applyBorder="1" applyProtection="1">
      <protection locked="0"/>
    </xf>
    <xf numFmtId="0" fontId="192" fillId="92" borderId="14" xfId="0" applyFont="1" applyFill="1" applyBorder="1" applyAlignment="1" applyProtection="1">
      <alignment horizontal="center" vertical="center" wrapText="1"/>
      <protection locked="0"/>
    </xf>
    <xf numFmtId="0" fontId="192" fillId="0" borderId="14" xfId="1540" applyFont="1" applyBorder="1"/>
    <xf numFmtId="174" fontId="185" fillId="0" borderId="14" xfId="1077" applyNumberFormat="1" applyFont="1" applyFill="1" applyBorder="1" applyAlignment="1">
      <alignment horizontal="right"/>
    </xf>
    <xf numFmtId="0" fontId="29" fillId="94" borderId="158" xfId="0" applyFont="1" applyFill="1" applyBorder="1" applyAlignment="1" applyProtection="1">
      <alignment horizontal="left" vertical="center" wrapText="1"/>
      <protection locked="0"/>
    </xf>
    <xf numFmtId="0" fontId="29" fillId="94" borderId="159" xfId="0" applyFont="1" applyFill="1" applyBorder="1" applyAlignment="1" applyProtection="1">
      <alignment horizontal="left" vertical="center" wrapText="1"/>
      <protection locked="0"/>
    </xf>
    <xf numFmtId="0" fontId="29" fillId="94" borderId="127" xfId="0" applyFont="1" applyFill="1" applyBorder="1" applyAlignment="1" applyProtection="1">
      <alignment horizontal="left" vertical="center"/>
    </xf>
    <xf numFmtId="0" fontId="29" fillId="94" borderId="128"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29" fillId="94" borderId="158" xfId="0" applyFont="1" applyFill="1" applyBorder="1" applyAlignment="1" applyProtection="1">
      <alignment horizontal="center" vertical="center" wrapText="1"/>
      <protection locked="0"/>
    </xf>
    <xf numFmtId="0" fontId="29" fillId="94" borderId="159" xfId="0" applyFont="1" applyFill="1" applyBorder="1" applyAlignment="1" applyProtection="1">
      <alignment horizontal="center" vertical="center" wrapText="1"/>
      <protection locked="0"/>
    </xf>
    <xf numFmtId="0" fontId="29" fillId="94" borderId="160" xfId="0" applyFont="1" applyFill="1" applyBorder="1" applyAlignment="1" applyProtection="1">
      <alignment horizontal="center" vertical="center" wrapText="1"/>
      <protection locked="0"/>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8" fillId="94" borderId="161" xfId="0" applyFont="1" applyFill="1" applyBorder="1" applyAlignment="1" applyProtection="1">
      <alignment horizontal="center" vertical="center" wrapText="1"/>
      <protection locked="0"/>
    </xf>
    <xf numFmtId="0" fontId="28" fillId="94" borderId="162" xfId="0" applyFont="1" applyFill="1" applyBorder="1" applyAlignment="1" applyProtection="1">
      <alignment horizontal="center" vertical="center" wrapText="1"/>
      <protection locked="0"/>
    </xf>
    <xf numFmtId="0" fontId="29" fillId="94" borderId="56" xfId="0" applyFont="1" applyFill="1" applyBorder="1" applyAlignment="1" applyProtection="1">
      <alignment horizontal="center" vertical="center"/>
    </xf>
    <xf numFmtId="0" fontId="11" fillId="92" borderId="172" xfId="0" applyFont="1" applyFill="1" applyBorder="1" applyAlignment="1" applyProtection="1">
      <alignment horizontal="center" vertical="center" wrapText="1"/>
    </xf>
    <xf numFmtId="0" fontId="11" fillId="92" borderId="173" xfId="0" applyFont="1" applyFill="1" applyBorder="1" applyAlignment="1" applyProtection="1">
      <alignment horizontal="center" vertical="center" wrapText="1"/>
    </xf>
    <xf numFmtId="0" fontId="9" fillId="92" borderId="174"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75" xfId="0" applyFont="1" applyFill="1" applyBorder="1" applyAlignment="1" applyProtection="1">
      <alignment horizontal="center" vertical="center"/>
    </xf>
    <xf numFmtId="0" fontId="9" fillId="92" borderId="176" xfId="0" applyFont="1" applyFill="1" applyBorder="1" applyAlignment="1" applyProtection="1">
      <alignment horizontal="center" vertical="center"/>
    </xf>
    <xf numFmtId="0" fontId="30" fillId="94" borderId="163" xfId="0" applyFont="1" applyFill="1" applyBorder="1" applyAlignment="1" applyProtection="1">
      <alignment horizontal="center" vertical="center" textRotation="90" wrapText="1"/>
    </xf>
    <xf numFmtId="0" fontId="30" fillId="94" borderId="155" xfId="0" applyFont="1" applyFill="1" applyBorder="1" applyAlignment="1" applyProtection="1">
      <alignment horizontal="center" vertical="center" textRotation="90" wrapText="1"/>
    </xf>
    <xf numFmtId="0" fontId="30" fillId="94" borderId="164"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65" xfId="0" applyFont="1" applyFill="1" applyBorder="1" applyAlignment="1" applyProtection="1">
      <alignment horizontal="left" vertical="center" indent="3"/>
    </xf>
    <xf numFmtId="0" fontId="29" fillId="94" borderId="166"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67" xfId="0" applyFont="1" applyFill="1" applyBorder="1" applyAlignment="1" applyProtection="1">
      <alignment horizontal="center" vertical="center"/>
    </xf>
    <xf numFmtId="0" fontId="11" fillId="0" borderId="168"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55"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69" xfId="0" applyFont="1" applyFill="1" applyBorder="1" applyAlignment="1" applyProtection="1">
      <alignment horizontal="center" vertical="center"/>
    </xf>
    <xf numFmtId="0" fontId="29" fillId="94" borderId="170" xfId="0" applyFont="1" applyFill="1" applyBorder="1" applyAlignment="1" applyProtection="1">
      <alignment horizontal="center" vertical="center"/>
    </xf>
    <xf numFmtId="0" fontId="29" fillId="94" borderId="171" xfId="0" applyFont="1" applyFill="1" applyBorder="1" applyAlignment="1" applyProtection="1">
      <alignment horizontal="center" vertical="center"/>
    </xf>
    <xf numFmtId="0" fontId="29" fillId="94" borderId="177" xfId="0" applyFont="1" applyFill="1" applyBorder="1" applyAlignment="1" applyProtection="1">
      <alignment horizontal="left" vertical="center"/>
    </xf>
    <xf numFmtId="0" fontId="29" fillId="94" borderId="178" xfId="0" applyFont="1" applyFill="1" applyBorder="1" applyAlignment="1" applyProtection="1">
      <alignment horizontal="left" vertical="center"/>
    </xf>
    <xf numFmtId="0" fontId="63" fillId="92" borderId="26" xfId="1540" applyFont="1" applyFill="1" applyBorder="1" applyAlignment="1">
      <alignment horizontal="center" vertical="center"/>
    </xf>
    <xf numFmtId="0" fontId="63" fillId="92" borderId="0" xfId="1540" applyFont="1" applyFill="1" applyBorder="1" applyAlignment="1">
      <alignment horizontal="center" vertical="center"/>
    </xf>
    <xf numFmtId="0" fontId="63" fillId="92" borderId="124" xfId="1540" applyFont="1" applyFill="1" applyBorder="1" applyAlignment="1">
      <alignment horizontal="center" vertical="center"/>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7" fillId="0" borderId="0" xfId="1540" applyFont="1" applyAlignment="1">
      <alignment horizontal="left" wrapText="1"/>
    </xf>
    <xf numFmtId="0" fontId="7" fillId="0" borderId="0" xfId="1540" applyFont="1" applyAlignment="1">
      <alignment horizontal="left"/>
    </xf>
    <xf numFmtId="0" fontId="29" fillId="94" borderId="179" xfId="0" applyFont="1" applyFill="1" applyBorder="1" applyAlignment="1" applyProtection="1">
      <alignment horizontal="center" vertical="center" wrapText="1"/>
      <protection locked="0"/>
    </xf>
    <xf numFmtId="0" fontId="29" fillId="94" borderId="180" xfId="0" applyFont="1" applyFill="1" applyBorder="1" applyAlignment="1" applyProtection="1">
      <alignment horizontal="center" vertical="center" wrapText="1"/>
      <protection locked="0"/>
    </xf>
    <xf numFmtId="0" fontId="29" fillId="94" borderId="181" xfId="0" applyFont="1" applyFill="1" applyBorder="1" applyAlignment="1" applyProtection="1">
      <alignment horizontal="center" vertical="center" wrapText="1"/>
      <protection locked="0"/>
    </xf>
    <xf numFmtId="0" fontId="7" fillId="0" borderId="0" xfId="1540" applyFont="1" applyFill="1" applyAlignment="1">
      <alignment horizontal="left" wrapText="1"/>
    </xf>
    <xf numFmtId="0" fontId="7" fillId="0" borderId="0" xfId="1540" applyFont="1" applyFill="1" applyAlignment="1">
      <alignment horizontal="left"/>
    </xf>
    <xf numFmtId="175" fontId="7" fillId="128" borderId="26" xfId="1096" applyNumberFormat="1" applyFont="1" applyFill="1" applyBorder="1" applyAlignment="1">
      <alignment horizontal="center" vertical="top"/>
    </xf>
    <xf numFmtId="175" fontId="7" fillId="128" borderId="0" xfId="1096" applyNumberFormat="1" applyFont="1" applyFill="1" applyBorder="1" applyAlignment="1">
      <alignment horizontal="center" vertical="top"/>
    </xf>
    <xf numFmtId="175" fontId="7" fillId="128" borderId="124" xfId="1096" applyNumberFormat="1" applyFont="1" applyFill="1" applyBorder="1" applyAlignment="1">
      <alignment horizontal="center" vertical="top"/>
    </xf>
    <xf numFmtId="0" fontId="29" fillId="94" borderId="182" xfId="0" applyFont="1" applyFill="1" applyBorder="1" applyAlignment="1" applyProtection="1">
      <alignment horizontal="center" vertical="center" wrapText="1"/>
      <protection locked="0"/>
    </xf>
    <xf numFmtId="0" fontId="29" fillId="94" borderId="183" xfId="0" applyFont="1" applyFill="1" applyBorder="1" applyAlignment="1" applyProtection="1">
      <alignment horizontal="center" vertical="center" wrapText="1"/>
      <protection locked="0"/>
    </xf>
    <xf numFmtId="0" fontId="29" fillId="94" borderId="184" xfId="0" applyFont="1" applyFill="1" applyBorder="1" applyAlignment="1" applyProtection="1">
      <alignment horizontal="center" vertical="center" wrapText="1"/>
      <protection locked="0"/>
    </xf>
    <xf numFmtId="0" fontId="57" fillId="83" borderId="146" xfId="1708" applyFont="1" applyFill="1" applyBorder="1" applyAlignment="1">
      <alignment horizontal="center" vertical="top"/>
    </xf>
    <xf numFmtId="0" fontId="57" fillId="83" borderId="185" xfId="1708" applyFont="1" applyFill="1" applyBorder="1" applyAlignment="1">
      <alignment horizontal="center" vertical="top"/>
    </xf>
    <xf numFmtId="0" fontId="57" fillId="83" borderId="186" xfId="1708" applyFont="1" applyFill="1" applyBorder="1" applyAlignment="1">
      <alignment horizontal="center" vertical="top"/>
    </xf>
    <xf numFmtId="0" fontId="57" fillId="92" borderId="137" xfId="1708" applyFont="1" applyFill="1" applyBorder="1" applyAlignment="1">
      <alignment horizontal="center" vertical="center"/>
    </xf>
    <xf numFmtId="0" fontId="57" fillId="92" borderId="125" xfId="1708" applyFont="1" applyFill="1" applyBorder="1" applyAlignment="1">
      <alignment horizontal="center" vertical="center"/>
    </xf>
    <xf numFmtId="0" fontId="57" fillId="92" borderId="187" xfId="1708" applyFont="1" applyFill="1" applyBorder="1" applyAlignment="1">
      <alignment horizontal="center" vertical="center"/>
    </xf>
    <xf numFmtId="0" fontId="29" fillId="94" borderId="26" xfId="0" applyFont="1" applyFill="1" applyBorder="1" applyAlignment="1" applyProtection="1">
      <alignment horizontal="center" vertical="center" wrapText="1"/>
      <protection locked="0"/>
    </xf>
    <xf numFmtId="0" fontId="29" fillId="94" borderId="0" xfId="0" applyFont="1" applyFill="1" applyBorder="1" applyAlignment="1" applyProtection="1">
      <alignment horizontal="center" vertical="center" wrapText="1"/>
      <protection locked="0"/>
    </xf>
    <xf numFmtId="0" fontId="36" fillId="0" borderId="182" xfId="1708" applyFont="1" applyBorder="1" applyAlignment="1">
      <alignment horizontal="center" vertical="top" wrapText="1"/>
    </xf>
    <xf numFmtId="0" fontId="57" fillId="0" borderId="183" xfId="1708" applyFont="1" applyBorder="1" applyAlignment="1">
      <alignment horizontal="center" vertical="top" wrapText="1"/>
    </xf>
    <xf numFmtId="0" fontId="57" fillId="0" borderId="184" xfId="1708" applyFont="1" applyBorder="1" applyAlignment="1">
      <alignment horizontal="center" vertical="top" wrapText="1"/>
    </xf>
    <xf numFmtId="0" fontId="29" fillId="94" borderId="143" xfId="0" applyFont="1" applyFill="1" applyBorder="1" applyAlignment="1" applyProtection="1">
      <alignment horizontal="center" vertical="center" wrapText="1"/>
      <protection locked="0"/>
    </xf>
    <xf numFmtId="0" fontId="29" fillId="94" borderId="188" xfId="0" applyFont="1" applyFill="1" applyBorder="1" applyAlignment="1" applyProtection="1">
      <alignment horizontal="center" vertical="center" wrapText="1"/>
      <protection locked="0"/>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6">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50804292</c:v>
                </c:pt>
                <c:pt idx="1">
                  <c:v>45781904</c:v>
                </c:pt>
                <c:pt idx="2">
                  <c:v>47524280</c:v>
                </c:pt>
                <c:pt idx="3">
                  <c:v>41210368</c:v>
                </c:pt>
                <c:pt idx="4">
                  <c:v>40641592</c:v>
                </c:pt>
                <c:pt idx="5">
                  <c:v>42946556</c:v>
                </c:pt>
                <c:pt idx="6">
                  <c:v>53131848</c:v>
                </c:pt>
                <c:pt idx="7">
                  <c:v>50050572</c:v>
                </c:pt>
                <c:pt idx="8">
                  <c:v>42522856</c:v>
                </c:pt>
                <c:pt idx="9">
                  <c:v>41089492</c:v>
                </c:pt>
                <c:pt idx="10">
                  <c:v>41565420</c:v>
                </c:pt>
                <c:pt idx="11">
                  <c:v>45507120</c:v>
                </c:pt>
                <c:pt idx="12">
                  <c:v>47398740</c:v>
                </c:pt>
                <c:pt idx="13">
                  <c:v>43676184</c:v>
                </c:pt>
                <c:pt idx="14">
                  <c:v>42461220</c:v>
                </c:pt>
                <c:pt idx="15">
                  <c:v>38951924</c:v>
                </c:pt>
                <c:pt idx="16">
                  <c:v>40347076</c:v>
                </c:pt>
                <c:pt idx="17">
                  <c:v>43608316</c:v>
                </c:pt>
                <c:pt idx="18">
                  <c:v>52491400</c:v>
                </c:pt>
                <c:pt idx="19">
                  <c:v>49375116</c:v>
                </c:pt>
                <c:pt idx="20">
                  <c:v>41060276</c:v>
                </c:pt>
                <c:pt idx="21">
                  <c:v>40873720</c:v>
                </c:pt>
                <c:pt idx="22">
                  <c:v>43236856</c:v>
                </c:pt>
                <c:pt idx="23">
                  <c:v>45273400</c:v>
                </c:pt>
                <c:pt idx="24">
                  <c:v>48805164</c:v>
                </c:pt>
                <c:pt idx="25">
                  <c:v>44143448</c:v>
                </c:pt>
                <c:pt idx="26">
                  <c:v>44262820</c:v>
                </c:pt>
                <c:pt idx="27">
                  <c:v>39050552</c:v>
                </c:pt>
                <c:pt idx="28">
                  <c:v>38719228</c:v>
                </c:pt>
                <c:pt idx="29">
                  <c:v>40344360</c:v>
                </c:pt>
                <c:pt idx="30">
                  <c:v>49578784</c:v>
                </c:pt>
                <c:pt idx="31">
                  <c:v>45746916</c:v>
                </c:pt>
                <c:pt idx="32">
                  <c:v>39397076</c:v>
                </c:pt>
                <c:pt idx="33">
                  <c:v>39904312</c:v>
                </c:pt>
                <c:pt idx="34">
                  <c:v>42170680</c:v>
                </c:pt>
                <c:pt idx="35">
                  <c:v>47174228</c:v>
                </c:pt>
                <c:pt idx="36">
                  <c:v>51390000</c:v>
                </c:pt>
                <c:pt idx="37">
                  <c:v>45472280</c:v>
                </c:pt>
                <c:pt idx="38">
                  <c:v>46765108</c:v>
                </c:pt>
                <c:pt idx="39">
                  <c:v>39341380</c:v>
                </c:pt>
                <c:pt idx="40">
                  <c:v>37926096</c:v>
                </c:pt>
                <c:pt idx="41">
                  <c:v>41733660</c:v>
                </c:pt>
                <c:pt idx="42">
                  <c:v>45150484</c:v>
                </c:pt>
                <c:pt idx="43">
                  <c:v>44137108</c:v>
                </c:pt>
                <c:pt idx="44">
                  <c:v>39520400</c:v>
                </c:pt>
                <c:pt idx="45">
                  <c:v>39263904</c:v>
                </c:pt>
                <c:pt idx="46">
                  <c:v>41745116</c:v>
                </c:pt>
                <c:pt idx="47">
                  <c:v>44479592</c:v>
                </c:pt>
                <c:pt idx="48">
                  <c:v>49496248</c:v>
                </c:pt>
                <c:pt idx="49">
                  <c:v>47018548</c:v>
                </c:pt>
                <c:pt idx="50">
                  <c:v>45732924</c:v>
                </c:pt>
                <c:pt idx="51">
                  <c:v>38385208</c:v>
                </c:pt>
                <c:pt idx="52">
                  <c:v>37933228</c:v>
                </c:pt>
                <c:pt idx="53">
                  <c:v>39581568</c:v>
                </c:pt>
                <c:pt idx="54">
                  <c:v>46086620</c:v>
                </c:pt>
                <c:pt idx="55">
                  <c:v>45391564</c:v>
                </c:pt>
                <c:pt idx="56">
                  <c:v>43332896</c:v>
                </c:pt>
                <c:pt idx="57">
                  <c:v>38424544</c:v>
                </c:pt>
                <c:pt idx="58">
                  <c:v>38849892</c:v>
                </c:pt>
                <c:pt idx="59">
                  <c:v>41514400</c:v>
                </c:pt>
                <c:pt idx="60">
                  <c:v>46346808</c:v>
                </c:pt>
                <c:pt idx="61">
                  <c:v>43010724</c:v>
                </c:pt>
                <c:pt idx="62">
                  <c:v>41715724</c:v>
                </c:pt>
                <c:pt idx="63">
                  <c:v>38183392</c:v>
                </c:pt>
                <c:pt idx="64">
                  <c:v>37905008</c:v>
                </c:pt>
                <c:pt idx="65">
                  <c:v>41731484</c:v>
                </c:pt>
                <c:pt idx="66">
                  <c:v>49651544</c:v>
                </c:pt>
                <c:pt idx="67">
                  <c:v>53420000</c:v>
                </c:pt>
                <c:pt idx="68">
                  <c:v>42224924</c:v>
                </c:pt>
                <c:pt idx="69">
                  <c:v>38494852</c:v>
                </c:pt>
                <c:pt idx="70">
                  <c:v>39128468</c:v>
                </c:pt>
                <c:pt idx="71">
                  <c:v>44968072</c:v>
                </c:pt>
                <c:pt idx="72">
                  <c:v>45563984</c:v>
                </c:pt>
                <c:pt idx="73">
                  <c:v>40006268</c:v>
                </c:pt>
                <c:pt idx="74">
                  <c:v>44075608</c:v>
                </c:pt>
                <c:pt idx="75">
                  <c:v>37499468</c:v>
                </c:pt>
                <c:pt idx="76">
                  <c:v>38224944</c:v>
                </c:pt>
                <c:pt idx="77">
                  <c:v>40787416</c:v>
                </c:pt>
                <c:pt idx="78">
                  <c:v>46945436</c:v>
                </c:pt>
                <c:pt idx="79">
                  <c:v>46291216</c:v>
                </c:pt>
                <c:pt idx="80">
                  <c:v>41724060</c:v>
                </c:pt>
                <c:pt idx="81">
                  <c:v>39047668</c:v>
                </c:pt>
                <c:pt idx="82">
                  <c:v>41779656</c:v>
                </c:pt>
                <c:pt idx="83">
                  <c:v>46781760</c:v>
                </c:pt>
                <c:pt idx="84">
                  <c:v>49984440</c:v>
                </c:pt>
                <c:pt idx="85">
                  <c:v>42540524</c:v>
                </c:pt>
                <c:pt idx="86">
                  <c:v>44585032</c:v>
                </c:pt>
                <c:pt idx="87">
                  <c:v>41562096</c:v>
                </c:pt>
                <c:pt idx="88">
                  <c:v>39028400</c:v>
                </c:pt>
                <c:pt idx="89">
                  <c:v>41986096</c:v>
                </c:pt>
                <c:pt idx="90">
                  <c:v>53081244</c:v>
                </c:pt>
                <c:pt idx="91">
                  <c:v>52182220</c:v>
                </c:pt>
                <c:pt idx="92">
                  <c:v>44539876</c:v>
                </c:pt>
                <c:pt idx="93">
                  <c:v>40825888</c:v>
                </c:pt>
                <c:pt idx="94">
                  <c:v>43133192</c:v>
                </c:pt>
                <c:pt idx="95">
                  <c:v>45120216</c:v>
                </c:pt>
                <c:pt idx="96">
                  <c:v>49781960</c:v>
                </c:pt>
                <c:pt idx="97">
                  <c:v>44300280</c:v>
                </c:pt>
                <c:pt idx="98">
                  <c:v>45198752</c:v>
                </c:pt>
                <c:pt idx="99">
                  <c:v>39650440</c:v>
                </c:pt>
                <c:pt idx="100">
                  <c:v>38645132</c:v>
                </c:pt>
                <c:pt idx="101">
                  <c:v>40266460</c:v>
                </c:pt>
                <c:pt idx="102">
                  <c:v>52282280</c:v>
                </c:pt>
                <c:pt idx="103">
                  <c:v>49027500</c:v>
                </c:pt>
                <c:pt idx="104">
                  <c:v>40657028</c:v>
                </c:pt>
                <c:pt idx="105">
                  <c:v>39301848</c:v>
                </c:pt>
                <c:pt idx="106">
                  <c:v>42865196</c:v>
                </c:pt>
                <c:pt idx="107">
                  <c:v>45454040</c:v>
                </c:pt>
                <c:pt idx="108">
                  <c:v>46627280</c:v>
                </c:pt>
                <c:pt idx="109">
                  <c:v>43893612</c:v>
                </c:pt>
                <c:pt idx="110">
                  <c:v>42577132</c:v>
                </c:pt>
                <c:pt idx="111">
                  <c:v>37611548</c:v>
                </c:pt>
                <c:pt idx="112">
                  <c:v>38131292</c:v>
                </c:pt>
                <c:pt idx="113">
                  <c:v>42157080</c:v>
                </c:pt>
                <c:pt idx="114">
                  <c:v>54824440</c:v>
                </c:pt>
                <c:pt idx="115">
                  <c:v>49369900</c:v>
                </c:pt>
                <c:pt idx="116">
                  <c:v>39821248</c:v>
                </c:pt>
                <c:pt idx="117">
                  <c:v>38909224</c:v>
                </c:pt>
                <c:pt idx="118">
                  <c:v>40007616</c:v>
                </c:pt>
                <c:pt idx="119">
                  <c:v>45977612</c:v>
                </c:pt>
              </c:numCache>
            </c:numRef>
          </c:xVal>
          <c:yVal>
            <c:numRef>
              <c:f>Forecast!$C$4:$C$123</c:f>
              <c:numCache>
                <c:formatCode>0.00</c:formatCode>
                <c:ptCount val="120"/>
                <c:pt idx="0">
                  <c:v>49439905.934693992</c:v>
                </c:pt>
                <c:pt idx="1">
                  <c:v>44066931.087983638</c:v>
                </c:pt>
                <c:pt idx="2">
                  <c:v>44416988.475582674</c:v>
                </c:pt>
                <c:pt idx="3">
                  <c:v>39866473.386244446</c:v>
                </c:pt>
                <c:pt idx="4">
                  <c:v>39432755.356719792</c:v>
                </c:pt>
                <c:pt idx="5">
                  <c:v>41279784.664172411</c:v>
                </c:pt>
                <c:pt idx="6">
                  <c:v>53975166.500530809</c:v>
                </c:pt>
                <c:pt idx="7">
                  <c:v>46987961.977482691</c:v>
                </c:pt>
                <c:pt idx="8">
                  <c:v>38913523.165737852</c:v>
                </c:pt>
                <c:pt idx="9">
                  <c:v>39655543.658974007</c:v>
                </c:pt>
                <c:pt idx="10">
                  <c:v>39755366.398092002</c:v>
                </c:pt>
                <c:pt idx="11">
                  <c:v>45359905.022056103</c:v>
                </c:pt>
                <c:pt idx="12">
                  <c:v>46641943.45990929</c:v>
                </c:pt>
                <c:pt idx="13">
                  <c:v>43520993.869269907</c:v>
                </c:pt>
                <c:pt idx="14">
                  <c:v>41027093.75780569</c:v>
                </c:pt>
                <c:pt idx="15">
                  <c:v>40051332.519588143</c:v>
                </c:pt>
                <c:pt idx="16">
                  <c:v>40312390.609478816</c:v>
                </c:pt>
                <c:pt idx="17">
                  <c:v>43870478.227265894</c:v>
                </c:pt>
                <c:pt idx="18">
                  <c:v>53397091.45058769</c:v>
                </c:pt>
                <c:pt idx="19">
                  <c:v>45784291.92795299</c:v>
                </c:pt>
                <c:pt idx="20">
                  <c:v>39294760.750771925</c:v>
                </c:pt>
                <c:pt idx="21">
                  <c:v>39571685.397595912</c:v>
                </c:pt>
                <c:pt idx="22">
                  <c:v>41378126.898078993</c:v>
                </c:pt>
                <c:pt idx="23">
                  <c:v>45260287.244890749</c:v>
                </c:pt>
                <c:pt idx="24">
                  <c:v>46880160.094284236</c:v>
                </c:pt>
                <c:pt idx="25">
                  <c:v>43991856.578488633</c:v>
                </c:pt>
                <c:pt idx="26">
                  <c:v>44226415.87303251</c:v>
                </c:pt>
                <c:pt idx="27">
                  <c:v>40042670.008401245</c:v>
                </c:pt>
                <c:pt idx="28">
                  <c:v>40331872.336919606</c:v>
                </c:pt>
                <c:pt idx="29">
                  <c:v>42407527.782323107</c:v>
                </c:pt>
                <c:pt idx="30">
                  <c:v>49853832.744609356</c:v>
                </c:pt>
                <c:pt idx="31">
                  <c:v>49646541.466866449</c:v>
                </c:pt>
                <c:pt idx="32">
                  <c:v>39040129.619898975</c:v>
                </c:pt>
                <c:pt idx="33">
                  <c:v>39685224.862500936</c:v>
                </c:pt>
                <c:pt idx="34">
                  <c:v>41786704.783817649</c:v>
                </c:pt>
                <c:pt idx="35">
                  <c:v>47444661.859606326</c:v>
                </c:pt>
                <c:pt idx="36">
                  <c:v>49275320.425110906</c:v>
                </c:pt>
                <c:pt idx="37">
                  <c:v>45487568.823640063</c:v>
                </c:pt>
                <c:pt idx="38">
                  <c:v>46202891.541043237</c:v>
                </c:pt>
                <c:pt idx="39">
                  <c:v>40021013.950730786</c:v>
                </c:pt>
                <c:pt idx="40">
                  <c:v>39076941.180435866</c:v>
                </c:pt>
                <c:pt idx="41">
                  <c:v>44165776.928791448</c:v>
                </c:pt>
                <c:pt idx="42">
                  <c:v>43312166.789324507</c:v>
                </c:pt>
                <c:pt idx="43">
                  <c:v>44094902.338976502</c:v>
                </c:pt>
                <c:pt idx="44">
                  <c:v>39141937.119118944</c:v>
                </c:pt>
                <c:pt idx="45">
                  <c:v>40053120.03997381</c:v>
                </c:pt>
                <c:pt idx="46">
                  <c:v>41858891.64271915</c:v>
                </c:pt>
                <c:pt idx="47">
                  <c:v>45775701.153091297</c:v>
                </c:pt>
                <c:pt idx="48">
                  <c:v>49109290.649637461</c:v>
                </c:pt>
                <c:pt idx="49">
                  <c:v>47338440.062111974</c:v>
                </c:pt>
                <c:pt idx="50">
                  <c:v>45404505.057830095</c:v>
                </c:pt>
                <c:pt idx="51">
                  <c:v>39899740.115895003</c:v>
                </c:pt>
                <c:pt idx="52">
                  <c:v>41141735.410948098</c:v>
                </c:pt>
                <c:pt idx="53">
                  <c:v>40299803.27975218</c:v>
                </c:pt>
                <c:pt idx="54">
                  <c:v>46059666.433588624</c:v>
                </c:pt>
                <c:pt idx="55">
                  <c:v>44094902.338976502</c:v>
                </c:pt>
                <c:pt idx="56">
                  <c:v>41159088.074932009</c:v>
                </c:pt>
                <c:pt idx="57">
                  <c:v>39941267.071981207</c:v>
                </c:pt>
                <c:pt idx="58">
                  <c:v>40064326.066071689</c:v>
                </c:pt>
                <c:pt idx="59">
                  <c:v>44002792.074707896</c:v>
                </c:pt>
                <c:pt idx="60">
                  <c:v>47456211.580793113</c:v>
                </c:pt>
                <c:pt idx="61">
                  <c:v>44299167.679515734</c:v>
                </c:pt>
                <c:pt idx="62">
                  <c:v>42687391.512540191</c:v>
                </c:pt>
                <c:pt idx="63">
                  <c:v>40680802.017327949</c:v>
                </c:pt>
                <c:pt idx="64">
                  <c:v>40880462.09368822</c:v>
                </c:pt>
                <c:pt idx="65">
                  <c:v>42534091.256698757</c:v>
                </c:pt>
                <c:pt idx="66">
                  <c:v>52165991.163179889</c:v>
                </c:pt>
                <c:pt idx="67">
                  <c:v>54044359.374784648</c:v>
                </c:pt>
                <c:pt idx="68">
                  <c:v>40484374.577504545</c:v>
                </c:pt>
                <c:pt idx="69">
                  <c:v>39591245.365656286</c:v>
                </c:pt>
                <c:pt idx="70">
                  <c:v>40285218.118666455</c:v>
                </c:pt>
                <c:pt idx="71">
                  <c:v>46358971.325490311</c:v>
                </c:pt>
                <c:pt idx="72">
                  <c:v>46542326.123337567</c:v>
                </c:pt>
                <c:pt idx="73">
                  <c:v>41793045.032586396</c:v>
                </c:pt>
                <c:pt idx="74">
                  <c:v>44224971.607142136</c:v>
                </c:pt>
                <c:pt idx="75">
                  <c:v>38965566.126673892</c:v>
                </c:pt>
                <c:pt idx="76">
                  <c:v>39293623.200089246</c:v>
                </c:pt>
                <c:pt idx="77">
                  <c:v>43642732.078796059</c:v>
                </c:pt>
                <c:pt idx="78">
                  <c:v>46889893.591830686</c:v>
                </c:pt>
                <c:pt idx="79">
                  <c:v>43371390.293923452</c:v>
                </c:pt>
                <c:pt idx="80">
                  <c:v>41070349.898671895</c:v>
                </c:pt>
                <c:pt idx="81">
                  <c:v>39048203.017147958</c:v>
                </c:pt>
                <c:pt idx="82">
                  <c:v>41291502.667397186</c:v>
                </c:pt>
                <c:pt idx="83">
                  <c:v>48237273.041632444</c:v>
                </c:pt>
                <c:pt idx="84">
                  <c:v>48521689.441941798</c:v>
                </c:pt>
                <c:pt idx="85">
                  <c:v>42551007.051052138</c:v>
                </c:pt>
                <c:pt idx="86">
                  <c:v>44548369.087495759</c:v>
                </c:pt>
                <c:pt idx="87">
                  <c:v>41463307.30346404</c:v>
                </c:pt>
                <c:pt idx="88">
                  <c:v>40442160.038550392</c:v>
                </c:pt>
                <c:pt idx="89">
                  <c:v>42025043.577504247</c:v>
                </c:pt>
                <c:pt idx="90">
                  <c:v>51843079.839562505</c:v>
                </c:pt>
                <c:pt idx="91">
                  <c:v>50503896.189069599</c:v>
                </c:pt>
                <c:pt idx="92">
                  <c:v>42964386.60564366</c:v>
                </c:pt>
                <c:pt idx="93">
                  <c:v>41055728.564192131</c:v>
                </c:pt>
                <c:pt idx="94">
                  <c:v>42062458.23234649</c:v>
                </c:pt>
                <c:pt idx="95">
                  <c:v>45914300.45089452</c:v>
                </c:pt>
                <c:pt idx="96">
                  <c:v>48453833.618336946</c:v>
                </c:pt>
                <c:pt idx="97">
                  <c:v>43236782.210616395</c:v>
                </c:pt>
                <c:pt idx="98">
                  <c:v>44841447.558398396</c:v>
                </c:pt>
                <c:pt idx="99">
                  <c:v>39958933.428312957</c:v>
                </c:pt>
                <c:pt idx="100">
                  <c:v>38897308.455904067</c:v>
                </c:pt>
                <c:pt idx="101">
                  <c:v>40589508.796685845</c:v>
                </c:pt>
                <c:pt idx="102">
                  <c:v>52478812.422168314</c:v>
                </c:pt>
                <c:pt idx="103">
                  <c:v>45703533.829140633</c:v>
                </c:pt>
                <c:pt idx="104">
                  <c:v>36767958.028300628</c:v>
                </c:pt>
                <c:pt idx="105">
                  <c:v>39790663.132527903</c:v>
                </c:pt>
                <c:pt idx="106">
                  <c:v>42393074.398590252</c:v>
                </c:pt>
                <c:pt idx="107">
                  <c:v>46119310.42522499</c:v>
                </c:pt>
                <c:pt idx="108">
                  <c:v>46145298.399379313</c:v>
                </c:pt>
                <c:pt idx="109">
                  <c:v>44296280.91010946</c:v>
                </c:pt>
                <c:pt idx="110">
                  <c:v>42470830.935835689</c:v>
                </c:pt>
                <c:pt idx="111">
                  <c:v>40519103.277151138</c:v>
                </c:pt>
                <c:pt idx="112">
                  <c:v>41510174.036732197</c:v>
                </c:pt>
                <c:pt idx="113">
                  <c:v>44729564.795759946</c:v>
                </c:pt>
                <c:pt idx="114">
                  <c:v>54971286.270396098</c:v>
                </c:pt>
                <c:pt idx="115">
                  <c:v>47638055.304910287</c:v>
                </c:pt>
                <c:pt idx="116">
                  <c:v>38579501.579279467</c:v>
                </c:pt>
                <c:pt idx="117">
                  <c:v>39853335.608304754</c:v>
                </c:pt>
                <c:pt idx="118">
                  <c:v>39888190.394708201</c:v>
                </c:pt>
                <c:pt idx="119">
                  <c:v>45769926.733091518</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5398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2700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11275"/>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721475" y="1301750"/>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7670800" y="13652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9775825" y="1301750"/>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10715625" y="1301750"/>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2122150" y="10795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9786600" y="1311275"/>
          <a:ext cx="30480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13</xdr:row>
      <xdr:rowOff>171450</xdr:rowOff>
    </xdr:from>
    <xdr:to>
      <xdr:col>8</xdr:col>
      <xdr:colOff>561975</xdr:colOff>
      <xdr:row>13</xdr:row>
      <xdr:rowOff>180975</xdr:rowOff>
    </xdr:to>
    <xdr:cxnSp macro="">
      <xdr:nvCxnSpPr>
        <xdr:cNvPr id="2" name="Straight Connector 1">
          <a:extLst>
            <a:ext uri="{FF2B5EF4-FFF2-40B4-BE49-F238E27FC236}">
              <a16:creationId xmlns:a16="http://schemas.microsoft.com/office/drawing/2014/main" id="{89EF079A-FE39-48B6-95B0-440430100736}"/>
            </a:ext>
          </a:extLst>
        </xdr:cNvPr>
        <xdr:cNvCxnSpPr/>
      </xdr:nvCxnSpPr>
      <xdr:spPr>
        <a:xfrm flipV="1">
          <a:off x="7000875" y="7448550"/>
          <a:ext cx="1562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zoomScale="90" zoomScaleNormal="90" workbookViewId="0">
      <selection activeCell="R15" sqref="R15"/>
    </sheetView>
  </sheetViews>
  <sheetFormatPr defaultColWidth="9.296875" defaultRowHeight="13" x14ac:dyDescent="0.3"/>
  <cols>
    <col min="1" max="1" width="36.19921875" style="147" customWidth="1"/>
    <col min="2" max="2" width="21.69921875" style="211" customWidth="1"/>
    <col min="3" max="3" width="4.5" style="211" customWidth="1"/>
    <col min="4" max="6" width="16.296875" style="148" customWidth="1"/>
    <col min="7" max="13" width="16.296875" style="147" customWidth="1"/>
    <col min="14" max="14" width="15.19921875" style="369" bestFit="1" customWidth="1"/>
    <col min="15" max="15" width="17" style="369" bestFit="1" customWidth="1"/>
    <col min="16" max="16" width="14.19921875" style="369" bestFit="1" customWidth="1"/>
    <col min="17" max="28" width="16.296875" style="147" customWidth="1"/>
    <col min="29" max="29" width="0" style="147" hidden="1" customWidth="1"/>
    <col min="30" max="16384" width="9.296875" style="147"/>
  </cols>
  <sheetData>
    <row r="1" spans="1:22" x14ac:dyDescent="0.3">
      <c r="D1" s="147"/>
      <c r="E1" s="147"/>
      <c r="F1" s="147"/>
    </row>
    <row r="2" spans="1:22" ht="13.5" thickBot="1" x14ac:dyDescent="0.35">
      <c r="D2" s="147"/>
      <c r="E2" s="147"/>
      <c r="F2" s="147"/>
    </row>
    <row r="3" spans="1:22" s="210" customFormat="1" ht="16" thickTop="1" x14ac:dyDescent="0.3">
      <c r="A3" s="487" t="s">
        <v>55</v>
      </c>
      <c r="B3" s="487"/>
      <c r="C3" s="212"/>
      <c r="D3" s="485" t="s">
        <v>88</v>
      </c>
      <c r="E3" s="486"/>
      <c r="F3" s="486"/>
      <c r="G3" s="486"/>
      <c r="H3" s="486"/>
      <c r="I3" s="486"/>
      <c r="J3" s="486"/>
      <c r="K3" s="486"/>
      <c r="L3" s="486"/>
      <c r="M3" s="486"/>
      <c r="N3" s="486"/>
      <c r="O3" s="486"/>
      <c r="P3" s="486"/>
      <c r="Q3" s="486"/>
      <c r="R3" s="486"/>
      <c r="S3" s="486"/>
      <c r="T3" s="486"/>
      <c r="U3" s="486"/>
      <c r="V3" s="486"/>
    </row>
    <row r="4" spans="1:22" ht="39" customHeight="1" x14ac:dyDescent="0.3">
      <c r="A4" s="217" t="s">
        <v>54</v>
      </c>
      <c r="B4" s="354" t="s">
        <v>192</v>
      </c>
      <c r="D4" s="205"/>
      <c r="E4" s="205" t="str">
        <f>'Input - Customer Data'!A13</f>
        <v>Residential</v>
      </c>
      <c r="F4" s="205"/>
      <c r="G4" s="205" t="str">
        <f>'Input - Customer Data'!A14</f>
        <v>General Service &lt; 50 kW</v>
      </c>
      <c r="H4" s="205"/>
      <c r="I4" s="205" t="str">
        <f>'Input - Customer Data'!A15</f>
        <v>General Service 50 to 4999 kW</v>
      </c>
      <c r="J4" s="205"/>
      <c r="K4" s="205" t="str">
        <f>'Input - Customer Data'!A16</f>
        <v>Embedded</v>
      </c>
      <c r="L4" s="205"/>
      <c r="M4" s="205" t="str">
        <f>'Input - Customer Data'!A17</f>
        <v xml:space="preserve">Street Lighting </v>
      </c>
      <c r="N4" s="205"/>
      <c r="O4" s="205" t="str">
        <f>'Input - Customer Data'!A18</f>
        <v>Sentinel</v>
      </c>
      <c r="P4" s="205"/>
      <c r="Q4" s="205" t="str">
        <f>'Input - Customer Data'!A19</f>
        <v>USL</v>
      </c>
      <c r="R4" s="205"/>
      <c r="S4" s="205" t="str">
        <f>'Input - Customer Data'!A20</f>
        <v>other</v>
      </c>
      <c r="T4" s="205"/>
      <c r="U4" s="205" t="str">
        <f>'Input - Customer Data'!A21</f>
        <v>other</v>
      </c>
      <c r="V4" s="205"/>
    </row>
    <row r="5" spans="1:22" ht="24.75" customHeight="1" x14ac:dyDescent="0.3">
      <c r="A5" s="217" t="s">
        <v>53</v>
      </c>
      <c r="B5" s="355" t="s">
        <v>210</v>
      </c>
      <c r="D5" s="205" t="s">
        <v>87</v>
      </c>
      <c r="E5" s="205" t="s">
        <v>86</v>
      </c>
      <c r="F5" s="205" t="s">
        <v>85</v>
      </c>
      <c r="G5" s="205" t="s">
        <v>86</v>
      </c>
      <c r="H5" s="205" t="s">
        <v>85</v>
      </c>
      <c r="I5" s="205" t="s">
        <v>86</v>
      </c>
      <c r="J5" s="205" t="s">
        <v>85</v>
      </c>
      <c r="K5" s="205" t="s">
        <v>86</v>
      </c>
      <c r="L5" s="205" t="s">
        <v>85</v>
      </c>
      <c r="M5" s="205" t="s">
        <v>86</v>
      </c>
      <c r="N5" s="205" t="s">
        <v>85</v>
      </c>
      <c r="O5" s="205" t="s">
        <v>86</v>
      </c>
      <c r="P5" s="205" t="s">
        <v>85</v>
      </c>
      <c r="Q5" s="205" t="s">
        <v>86</v>
      </c>
      <c r="R5" s="205" t="s">
        <v>85</v>
      </c>
      <c r="S5" s="205" t="s">
        <v>86</v>
      </c>
      <c r="T5" s="205" t="s">
        <v>85</v>
      </c>
      <c r="U5" s="205" t="s">
        <v>86</v>
      </c>
      <c r="V5" s="205" t="s">
        <v>85</v>
      </c>
    </row>
    <row r="6" spans="1:22" x14ac:dyDescent="0.3">
      <c r="A6" s="218" t="s">
        <v>52</v>
      </c>
      <c r="B6" s="355">
        <v>2021</v>
      </c>
      <c r="C6" s="215"/>
      <c r="D6" s="279">
        <f>'Input - Customer Data'!B7-11</f>
        <v>2011</v>
      </c>
      <c r="E6" s="293">
        <f>D$67</f>
        <v>25559.5</v>
      </c>
      <c r="F6" s="151"/>
      <c r="G6" s="293">
        <f>D$71</f>
        <v>2507</v>
      </c>
      <c r="H6" s="151"/>
      <c r="I6" s="293">
        <f>D$76</f>
        <v>224.41666666666666</v>
      </c>
      <c r="J6" s="151"/>
      <c r="K6" s="293">
        <f>D$81</f>
        <v>1</v>
      </c>
      <c r="L6" s="151"/>
      <c r="M6" s="293">
        <f>D$86</f>
        <v>5706.333333333333</v>
      </c>
      <c r="N6" s="357"/>
      <c r="O6" s="293">
        <f>D$91</f>
        <v>828.25</v>
      </c>
      <c r="P6" s="357"/>
      <c r="Q6" s="293">
        <f>D$96</f>
        <v>38.666666666666664</v>
      </c>
      <c r="R6" s="151"/>
      <c r="S6" s="293"/>
      <c r="T6" s="151"/>
      <c r="U6" s="293"/>
      <c r="V6" s="151"/>
    </row>
    <row r="7" spans="1:22" x14ac:dyDescent="0.3">
      <c r="A7" s="218" t="s">
        <v>51</v>
      </c>
      <c r="B7" s="355">
        <v>2022</v>
      </c>
      <c r="C7" s="216"/>
      <c r="D7" s="279">
        <f>'Input - Customer Data'!B7-10</f>
        <v>2012</v>
      </c>
      <c r="E7" s="293">
        <f>E$67</f>
        <v>25711</v>
      </c>
      <c r="F7" s="157">
        <f t="shared" ref="F7:F15" si="0">E7/E6</f>
        <v>1.0059273459965963</v>
      </c>
      <c r="G7" s="293">
        <f>E$71</f>
        <v>2530.9166666666665</v>
      </c>
      <c r="H7" s="157">
        <f t="shared" ref="H7:H15" si="1">G7/G6</f>
        <v>1.0095399547932455</v>
      </c>
      <c r="I7" s="293">
        <f>E$76</f>
        <v>224.5</v>
      </c>
      <c r="J7" s="157">
        <f t="shared" ref="J7:J15" si="2">I7/I6</f>
        <v>1.000371333085778</v>
      </c>
      <c r="K7" s="293">
        <f>E$81</f>
        <v>1</v>
      </c>
      <c r="L7" s="157">
        <f t="shared" ref="L7:L15" si="3">K7/K6</f>
        <v>1</v>
      </c>
      <c r="M7" s="293">
        <f>E$86</f>
        <v>5711</v>
      </c>
      <c r="N7" s="370">
        <f t="shared" ref="N7:N15" si="4">M7/M6</f>
        <v>1.0008178047783165</v>
      </c>
      <c r="O7" s="293">
        <f>E$91</f>
        <v>781.91666666666663</v>
      </c>
      <c r="P7" s="370">
        <f t="shared" ref="P7:P15" si="5">O7/O6</f>
        <v>0.94405875842640097</v>
      </c>
      <c r="Q7" s="293">
        <f>E$96</f>
        <v>38.083333333333336</v>
      </c>
      <c r="R7" s="157">
        <f t="shared" ref="R7:R15" si="6">Q7/Q6</f>
        <v>0.9849137931034484</v>
      </c>
      <c r="S7" s="293"/>
      <c r="T7" s="157" t="e">
        <f t="shared" ref="T7:T14" si="7">S7/S6</f>
        <v>#DIV/0!</v>
      </c>
      <c r="U7" s="293"/>
      <c r="V7" s="157" t="e">
        <f t="shared" ref="V7:V14" si="8">U7/U6</f>
        <v>#DIV/0!</v>
      </c>
    </row>
    <row r="8" spans="1:22" x14ac:dyDescent="0.3">
      <c r="A8" s="218" t="s">
        <v>50</v>
      </c>
      <c r="B8" s="355">
        <v>2017</v>
      </c>
      <c r="C8" s="213"/>
      <c r="D8" s="279">
        <f>'Input - Customer Data'!B7-9</f>
        <v>2013</v>
      </c>
      <c r="E8" s="293">
        <f>F$67</f>
        <v>25797.833333333332</v>
      </c>
      <c r="F8" s="157">
        <f t="shared" si="0"/>
        <v>1.0033772833936188</v>
      </c>
      <c r="G8" s="293">
        <f>F$71</f>
        <v>2524.5833333333335</v>
      </c>
      <c r="H8" s="157">
        <f t="shared" si="1"/>
        <v>0.99749761285436778</v>
      </c>
      <c r="I8" s="293">
        <f>F$76</f>
        <v>225.08333333333334</v>
      </c>
      <c r="J8" s="157">
        <f t="shared" si="2"/>
        <v>1.0025983667409057</v>
      </c>
      <c r="K8" s="293">
        <f>F$81</f>
        <v>1</v>
      </c>
      <c r="L8" s="157">
        <f t="shared" si="3"/>
        <v>1</v>
      </c>
      <c r="M8" s="293">
        <f>F$86</f>
        <v>5699.25</v>
      </c>
      <c r="N8" s="370">
        <f t="shared" si="4"/>
        <v>0.99794256697601125</v>
      </c>
      <c r="O8" s="293">
        <f>F$91</f>
        <v>772.91666666666663</v>
      </c>
      <c r="P8" s="370">
        <f t="shared" si="5"/>
        <v>0.98848982201854418</v>
      </c>
      <c r="Q8" s="293">
        <f>F$96</f>
        <v>40.083333333333336</v>
      </c>
      <c r="R8" s="157">
        <f t="shared" si="6"/>
        <v>1.0525164113785559</v>
      </c>
      <c r="S8" s="293"/>
      <c r="T8" s="157" t="e">
        <f t="shared" si="7"/>
        <v>#DIV/0!</v>
      </c>
      <c r="U8" s="293"/>
      <c r="V8" s="157" t="e">
        <f t="shared" si="8"/>
        <v>#DIV/0!</v>
      </c>
    </row>
    <row r="9" spans="1:22" x14ac:dyDescent="0.3">
      <c r="C9" s="213"/>
      <c r="D9" s="279">
        <f>'Input - Customer Data'!B7-8</f>
        <v>2014</v>
      </c>
      <c r="E9" s="293">
        <f>G$67</f>
        <v>25863.166666666668</v>
      </c>
      <c r="F9" s="157">
        <f t="shared" si="0"/>
        <v>1.0025325124202937</v>
      </c>
      <c r="G9" s="293">
        <f>G$71</f>
        <v>2512.4166666666665</v>
      </c>
      <c r="H9" s="157">
        <f t="shared" si="1"/>
        <v>0.99518072289156612</v>
      </c>
      <c r="I9" s="293">
        <f>G$76</f>
        <v>225.08333333333334</v>
      </c>
      <c r="J9" s="157">
        <f t="shared" si="2"/>
        <v>1</v>
      </c>
      <c r="K9" s="293">
        <f>G$81</f>
        <v>1</v>
      </c>
      <c r="L9" s="157">
        <f t="shared" si="3"/>
        <v>1</v>
      </c>
      <c r="M9" s="293">
        <f>G$86</f>
        <v>5708.333333333333</v>
      </c>
      <c r="N9" s="370">
        <f t="shared" si="4"/>
        <v>1.0015937769589565</v>
      </c>
      <c r="O9" s="293">
        <f>G$91</f>
        <v>773.33333333333337</v>
      </c>
      <c r="P9" s="370">
        <f t="shared" si="5"/>
        <v>1.0005390835579515</v>
      </c>
      <c r="Q9" s="293">
        <f>G$96</f>
        <v>39.75</v>
      </c>
      <c r="R9" s="157">
        <f t="shared" si="6"/>
        <v>0.99168399168399157</v>
      </c>
      <c r="S9" s="293"/>
      <c r="T9" s="157" t="e">
        <f t="shared" si="7"/>
        <v>#DIV/0!</v>
      </c>
      <c r="U9" s="293"/>
      <c r="V9" s="157" t="e">
        <f t="shared" si="8"/>
        <v>#DIV/0!</v>
      </c>
    </row>
    <row r="10" spans="1:22" ht="13.5" thickBot="1" x14ac:dyDescent="0.35">
      <c r="C10" s="213"/>
      <c r="D10" s="279">
        <f>'Input - Customer Data'!B7-7</f>
        <v>2015</v>
      </c>
      <c r="E10" s="293">
        <f>H$67</f>
        <v>25920.25</v>
      </c>
      <c r="F10" s="157">
        <f t="shared" si="0"/>
        <v>1.0022071285418774</v>
      </c>
      <c r="G10" s="293">
        <f>H$71</f>
        <v>2492.1666666666665</v>
      </c>
      <c r="H10" s="157">
        <f t="shared" si="1"/>
        <v>0.99194003117848017</v>
      </c>
      <c r="I10" s="293">
        <f>H$76</f>
        <v>219.66666666666666</v>
      </c>
      <c r="J10" s="157">
        <f t="shared" si="2"/>
        <v>0.9759348389485375</v>
      </c>
      <c r="K10" s="293">
        <f>H$81</f>
        <v>1</v>
      </c>
      <c r="L10" s="157">
        <f t="shared" si="3"/>
        <v>1</v>
      </c>
      <c r="M10" s="293">
        <f>H$86</f>
        <v>5699.583333333333</v>
      </c>
      <c r="N10" s="370">
        <f t="shared" si="4"/>
        <v>0.9984671532846715</v>
      </c>
      <c r="O10" s="293">
        <f>H$91</f>
        <v>760.75</v>
      </c>
      <c r="P10" s="370">
        <f t="shared" si="5"/>
        <v>0.98372844827586203</v>
      </c>
      <c r="Q10" s="293">
        <f>H$96</f>
        <v>36.25</v>
      </c>
      <c r="R10" s="157">
        <f t="shared" si="6"/>
        <v>0.91194968553459121</v>
      </c>
      <c r="S10" s="293"/>
      <c r="T10" s="157" t="e">
        <f t="shared" si="7"/>
        <v>#DIV/0!</v>
      </c>
      <c r="U10" s="293"/>
      <c r="V10" s="157" t="e">
        <f t="shared" si="8"/>
        <v>#DIV/0!</v>
      </c>
    </row>
    <row r="11" spans="1:22" ht="16" thickTop="1" x14ac:dyDescent="0.3">
      <c r="A11" s="235" t="s">
        <v>61</v>
      </c>
      <c r="B11" s="236"/>
      <c r="D11" s="279">
        <f>'Input - Customer Data'!B7-6</f>
        <v>2016</v>
      </c>
      <c r="E11" s="293">
        <f>I$67</f>
        <v>26029.416666666668</v>
      </c>
      <c r="F11" s="157">
        <f t="shared" si="0"/>
        <v>1.0042116363332401</v>
      </c>
      <c r="G11" s="293">
        <f>I$71</f>
        <v>2502.6666666666665</v>
      </c>
      <c r="H11" s="157">
        <f t="shared" si="1"/>
        <v>1.0042132013642748</v>
      </c>
      <c r="I11" s="293">
        <f>I$76</f>
        <v>205.58333333333334</v>
      </c>
      <c r="J11" s="157">
        <f t="shared" si="2"/>
        <v>0.93588770864946902</v>
      </c>
      <c r="K11" s="293">
        <f>I$81</f>
        <v>1</v>
      </c>
      <c r="L11" s="157">
        <f t="shared" si="3"/>
        <v>1</v>
      </c>
      <c r="M11" s="293">
        <f>I$86</f>
        <v>5735.75</v>
      </c>
      <c r="N11" s="370">
        <f t="shared" si="4"/>
        <v>1.0063454930916003</v>
      </c>
      <c r="O11" s="293">
        <f>I$91</f>
        <v>732.5</v>
      </c>
      <c r="P11" s="370">
        <f t="shared" si="5"/>
        <v>0.96286559316464015</v>
      </c>
      <c r="Q11" s="293">
        <f>I$96</f>
        <v>35.916666666666664</v>
      </c>
      <c r="R11" s="157">
        <f t="shared" si="6"/>
        <v>0.99080459770114937</v>
      </c>
      <c r="S11" s="293"/>
      <c r="T11" s="157" t="e">
        <f t="shared" si="7"/>
        <v>#DIV/0!</v>
      </c>
      <c r="U11" s="293"/>
      <c r="V11" s="157" t="e">
        <f t="shared" si="8"/>
        <v>#DIV/0!</v>
      </c>
    </row>
    <row r="12" spans="1:22" x14ac:dyDescent="0.3">
      <c r="A12" s="237" t="s">
        <v>60</v>
      </c>
      <c r="B12" s="238"/>
      <c r="D12" s="279">
        <f>'Input - Customer Data'!B7-5</f>
        <v>2017</v>
      </c>
      <c r="E12" s="293">
        <f>J$67</f>
        <v>26228.416666666668</v>
      </c>
      <c r="F12" s="157">
        <f t="shared" si="0"/>
        <v>1.0076451963003397</v>
      </c>
      <c r="G12" s="293">
        <f>J$71</f>
        <v>2506.6666666666665</v>
      </c>
      <c r="H12" s="157">
        <f t="shared" si="1"/>
        <v>1.0015982951518381</v>
      </c>
      <c r="I12" s="293">
        <f>J$76</f>
        <v>198</v>
      </c>
      <c r="J12" s="157">
        <f t="shared" si="2"/>
        <v>0.96311309282529378</v>
      </c>
      <c r="K12" s="293">
        <f>J$81</f>
        <v>1</v>
      </c>
      <c r="L12" s="157">
        <f t="shared" si="3"/>
        <v>1</v>
      </c>
      <c r="M12" s="293">
        <f>J$86</f>
        <v>5742.916666666667</v>
      </c>
      <c r="N12" s="370">
        <f t="shared" si="4"/>
        <v>1.0012494733324617</v>
      </c>
      <c r="O12" s="293">
        <f>J$91</f>
        <v>705.66666666666663</v>
      </c>
      <c r="P12" s="370">
        <f t="shared" si="5"/>
        <v>0.96336746302616605</v>
      </c>
      <c r="Q12" s="293">
        <f>J$96</f>
        <v>49.25</v>
      </c>
      <c r="R12" s="157">
        <f t="shared" si="6"/>
        <v>1.3712296983758701</v>
      </c>
      <c r="S12" s="293"/>
      <c r="T12" s="157" t="e">
        <f t="shared" si="7"/>
        <v>#DIV/0!</v>
      </c>
      <c r="U12" s="293"/>
      <c r="V12" s="157" t="e">
        <f t="shared" si="8"/>
        <v>#DIV/0!</v>
      </c>
    </row>
    <row r="13" spans="1:22" x14ac:dyDescent="0.3">
      <c r="A13" s="291" t="s">
        <v>59</v>
      </c>
      <c r="B13" s="292"/>
      <c r="D13" s="279">
        <f>'Input - Customer Data'!B7-4</f>
        <v>2018</v>
      </c>
      <c r="E13" s="293">
        <f>K$67</f>
        <v>26464.833333333332</v>
      </c>
      <c r="F13" s="157">
        <f t="shared" si="0"/>
        <v>1.0090137605205549</v>
      </c>
      <c r="G13" s="293">
        <f>K$71</f>
        <v>2490.75</v>
      </c>
      <c r="H13" s="157">
        <f t="shared" si="1"/>
        <v>0.99365026595744688</v>
      </c>
      <c r="I13" s="293">
        <f>K$76</f>
        <v>197.66666666666666</v>
      </c>
      <c r="J13" s="157">
        <f t="shared" si="2"/>
        <v>0.99831649831649827</v>
      </c>
      <c r="K13" s="293">
        <f>K$81</f>
        <v>1</v>
      </c>
      <c r="L13" s="157">
        <f t="shared" si="3"/>
        <v>1</v>
      </c>
      <c r="M13" s="293">
        <f>K$86</f>
        <v>5774.416666666667</v>
      </c>
      <c r="N13" s="370">
        <f t="shared" si="4"/>
        <v>1.0054850177755206</v>
      </c>
      <c r="O13" s="293">
        <f>K$91</f>
        <v>698.25</v>
      </c>
      <c r="P13" s="370">
        <f t="shared" si="5"/>
        <v>0.9894898441190364</v>
      </c>
      <c r="Q13" s="293">
        <f>K$96</f>
        <v>48.083333333333336</v>
      </c>
      <c r="R13" s="157">
        <f t="shared" si="6"/>
        <v>0.97631133671742809</v>
      </c>
      <c r="S13" s="293"/>
      <c r="T13" s="157" t="e">
        <f t="shared" si="7"/>
        <v>#DIV/0!</v>
      </c>
      <c r="U13" s="293"/>
      <c r="V13" s="157" t="e">
        <f t="shared" si="8"/>
        <v>#DIV/0!</v>
      </c>
    </row>
    <row r="14" spans="1:22" x14ac:dyDescent="0.3">
      <c r="A14" s="291" t="s">
        <v>58</v>
      </c>
      <c r="B14" s="292"/>
      <c r="D14" s="279">
        <f>'Input - Customer Data'!B7-3</f>
        <v>2019</v>
      </c>
      <c r="E14" s="293">
        <f>L$67</f>
        <v>26647</v>
      </c>
      <c r="F14" s="157">
        <f t="shared" si="0"/>
        <v>1.0068833483427695</v>
      </c>
      <c r="G14" s="293">
        <f>L$71</f>
        <v>2495.6666666666665</v>
      </c>
      <c r="H14" s="157">
        <f t="shared" si="1"/>
        <v>1.0019739703569874</v>
      </c>
      <c r="I14" s="293">
        <f>L$76</f>
        <v>190.33333333333334</v>
      </c>
      <c r="J14" s="157">
        <f t="shared" si="2"/>
        <v>0.96290050590219234</v>
      </c>
      <c r="K14" s="293">
        <f>L$81</f>
        <v>1</v>
      </c>
      <c r="L14" s="157">
        <f t="shared" si="3"/>
        <v>1</v>
      </c>
      <c r="M14" s="293">
        <f>L$86</f>
        <v>5878.666666666667</v>
      </c>
      <c r="N14" s="370">
        <f t="shared" si="4"/>
        <v>1.0180537716652476</v>
      </c>
      <c r="O14" s="293">
        <f>L$91</f>
        <v>669.41666666666663</v>
      </c>
      <c r="P14" s="370">
        <f t="shared" si="5"/>
        <v>0.95870628953335713</v>
      </c>
      <c r="Q14" s="293">
        <f>L$96</f>
        <v>47.166666666666664</v>
      </c>
      <c r="R14" s="157">
        <f t="shared" si="6"/>
        <v>0.98093587521663772</v>
      </c>
      <c r="S14" s="293"/>
      <c r="T14" s="157" t="e">
        <f t="shared" si="7"/>
        <v>#DIV/0!</v>
      </c>
      <c r="U14" s="293"/>
      <c r="V14" s="157" t="e">
        <f t="shared" si="8"/>
        <v>#DIV/0!</v>
      </c>
    </row>
    <row r="15" spans="1:22" x14ac:dyDescent="0.3">
      <c r="A15" s="291" t="s">
        <v>207</v>
      </c>
      <c r="B15" s="292"/>
      <c r="D15" s="279">
        <f>'Input - Customer Data'!B7-2</f>
        <v>2020</v>
      </c>
      <c r="E15" s="293">
        <f>M$67</f>
        <v>26915.666666666668</v>
      </c>
      <c r="F15" s="157">
        <f t="shared" si="0"/>
        <v>1.0100824357963998</v>
      </c>
      <c r="G15" s="293">
        <f>M$71</f>
        <v>2513.5833333333335</v>
      </c>
      <c r="H15" s="157">
        <f t="shared" si="1"/>
        <v>1.0071791104581276</v>
      </c>
      <c r="I15" s="293">
        <f>M$76</f>
        <v>193.16666666666666</v>
      </c>
      <c r="J15" s="157">
        <f t="shared" si="2"/>
        <v>1.0148861646234675</v>
      </c>
      <c r="K15" s="293">
        <f>M$81</f>
        <v>1</v>
      </c>
      <c r="L15" s="157">
        <f t="shared" si="3"/>
        <v>1</v>
      </c>
      <c r="M15" s="293">
        <f>M$86</f>
        <v>5997.166666666667</v>
      </c>
      <c r="N15" s="370">
        <f t="shared" si="4"/>
        <v>1.0201576321161261</v>
      </c>
      <c r="O15" s="293">
        <f>M$91</f>
        <v>644.66666666666663</v>
      </c>
      <c r="P15" s="370">
        <f t="shared" si="5"/>
        <v>0.96302751151500066</v>
      </c>
      <c r="Q15" s="293">
        <f>M$96</f>
        <v>46</v>
      </c>
      <c r="R15" s="471">
        <f t="shared" si="6"/>
        <v>0.97526501766784457</v>
      </c>
      <c r="S15" s="293"/>
      <c r="T15" s="157"/>
      <c r="U15" s="293"/>
      <c r="V15" s="157"/>
    </row>
    <row r="16" spans="1:22" x14ac:dyDescent="0.3">
      <c r="A16" s="291" t="s">
        <v>162</v>
      </c>
      <c r="B16" s="292"/>
      <c r="D16" s="201"/>
      <c r="E16" s="156"/>
      <c r="F16" s="152"/>
      <c r="G16" s="156"/>
      <c r="H16" s="152"/>
      <c r="I16" s="156"/>
      <c r="J16" s="152"/>
      <c r="K16" s="156"/>
      <c r="L16" s="152"/>
      <c r="M16" s="156"/>
      <c r="N16" s="371"/>
      <c r="O16" s="156"/>
      <c r="P16" s="371"/>
      <c r="Q16" s="156"/>
      <c r="R16" s="152"/>
      <c r="S16" s="156"/>
      <c r="T16" s="152"/>
      <c r="U16" s="156"/>
      <c r="V16" s="152"/>
    </row>
    <row r="17" spans="1:22" x14ac:dyDescent="0.3">
      <c r="A17" s="291" t="s">
        <v>138</v>
      </c>
      <c r="B17" s="292"/>
      <c r="D17" s="202" t="s">
        <v>84</v>
      </c>
      <c r="E17" s="156"/>
      <c r="F17" s="470">
        <f>GEOMEAN(F11:F15)</f>
        <v>1.007565274079713</v>
      </c>
      <c r="G17" s="154"/>
      <c r="H17" s="470">
        <f>GEOMEAN(H11:H15)</f>
        <v>1.0017128409446141</v>
      </c>
      <c r="I17" s="154"/>
      <c r="J17" s="470">
        <f>J15</f>
        <v>1.0148861646234675</v>
      </c>
      <c r="K17" s="154"/>
      <c r="L17" s="155">
        <f>GEOMEAN(L7:L15)</f>
        <v>1</v>
      </c>
      <c r="M17" s="154"/>
      <c r="N17" s="372">
        <f>GEOMEAN(N7:N15)</f>
        <v>1.0055386671648727</v>
      </c>
      <c r="O17" s="154"/>
      <c r="P17" s="372">
        <f>GEOMEAN(P7:P15)</f>
        <v>0.97254162146705725</v>
      </c>
      <c r="Q17" s="154"/>
      <c r="R17" s="155">
        <f>GEOMEAN(R7:R15)</f>
        <v>1.019483313726254</v>
      </c>
      <c r="S17" s="154"/>
      <c r="T17" s="155" t="e">
        <f>GEOMEAN(T7:T15)</f>
        <v>#DIV/0!</v>
      </c>
      <c r="U17" s="154"/>
      <c r="V17" s="155" t="e">
        <f>GEOMEAN(V7:V15)</f>
        <v>#DIV/0!</v>
      </c>
    </row>
    <row r="18" spans="1:22" x14ac:dyDescent="0.3">
      <c r="A18" s="442" t="s">
        <v>146</v>
      </c>
      <c r="B18" s="443"/>
      <c r="D18" s="202"/>
      <c r="E18" s="156"/>
      <c r="F18" s="155"/>
      <c r="G18" s="154"/>
      <c r="H18" s="155"/>
      <c r="I18" s="154"/>
      <c r="J18" s="155"/>
      <c r="K18" s="154"/>
      <c r="L18" s="155"/>
      <c r="M18" s="154"/>
      <c r="N18" s="372"/>
      <c r="O18" s="154"/>
      <c r="P18" s="372"/>
      <c r="Q18" s="154"/>
      <c r="R18" s="155"/>
      <c r="S18" s="154"/>
      <c r="T18" s="155"/>
      <c r="U18" s="154"/>
      <c r="V18" s="155"/>
    </row>
    <row r="19" spans="1:22" x14ac:dyDescent="0.3">
      <c r="A19" s="442" t="s">
        <v>136</v>
      </c>
      <c r="B19" s="443"/>
      <c r="D19" s="279">
        <f>'Input - Customer Data'!B6</f>
        <v>2021</v>
      </c>
      <c r="E19" s="293">
        <f>E15*F17</f>
        <v>27119.291062038195</v>
      </c>
      <c r="F19" s="157" t="s">
        <v>57</v>
      </c>
      <c r="G19" s="293">
        <f>G15*H17</f>
        <v>2517.8887017843663</v>
      </c>
      <c r="H19" s="157"/>
      <c r="I19" s="293">
        <f>I15*J17</f>
        <v>196.04217746643312</v>
      </c>
      <c r="J19" s="157"/>
      <c r="K19" s="293">
        <f>K15*L17</f>
        <v>1</v>
      </c>
      <c r="L19" s="157"/>
      <c r="M19" s="293">
        <f>M15*N17</f>
        <v>6030.3829767656025</v>
      </c>
      <c r="N19" s="370"/>
      <c r="O19" s="293">
        <f>O15*P17</f>
        <v>626.96516530576287</v>
      </c>
      <c r="P19" s="370"/>
      <c r="Q19" s="293">
        <f>Q15*R17</f>
        <v>46.896232431407682</v>
      </c>
      <c r="R19" s="157"/>
      <c r="S19" s="293" t="e">
        <f>S14*T17</f>
        <v>#DIV/0!</v>
      </c>
      <c r="T19" s="157"/>
      <c r="U19" s="293" t="e">
        <f>U14*V17</f>
        <v>#DIV/0!</v>
      </c>
      <c r="V19" s="157"/>
    </row>
    <row r="20" spans="1:22" x14ac:dyDescent="0.3">
      <c r="A20" s="457" t="s">
        <v>56</v>
      </c>
      <c r="B20" s="458"/>
      <c r="D20" s="279">
        <f>'Input - Customer Data'!B7</f>
        <v>2022</v>
      </c>
      <c r="E20" s="293">
        <f>E19*F17</f>
        <v>27324.455931770026</v>
      </c>
      <c r="F20" s="157" t="s">
        <v>57</v>
      </c>
      <c r="G20" s="293">
        <f>G19*H17</f>
        <v>2522.2014446467638</v>
      </c>
      <c r="H20" s="157"/>
      <c r="I20" s="293">
        <f>I19*J17</f>
        <v>198.96049359334145</v>
      </c>
      <c r="J20" s="157"/>
      <c r="K20" s="293">
        <f>K19*L17</f>
        <v>1</v>
      </c>
      <c r="L20" s="157"/>
      <c r="M20" s="293">
        <f>M19*N17</f>
        <v>6063.7832609506213</v>
      </c>
      <c r="N20" s="370"/>
      <c r="O20" s="293">
        <f>O19*P17</f>
        <v>609.74971846982817</v>
      </c>
      <c r="P20" s="370"/>
      <c r="Q20" s="293">
        <f>Q19*R17</f>
        <v>47.809926440448123</v>
      </c>
      <c r="R20" s="157"/>
      <c r="S20" s="293" t="e">
        <f>S19*T17</f>
        <v>#DIV/0!</v>
      </c>
      <c r="T20" s="157"/>
      <c r="U20" s="293" t="e">
        <f>U19*V17</f>
        <v>#DIV/0!</v>
      </c>
      <c r="V20" s="157"/>
    </row>
    <row r="21" spans="1:22" x14ac:dyDescent="0.3">
      <c r="A21" s="457" t="s">
        <v>56</v>
      </c>
      <c r="B21" s="458"/>
      <c r="D21" s="144"/>
      <c r="E21" s="144"/>
      <c r="F21" s="144"/>
      <c r="G21" s="144"/>
      <c r="H21" s="144"/>
      <c r="I21" s="144"/>
      <c r="J21" s="144"/>
      <c r="K21" s="144"/>
      <c r="L21" s="144"/>
      <c r="M21" s="144"/>
      <c r="N21" s="219"/>
      <c r="O21" s="219"/>
      <c r="P21" s="219"/>
      <c r="Q21" s="144"/>
      <c r="R21" s="144"/>
      <c r="S21" s="144"/>
      <c r="T21" s="144"/>
      <c r="U21" s="144"/>
      <c r="V21" s="144"/>
    </row>
    <row r="22" spans="1:22" ht="13.5" thickBot="1" x14ac:dyDescent="0.35">
      <c r="A22" s="457"/>
      <c r="B22" s="458"/>
      <c r="D22" s="153" t="s">
        <v>83</v>
      </c>
      <c r="E22" s="144"/>
      <c r="F22" s="144"/>
      <c r="G22" s="144"/>
      <c r="H22" s="144"/>
      <c r="I22" s="144"/>
      <c r="J22" s="144"/>
      <c r="K22" s="144"/>
      <c r="L22" s="144"/>
      <c r="M22" s="144"/>
      <c r="N22" s="219"/>
      <c r="O22" s="219"/>
      <c r="P22" s="219"/>
      <c r="Q22" s="144"/>
      <c r="R22" s="144"/>
      <c r="S22" s="144"/>
      <c r="T22" s="144"/>
      <c r="U22" s="144"/>
      <c r="V22" s="144"/>
    </row>
    <row r="23" spans="1:22" ht="15.5" x14ac:dyDescent="0.3">
      <c r="A23" s="457"/>
      <c r="B23" s="458"/>
      <c r="D23" s="483" t="s">
        <v>82</v>
      </c>
      <c r="E23" s="484"/>
      <c r="F23" s="484"/>
      <c r="G23" s="484"/>
      <c r="H23" s="484"/>
      <c r="I23" s="484"/>
      <c r="J23" s="484"/>
      <c r="K23" s="484"/>
      <c r="L23" s="484"/>
      <c r="M23" s="484"/>
      <c r="N23" s="484"/>
      <c r="O23" s="484"/>
      <c r="P23" s="484"/>
      <c r="Q23" s="484"/>
      <c r="R23" s="484"/>
      <c r="S23" s="484"/>
      <c r="T23" s="484"/>
      <c r="U23" s="484"/>
      <c r="V23" s="484"/>
    </row>
    <row r="24" spans="1:22" s="210" customFormat="1" x14ac:dyDescent="0.3">
      <c r="A24" s="457"/>
      <c r="B24" s="458"/>
      <c r="C24" s="212"/>
      <c r="D24" s="206">
        <f>'Input - Customer Data'!B6</f>
        <v>2021</v>
      </c>
      <c r="E24" s="265">
        <f>E19</f>
        <v>27119.291062038195</v>
      </c>
      <c r="F24" s="152">
        <f>E24/E15</f>
        <v>1.007565274079713</v>
      </c>
      <c r="G24" s="265">
        <f>G19</f>
        <v>2517.8887017843663</v>
      </c>
      <c r="H24" s="152">
        <f>G24/G15</f>
        <v>1.0017128409446141</v>
      </c>
      <c r="I24" s="469">
        <f>I19</f>
        <v>196.04217746643312</v>
      </c>
      <c r="J24" s="152">
        <f>I24/I15</f>
        <v>1.0148861646234675</v>
      </c>
      <c r="K24" s="265">
        <f>K19</f>
        <v>1</v>
      </c>
      <c r="L24" s="152">
        <f>K24/K15</f>
        <v>1</v>
      </c>
      <c r="M24" s="265">
        <f>M19</f>
        <v>6030.3829767656025</v>
      </c>
      <c r="N24" s="371">
        <f>M24/M15</f>
        <v>1.0055386671648727</v>
      </c>
      <c r="O24" s="374">
        <f>O19</f>
        <v>626.96516530576287</v>
      </c>
      <c r="P24" s="371">
        <f>O24/O15</f>
        <v>0.97254162146705725</v>
      </c>
      <c r="Q24" s="203">
        <f>Q19</f>
        <v>46.896232431407682</v>
      </c>
      <c r="R24" s="152">
        <f>Q24/Q15</f>
        <v>1.019483313726254</v>
      </c>
      <c r="S24" s="203" t="e">
        <f>S19</f>
        <v>#DIV/0!</v>
      </c>
      <c r="T24" s="152" t="e">
        <f>S24/S15</f>
        <v>#DIV/0!</v>
      </c>
      <c r="U24" s="203" t="e">
        <f>U19</f>
        <v>#DIV/0!</v>
      </c>
      <c r="V24" s="152" t="e">
        <f>U24/U15</f>
        <v>#DIV/0!</v>
      </c>
    </row>
    <row r="25" spans="1:22" x14ac:dyDescent="0.3">
      <c r="A25" s="457"/>
      <c r="B25" s="458"/>
      <c r="D25" s="206">
        <f>'Input - Customer Data'!B7</f>
        <v>2022</v>
      </c>
      <c r="E25" s="265">
        <f>E20</f>
        <v>27324.455931770026</v>
      </c>
      <c r="F25" s="152">
        <f>E25/E24</f>
        <v>1.007565274079713</v>
      </c>
      <c r="G25" s="265">
        <f>G20</f>
        <v>2522.2014446467638</v>
      </c>
      <c r="H25" s="152">
        <f>G25/G24</f>
        <v>1.0017128409446141</v>
      </c>
      <c r="I25" s="469">
        <f>I20</f>
        <v>198.96049359334145</v>
      </c>
      <c r="J25" s="152">
        <f>I25/I24</f>
        <v>1.0148861646234675</v>
      </c>
      <c r="K25" s="265">
        <f>K20</f>
        <v>1</v>
      </c>
      <c r="L25" s="152">
        <f>K25/K24</f>
        <v>1</v>
      </c>
      <c r="M25" s="265">
        <f>M20</f>
        <v>6063.7832609506213</v>
      </c>
      <c r="N25" s="371">
        <f>M25/M24</f>
        <v>1.0055386671648727</v>
      </c>
      <c r="O25" s="374">
        <f>O20</f>
        <v>609.74971846982817</v>
      </c>
      <c r="P25" s="371">
        <f>O25/O24</f>
        <v>0.97254162146705714</v>
      </c>
      <c r="Q25" s="203">
        <f>Q20</f>
        <v>47.809926440448123</v>
      </c>
      <c r="R25" s="152">
        <f>Q25/Q24</f>
        <v>1.019483313726254</v>
      </c>
      <c r="S25" s="203" t="e">
        <f>S20</f>
        <v>#DIV/0!</v>
      </c>
      <c r="T25" s="152" t="e">
        <f>S25/S24</f>
        <v>#DIV/0!</v>
      </c>
      <c r="U25" s="203" t="e">
        <f>U20</f>
        <v>#DIV/0!</v>
      </c>
      <c r="V25" s="152" t="e">
        <f>U25/U24</f>
        <v>#DIV/0!</v>
      </c>
    </row>
    <row r="26" spans="1:22" x14ac:dyDescent="0.3">
      <c r="D26" s="144"/>
      <c r="E26" s="144"/>
      <c r="F26" s="144"/>
      <c r="G26" s="144"/>
      <c r="H26" s="144"/>
      <c r="I26" s="144"/>
      <c r="J26" s="144"/>
      <c r="K26" s="144"/>
      <c r="L26" s="144"/>
      <c r="M26" s="144"/>
      <c r="N26" s="219"/>
      <c r="O26" s="219"/>
      <c r="P26" s="219"/>
      <c r="Q26" s="144"/>
      <c r="R26" s="144"/>
      <c r="S26" s="144"/>
      <c r="T26" s="144"/>
    </row>
    <row r="27" spans="1:22" x14ac:dyDescent="0.3">
      <c r="A27" s="144" t="s">
        <v>131</v>
      </c>
      <c r="B27" s="160"/>
      <c r="C27" s="214" t="s">
        <v>57</v>
      </c>
    </row>
    <row r="28" spans="1:22" x14ac:dyDescent="0.3">
      <c r="A28" s="144"/>
      <c r="B28" s="160"/>
      <c r="C28" s="214"/>
    </row>
    <row r="29" spans="1:22" x14ac:dyDescent="0.3">
      <c r="A29" s="144"/>
      <c r="B29" s="160"/>
      <c r="C29" s="214"/>
    </row>
    <row r="30" spans="1:22" x14ac:dyDescent="0.3">
      <c r="A30" s="144"/>
      <c r="B30" s="160"/>
      <c r="C30" s="214"/>
    </row>
    <row r="31" spans="1:22" ht="13.5" thickBot="1" x14ac:dyDescent="0.35">
      <c r="A31" s="144"/>
      <c r="B31" s="160"/>
      <c r="C31" s="214"/>
    </row>
    <row r="32" spans="1:22" ht="16" thickTop="1" x14ac:dyDescent="0.3">
      <c r="A32" s="375" t="s">
        <v>110</v>
      </c>
      <c r="B32" s="144"/>
      <c r="C32" s="376"/>
      <c r="D32" s="453">
        <f>$B$6-10</f>
        <v>2011</v>
      </c>
      <c r="E32" s="453">
        <f>$B$6-9</f>
        <v>2012</v>
      </c>
      <c r="F32" s="453">
        <f>$B$6-8</f>
        <v>2013</v>
      </c>
      <c r="G32" s="453">
        <f>$B$6-7</f>
        <v>2014</v>
      </c>
      <c r="H32" s="453">
        <f>$B$6-6</f>
        <v>2015</v>
      </c>
      <c r="I32" s="453">
        <f>$B$6-5</f>
        <v>2016</v>
      </c>
      <c r="J32" s="453">
        <f>$B$6-4</f>
        <v>2017</v>
      </c>
      <c r="K32" s="453">
        <f>$B$6-3</f>
        <v>2018</v>
      </c>
      <c r="L32" s="453">
        <f>$B$6-2</f>
        <v>2019</v>
      </c>
      <c r="M32" s="453">
        <f>$B$6-1</f>
        <v>2020</v>
      </c>
      <c r="N32" s="453"/>
    </row>
    <row r="33" spans="1:15" x14ac:dyDescent="0.3">
      <c r="A33" s="209" t="s">
        <v>73</v>
      </c>
      <c r="B33" s="147"/>
      <c r="C33" s="144"/>
      <c r="D33" s="350">
        <f>'Input - Adjustments &amp; Variables'!B5</f>
        <v>52646061.059999987</v>
      </c>
      <c r="E33" s="350">
        <f>'Input - Adjustments &amp; Variables'!B17</f>
        <v>49830132.730000034</v>
      </c>
      <c r="F33" s="350">
        <f>'Input - Adjustments &amp; Variables'!B29</f>
        <v>50854515.269999981</v>
      </c>
      <c r="G33" s="350">
        <f>'Input - Adjustments &amp; Variables'!B41</f>
        <v>52863793.569999993</v>
      </c>
      <c r="H33" s="350">
        <f>'Input - Adjustments &amp; Variables'!B53</f>
        <v>50100445.24000001</v>
      </c>
      <c r="I33" s="350">
        <f>'Input - Adjustments &amp; Variables'!B65</f>
        <v>44500830.719999984</v>
      </c>
      <c r="J33" s="350">
        <f>'Input - Adjustments &amp; Variables'!B77</f>
        <v>43062641.590000018</v>
      </c>
      <c r="K33" s="350">
        <f>'Input - Adjustments &amp; Variables'!B89</f>
        <v>47052385.459999971</v>
      </c>
      <c r="L33" s="350">
        <f>'Input - Adjustments &amp; Variables'!B101</f>
        <v>46622026.859999999</v>
      </c>
      <c r="M33" s="350">
        <f>'Input - Adjustments &amp; Variables'!B113</f>
        <v>44000407</v>
      </c>
      <c r="N33" s="350"/>
    </row>
    <row r="34" spans="1:15" x14ac:dyDescent="0.3">
      <c r="A34" s="209" t="s">
        <v>72</v>
      </c>
      <c r="B34" s="147"/>
      <c r="C34" s="144"/>
      <c r="D34" s="350">
        <f>'Input - Adjustments &amp; Variables'!B6</f>
        <v>47886036.089999989</v>
      </c>
      <c r="E34" s="350">
        <f>'Input - Adjustments &amp; Variables'!B18</f>
        <v>46681742.650000036</v>
      </c>
      <c r="F34" s="350">
        <f>'Input - Adjustments &amp; Variables'!B30</f>
        <v>45891597.809999987</v>
      </c>
      <c r="G34" s="350">
        <f>'Input - Adjustments &amp; Variables'!B42</f>
        <v>46902074.210000008</v>
      </c>
      <c r="H34" s="350">
        <f>'Input - Adjustments &amp; Variables'!B54</f>
        <v>46271066.69000002</v>
      </c>
      <c r="I34" s="350">
        <f>'Input - Adjustments &amp; Variables'!B66</f>
        <v>40982390.300000004</v>
      </c>
      <c r="J34" s="350">
        <f>'Input - Adjustments &amp; Variables'!B78</f>
        <v>37522207.099999994</v>
      </c>
      <c r="K34" s="350">
        <f>'Input - Adjustments &amp; Variables'!B90</f>
        <v>39540897.230000019</v>
      </c>
      <c r="L34" s="350">
        <f>'Input - Adjustments &amp; Variables'!B102</f>
        <v>41188691.579999998</v>
      </c>
      <c r="M34" s="350">
        <f>'Input - Adjustments &amp; Variables'!B114</f>
        <v>41219886</v>
      </c>
      <c r="N34" s="350"/>
    </row>
    <row r="35" spans="1:15" x14ac:dyDescent="0.3">
      <c r="A35" s="209" t="s">
        <v>71</v>
      </c>
      <c r="B35" s="147"/>
      <c r="C35" s="144"/>
      <c r="D35" s="350">
        <f>'Input - Adjustments &amp; Variables'!B7</f>
        <v>50044994.409999982</v>
      </c>
      <c r="E35" s="350">
        <f>'Input - Adjustments &amp; Variables'!B19</f>
        <v>45705990.230000004</v>
      </c>
      <c r="F35" s="350">
        <f>'Input - Adjustments &amp; Variables'!B31</f>
        <v>45408057.419999965</v>
      </c>
      <c r="G35" s="350">
        <f>'Input - Adjustments &amp; Variables'!B43</f>
        <v>49147286.989999995</v>
      </c>
      <c r="H35" s="350">
        <f>'Input - Adjustments &amp; Variables'!B55</f>
        <v>44501238.159999989</v>
      </c>
      <c r="I35" s="350">
        <f>'Input - Adjustments &amp; Variables'!B67</f>
        <v>39758543.469999999</v>
      </c>
      <c r="J35" s="350">
        <f>'Input - Adjustments &amp; Variables'!B79</f>
        <v>41370878.749999993</v>
      </c>
      <c r="K35" s="350">
        <f>'Input - Adjustments &amp; Variables'!B91</f>
        <v>41548740.249999993</v>
      </c>
      <c r="L35" s="350">
        <f>'Input - Adjustments &amp; Variables'!B103</f>
        <v>42070897.649999976</v>
      </c>
      <c r="M35" s="350">
        <f>'Input - Adjustments &amp; Variables'!B115</f>
        <v>39943443</v>
      </c>
      <c r="N35" s="350"/>
    </row>
    <row r="36" spans="1:15" x14ac:dyDescent="0.3">
      <c r="A36" s="209" t="s">
        <v>70</v>
      </c>
      <c r="B36" s="147"/>
      <c r="C36" s="144"/>
      <c r="D36" s="350">
        <f>'Input - Adjustments &amp; Variables'!B8</f>
        <v>43929197.81000001</v>
      </c>
      <c r="E36" s="350">
        <f>'Input - Adjustments &amp; Variables'!B20</f>
        <v>42394150.290000021</v>
      </c>
      <c r="F36" s="350">
        <f>'Input - Adjustments &amp; Variables'!B32</f>
        <v>40508542.919999994</v>
      </c>
      <c r="G36" s="350">
        <f>'Input - Adjustments &amp; Variables'!B44</f>
        <v>41905954.449999988</v>
      </c>
      <c r="H36" s="350">
        <f>'Input - Adjustments &amp; Variables'!B56</f>
        <v>37785791.490000002</v>
      </c>
      <c r="I36" s="350">
        <f>'Input - Adjustments &amp; Variables'!B68</f>
        <v>36143916.349999994</v>
      </c>
      <c r="J36" s="350">
        <f>'Input - Adjustments &amp; Variables'!B80</f>
        <v>35639117.619999968</v>
      </c>
      <c r="K36" s="350">
        <f>'Input - Adjustments &amp; Variables'!B92</f>
        <v>38285930.12999998</v>
      </c>
      <c r="L36" s="350">
        <f>'Input - Adjustments &amp; Variables'!B104</f>
        <v>36296821.840000033</v>
      </c>
      <c r="M36" s="350">
        <f>'Input - Adjustments &amp; Variables'!B116</f>
        <v>34785312</v>
      </c>
      <c r="N36" s="350"/>
    </row>
    <row r="37" spans="1:15" x14ac:dyDescent="0.3">
      <c r="A37" s="209" t="s">
        <v>69</v>
      </c>
      <c r="B37" s="147"/>
      <c r="C37" s="144"/>
      <c r="D37" s="350">
        <f>'Input - Adjustments &amp; Variables'!B9</f>
        <v>43129960.770000003</v>
      </c>
      <c r="E37" s="350">
        <f>'Input - Adjustments &amp; Variables'!B21</f>
        <v>44171430.339999989</v>
      </c>
      <c r="F37" s="350">
        <f>'Input - Adjustments &amp; Variables'!B33</f>
        <v>40367332.749999978</v>
      </c>
      <c r="G37" s="350">
        <f>'Input - Adjustments &amp; Variables'!B45</f>
        <v>40009171.760000005</v>
      </c>
      <c r="H37" s="350">
        <f>'Input - Adjustments &amp; Variables'!B57</f>
        <v>36307057.780000001</v>
      </c>
      <c r="I37" s="350">
        <f>'Input - Adjustments &amp; Variables'!B69</f>
        <v>35571116.150000006</v>
      </c>
      <c r="J37" s="350">
        <f>'Input - Adjustments &amp; Variables'!B81</f>
        <v>36632679.980000012</v>
      </c>
      <c r="K37" s="350">
        <f>'Input - Adjustments &amp; Variables'!B93</f>
        <v>36063657.63000001</v>
      </c>
      <c r="L37" s="350">
        <f>'Input - Adjustments &amp; Variables'!B105</f>
        <v>35335301.459999986</v>
      </c>
      <c r="M37" s="350">
        <f>'Input - Adjustments &amp; Variables'!B117</f>
        <v>35305256</v>
      </c>
      <c r="N37" s="350"/>
    </row>
    <row r="38" spans="1:15" x14ac:dyDescent="0.3">
      <c r="A38" s="209" t="s">
        <v>68</v>
      </c>
      <c r="B38" s="147"/>
      <c r="C38" s="144"/>
      <c r="D38" s="350">
        <f>'Input - Adjustments &amp; Variables'!B10</f>
        <v>45531832.089999981</v>
      </c>
      <c r="E38" s="350">
        <f>'Input - Adjustments &amp; Variables'!B22</f>
        <v>47092605</v>
      </c>
      <c r="F38" s="350">
        <f>'Input - Adjustments &amp; Variables'!B34</f>
        <v>41861470.480000004</v>
      </c>
      <c r="G38" s="350">
        <f>'Input - Adjustments &amp; Variables'!B46</f>
        <v>45061481.739999995</v>
      </c>
      <c r="H38" s="350">
        <f>'Input - Adjustments &amp; Variables'!B58</f>
        <v>37811947.970000021</v>
      </c>
      <c r="I38" s="350">
        <f>'Input - Adjustments &amp; Variables'!B70</f>
        <v>39220373.289999992</v>
      </c>
      <c r="J38" s="350">
        <f>'Input - Adjustments &amp; Variables'!B82</f>
        <v>38109511.749999993</v>
      </c>
      <c r="K38" s="350">
        <f>'Input - Adjustments &amp; Variables'!B94</f>
        <v>38564071.070000008</v>
      </c>
      <c r="L38" s="350">
        <f>'Input - Adjustments &amp; Variables'!B106</f>
        <v>36918421.580000013</v>
      </c>
      <c r="M38" s="350">
        <f>'Input - Adjustments &amp; Variables'!B118</f>
        <v>39004716</v>
      </c>
      <c r="N38" s="350"/>
    </row>
    <row r="39" spans="1:15" x14ac:dyDescent="0.3">
      <c r="A39" s="209" t="s">
        <v>67</v>
      </c>
      <c r="B39" s="147"/>
      <c r="C39" s="144"/>
      <c r="D39" s="350">
        <f>'Input - Adjustments &amp; Variables'!B11</f>
        <v>56530774.029999986</v>
      </c>
      <c r="E39" s="350">
        <f>'Input - Adjustments &amp; Variables'!B23</f>
        <v>56616414.859999955</v>
      </c>
      <c r="F39" s="350">
        <f>'Input - Adjustments &amp; Variables'!B35</f>
        <v>51710807.499999985</v>
      </c>
      <c r="G39" s="350">
        <f>'Input - Adjustments &amp; Variables'!B47</f>
        <v>46747535.099999979</v>
      </c>
      <c r="H39" s="350">
        <f>'Input - Adjustments &amp; Variables'!B59</f>
        <v>44310484.200000025</v>
      </c>
      <c r="I39" s="350">
        <f>'Input - Adjustments &amp; Variables'!B71</f>
        <v>47066419.799999982</v>
      </c>
      <c r="J39" s="350">
        <f>'Input - Adjustments &amp; Variables'!B83</f>
        <v>43845120.699999988</v>
      </c>
      <c r="K39" s="350">
        <f>'Input - Adjustments &amp; Variables'!B95</f>
        <v>49628857.740000024</v>
      </c>
      <c r="L39" s="350">
        <f>'Input - Adjustments &amp; Variables'!B107</f>
        <v>48958080.650000021</v>
      </c>
      <c r="M39" s="350">
        <f>'Input - Adjustments &amp; Variables'!B119</f>
        <v>51209111</v>
      </c>
      <c r="N39" s="350"/>
    </row>
    <row r="40" spans="1:15" x14ac:dyDescent="0.3">
      <c r="A40" s="209" t="s">
        <v>66</v>
      </c>
      <c r="B40" s="147"/>
      <c r="C40" s="144"/>
      <c r="D40" s="350">
        <f>'Input - Adjustments &amp; Variables'!B12</f>
        <v>53168646.089999974</v>
      </c>
      <c r="E40" s="350">
        <f>'Input - Adjustments &amp; Variables'!B24</f>
        <v>53263093.910000011</v>
      </c>
      <c r="F40" s="350">
        <f>'Input - Adjustments &amp; Variables'!B36</f>
        <v>47450772.329999983</v>
      </c>
      <c r="G40" s="350">
        <f>'Input - Adjustments &amp; Variables'!B48</f>
        <v>44915574.590000011</v>
      </c>
      <c r="H40" s="350">
        <f>'Input - Adjustments &amp; Variables'!B60</f>
        <v>43495493.139999993</v>
      </c>
      <c r="I40" s="350">
        <f>'Input - Adjustments &amp; Variables'!B72</f>
        <v>50793950.229999974</v>
      </c>
      <c r="J40" s="350">
        <f>'Input - Adjustments &amp; Variables'!B84</f>
        <v>43171748.199999966</v>
      </c>
      <c r="K40" s="350">
        <f>'Input - Adjustments &amp; Variables'!B96</f>
        <v>48629695.239999965</v>
      </c>
      <c r="L40" s="350">
        <f>'Input - Adjustments &amp; Variables'!B108</f>
        <v>45777930.170000002</v>
      </c>
      <c r="M40" s="350">
        <f>'Input - Adjustments &amp; Variables'!B120</f>
        <v>45776807</v>
      </c>
      <c r="N40" s="350"/>
    </row>
    <row r="41" spans="1:15" x14ac:dyDescent="0.3">
      <c r="A41" s="209" t="s">
        <v>65</v>
      </c>
      <c r="B41" s="147"/>
      <c r="C41" s="144"/>
      <c r="D41" s="350">
        <f>'Input - Adjustments &amp; Variables'!B13</f>
        <v>45998198.719999947</v>
      </c>
      <c r="E41" s="350">
        <f>'Input - Adjustments &amp; Variables'!B25</f>
        <v>44675833.469999984</v>
      </c>
      <c r="F41" s="350">
        <f>'Input - Adjustments &amp; Variables'!B37</f>
        <v>40219617.969999991</v>
      </c>
      <c r="G41" s="350">
        <f>'Input - Adjustments &amp; Variables'!B49</f>
        <v>39557943.620000012</v>
      </c>
      <c r="H41" s="350">
        <f>'Input - Adjustments &amp; Variables'!B61</f>
        <v>41484817.669999972</v>
      </c>
      <c r="I41" s="350">
        <f>'Input - Adjustments &amp; Variables'!B73</f>
        <v>39568638.049999982</v>
      </c>
      <c r="J41" s="350">
        <f>'Input - Adjustments &amp; Variables'!B85</f>
        <v>38578980.680000037</v>
      </c>
      <c r="K41" s="350">
        <f>'Input - Adjustments &amp; Variables'!B97</f>
        <v>41064153.550000027</v>
      </c>
      <c r="L41" s="350">
        <f>'Input - Adjustments &amp; Variables'!B109</f>
        <v>37514501.140000001</v>
      </c>
      <c r="M41" s="350">
        <f>'Input - Adjustments &amp; Variables'!B121</f>
        <v>36368524</v>
      </c>
      <c r="N41" s="350"/>
    </row>
    <row r="42" spans="1:15" x14ac:dyDescent="0.3">
      <c r="A42" s="209" t="s">
        <v>64</v>
      </c>
      <c r="B42" s="147"/>
      <c r="C42" s="144"/>
      <c r="D42" s="350">
        <f>'Input - Adjustments &amp; Variables'!B14</f>
        <v>43453458.649999976</v>
      </c>
      <c r="E42" s="350">
        <f>'Input - Adjustments &amp; Variables'!B26</f>
        <v>43218262.50000003</v>
      </c>
      <c r="F42" s="350">
        <f>'Input - Adjustments &amp; Variables'!B38</f>
        <v>40606721.039999992</v>
      </c>
      <c r="G42" s="350">
        <f>'Input - Adjustments &amp; Variables'!B50</f>
        <v>39850442.429999992</v>
      </c>
      <c r="H42" s="350">
        <f>'Input - Adjustments &amp; Variables'!B62</f>
        <v>38178097.399999984</v>
      </c>
      <c r="I42" s="350">
        <f>'Input - Adjustments &amp; Variables'!B74</f>
        <v>35855555.68999996</v>
      </c>
      <c r="J42" s="350">
        <f>'Input - Adjustments &amp; Variables'!B86</f>
        <v>35892870.779999956</v>
      </c>
      <c r="K42" s="350">
        <f>'Input - Adjustments &amp; Variables'!B98</f>
        <v>37443471.689999975</v>
      </c>
      <c r="L42" s="350">
        <f>'Input - Adjustments &amp; Variables'!B110</f>
        <v>36374484.030000001</v>
      </c>
      <c r="M42" s="350">
        <f>'Input - Adjustments &amp; Variables'!B122</f>
        <v>35464048</v>
      </c>
      <c r="N42" s="350"/>
    </row>
    <row r="43" spans="1:15" x14ac:dyDescent="0.3">
      <c r="A43" s="209" t="s">
        <v>63</v>
      </c>
      <c r="B43" s="147"/>
      <c r="C43" s="144"/>
      <c r="D43" s="350">
        <f>'Input - Adjustments &amp; Variables'!B15</f>
        <v>42419852.18999999</v>
      </c>
      <c r="E43" s="350">
        <f>'Input - Adjustments &amp; Variables'!B27</f>
        <v>44348257.809999987</v>
      </c>
      <c r="F43" s="350">
        <f>'Input - Adjustments &amp; Variables'!B39</f>
        <v>41891121.289999954</v>
      </c>
      <c r="G43" s="350">
        <f>'Input - Adjustments &amp; Variables'!B51</f>
        <v>43491696.789999977</v>
      </c>
      <c r="H43" s="350">
        <f>'Input - Adjustments &amp; Variables'!B63</f>
        <v>36946837.530000001</v>
      </c>
      <c r="I43" s="350">
        <f>'Input - Adjustments &amp; Variables'!B75</f>
        <v>36559281.450000003</v>
      </c>
      <c r="J43" s="350">
        <f>'Input - Adjustments &amp; Variables'!B87</f>
        <v>38713504.909999996</v>
      </c>
      <c r="K43" s="350">
        <f>'Input - Adjustments &amp; Variables'!B99</f>
        <v>39843675.400000006</v>
      </c>
      <c r="L43" s="350">
        <f>'Input - Adjustments &amp; Variables'!B111</f>
        <v>40089238.080000013</v>
      </c>
      <c r="M43" s="350">
        <f>'Input - Adjustments &amp; Variables'!B123</f>
        <v>36859381</v>
      </c>
      <c r="N43" s="350"/>
    </row>
    <row r="44" spans="1:15" x14ac:dyDescent="0.3">
      <c r="A44" s="209" t="s">
        <v>62</v>
      </c>
      <c r="B44" s="147"/>
      <c r="C44" s="144"/>
      <c r="D44" s="350">
        <f>'Input - Adjustments &amp; Variables'!B16</f>
        <v>46217938.279999964</v>
      </c>
      <c r="E44" s="350">
        <f>'Input - Adjustments &amp; Variables'!B28</f>
        <v>45574164.490000024</v>
      </c>
      <c r="F44" s="350">
        <f>'Input - Adjustments &amp; Variables'!B40</f>
        <v>46416068.759999998</v>
      </c>
      <c r="G44" s="350">
        <f>'Input - Adjustments &amp; Variables'!B52</f>
        <v>44870993.049999982</v>
      </c>
      <c r="H44" s="350">
        <f>'Input - Adjustments &amp; Variables'!B64</f>
        <v>39604094.129999995</v>
      </c>
      <c r="I44" s="350">
        <f>'Input - Adjustments &amp; Variables'!B76</f>
        <v>42534516.759999998</v>
      </c>
      <c r="J44" s="350">
        <f>'Input - Adjustments &amp; Variables'!B88</f>
        <v>43791007.450000025</v>
      </c>
      <c r="K44" s="350">
        <f>'Input - Adjustments &amp; Variables'!B100</f>
        <v>41914947.409999989</v>
      </c>
      <c r="L44" s="350">
        <f>'Input - Adjustments &amp; Variables'!B112</f>
        <v>42739198.629999965</v>
      </c>
      <c r="M44" s="350">
        <f>'Input - Adjustments &amp; Variables'!B124</f>
        <v>42748295</v>
      </c>
      <c r="N44" s="350"/>
    </row>
    <row r="45" spans="1:15" x14ac:dyDescent="0.3">
      <c r="A45" s="209" t="s">
        <v>77</v>
      </c>
      <c r="B45" s="147"/>
      <c r="C45" s="376"/>
      <c r="D45" s="351">
        <f>SUM(D33:D44)</f>
        <v>570956950.18999982</v>
      </c>
      <c r="E45" s="351">
        <f t="shared" ref="E45:M45" si="9">SUM(E33:E44)</f>
        <v>563572078.28000009</v>
      </c>
      <c r="F45" s="351">
        <f t="shared" si="9"/>
        <v>533186625.53999984</v>
      </c>
      <c r="G45" s="351">
        <f t="shared" si="9"/>
        <v>535323948.29999995</v>
      </c>
      <c r="H45" s="351">
        <f t="shared" si="9"/>
        <v>496797371.39999998</v>
      </c>
      <c r="I45" s="351">
        <f t="shared" si="9"/>
        <v>488555532.25999981</v>
      </c>
      <c r="J45" s="351">
        <f t="shared" si="9"/>
        <v>476330269.50999999</v>
      </c>
      <c r="K45" s="351">
        <f t="shared" si="9"/>
        <v>499580482.79999995</v>
      </c>
      <c r="L45" s="351">
        <f t="shared" si="9"/>
        <v>489885593.67000008</v>
      </c>
      <c r="M45" s="351">
        <f t="shared" si="9"/>
        <v>482685186</v>
      </c>
      <c r="N45" s="351">
        <f>SUM(N33:N44)</f>
        <v>0</v>
      </c>
      <c r="O45" s="368">
        <f>SUM(D45:M45)</f>
        <v>5136874037.9499998</v>
      </c>
    </row>
    <row r="46" spans="1:15" x14ac:dyDescent="0.3">
      <c r="A46" s="144"/>
      <c r="B46" s="144"/>
      <c r="C46" s="376"/>
      <c r="D46" s="145"/>
      <c r="E46" s="145"/>
      <c r="F46" s="145"/>
      <c r="G46" s="144"/>
      <c r="H46" s="144"/>
      <c r="I46" s="144"/>
      <c r="J46" s="144"/>
      <c r="K46" s="144"/>
      <c r="L46" s="144"/>
      <c r="M46" s="144"/>
      <c r="N46" s="144"/>
    </row>
    <row r="47" spans="1:15" ht="13.5" thickBot="1" x14ac:dyDescent="0.35">
      <c r="A47" s="144"/>
      <c r="B47" s="144"/>
      <c r="C47" s="376"/>
      <c r="D47" s="145"/>
      <c r="E47" s="145"/>
      <c r="F47" s="145"/>
      <c r="G47" s="144"/>
      <c r="H47" s="144"/>
      <c r="I47" s="144"/>
      <c r="J47" s="144"/>
      <c r="K47" s="144"/>
      <c r="L47" s="144"/>
      <c r="M47" s="144"/>
      <c r="N47" s="144"/>
    </row>
    <row r="48" spans="1:15" ht="16" thickTop="1" x14ac:dyDescent="0.3">
      <c r="A48" s="375" t="s">
        <v>161</v>
      </c>
      <c r="B48" s="144"/>
      <c r="C48" s="376"/>
      <c r="D48" s="453">
        <f>D32</f>
        <v>2011</v>
      </c>
      <c r="E48" s="453">
        <f t="shared" ref="E48:M48" si="10">E32</f>
        <v>2012</v>
      </c>
      <c r="F48" s="453">
        <f t="shared" si="10"/>
        <v>2013</v>
      </c>
      <c r="G48" s="453">
        <f t="shared" si="10"/>
        <v>2014</v>
      </c>
      <c r="H48" s="453">
        <f t="shared" si="10"/>
        <v>2015</v>
      </c>
      <c r="I48" s="453">
        <f t="shared" si="10"/>
        <v>2016</v>
      </c>
      <c r="J48" s="453">
        <f t="shared" si="10"/>
        <v>2017</v>
      </c>
      <c r="K48" s="453">
        <f t="shared" si="10"/>
        <v>2018</v>
      </c>
      <c r="L48" s="453">
        <f t="shared" si="10"/>
        <v>2019</v>
      </c>
      <c r="M48" s="453">
        <f t="shared" si="10"/>
        <v>2020</v>
      </c>
      <c r="N48" s="453"/>
    </row>
    <row r="49" spans="1:15" x14ac:dyDescent="0.3">
      <c r="A49" s="209" t="s">
        <v>73</v>
      </c>
      <c r="B49" s="147"/>
      <c r="C49" s="144"/>
      <c r="D49" s="350">
        <f>'Input - Adjustments &amp; Variables'!Z5</f>
        <v>28443</v>
      </c>
      <c r="E49" s="350">
        <f>'Input - Adjustments &amp; Variables'!Z17</f>
        <v>28599</v>
      </c>
      <c r="F49" s="350">
        <f>'Input - Adjustments &amp; Variables'!Z29</f>
        <v>28708</v>
      </c>
      <c r="G49" s="350">
        <f>'Input - Adjustments &amp; Variables'!Z41</f>
        <v>28748</v>
      </c>
      <c r="H49" s="350">
        <f>'Input - Adjustments &amp; Variables'!Z53</f>
        <v>28776</v>
      </c>
      <c r="I49" s="350">
        <f>'Input - Adjustments &amp; Variables'!Z65</f>
        <v>28830</v>
      </c>
      <c r="J49" s="350">
        <f>'Input - Adjustments &amp; Variables'!Z77</f>
        <v>28933</v>
      </c>
      <c r="K49" s="350">
        <f>'Input - Adjustments &amp; Variables'!Z89</f>
        <v>29201</v>
      </c>
      <c r="L49" s="350">
        <f>'Input - Adjustments &amp; Variables'!Z101</f>
        <v>29344</v>
      </c>
      <c r="M49" s="350">
        <f>'Input - Adjustments &amp; Variables'!Z113</f>
        <v>29597</v>
      </c>
      <c r="N49" s="350"/>
    </row>
    <row r="50" spans="1:15" x14ac:dyDescent="0.3">
      <c r="A50" s="209" t="s">
        <v>72</v>
      </c>
      <c r="B50" s="147"/>
      <c r="C50" s="144"/>
      <c r="D50" s="350">
        <f>'Input - Adjustments &amp; Variables'!Z6</f>
        <v>28447</v>
      </c>
      <c r="E50" s="350">
        <f>'Input - Adjustments &amp; Variables'!Z18</f>
        <v>28605</v>
      </c>
      <c r="F50" s="350">
        <f>'Input - Adjustments &amp; Variables'!Z30</f>
        <v>28707</v>
      </c>
      <c r="G50" s="350">
        <f>'Input - Adjustments &amp; Variables'!Z42</f>
        <v>28744</v>
      </c>
      <c r="H50" s="350">
        <f>'Input - Adjustments &amp; Variables'!Z54</f>
        <v>28756</v>
      </c>
      <c r="I50" s="350">
        <f>'Input - Adjustments &amp; Variables'!Z66</f>
        <v>28843</v>
      </c>
      <c r="J50" s="350">
        <f>'Input - Adjustments &amp; Variables'!Z78</f>
        <v>28960</v>
      </c>
      <c r="K50" s="350">
        <f>'Input - Adjustments &amp; Variables'!Z90</f>
        <v>29208</v>
      </c>
      <c r="L50" s="350">
        <f>'Input - Adjustments &amp; Variables'!Z102</f>
        <v>29330</v>
      </c>
      <c r="M50" s="350">
        <f>'Input - Adjustments &amp; Variables'!Z114</f>
        <v>29634</v>
      </c>
      <c r="N50" s="350"/>
    </row>
    <row r="51" spans="1:15" x14ac:dyDescent="0.3">
      <c r="A51" s="209" t="s">
        <v>71</v>
      </c>
      <c r="B51" s="147"/>
      <c r="C51" s="144"/>
      <c r="D51" s="350">
        <f>'Input - Adjustments &amp; Variables'!Z7</f>
        <v>28437</v>
      </c>
      <c r="E51" s="350">
        <f>'Input - Adjustments &amp; Variables'!Z19</f>
        <v>28561</v>
      </c>
      <c r="F51" s="350">
        <f>'Input - Adjustments &amp; Variables'!Z31</f>
        <v>28697</v>
      </c>
      <c r="G51" s="350">
        <f>'Input - Adjustments &amp; Variables'!Z43</f>
        <v>28756</v>
      </c>
      <c r="H51" s="350">
        <f>'Input - Adjustments &amp; Variables'!Z55</f>
        <v>28748</v>
      </c>
      <c r="I51" s="350">
        <f>'Input - Adjustments &amp; Variables'!Z67</f>
        <v>28835</v>
      </c>
      <c r="J51" s="350">
        <f>'Input - Adjustments &amp; Variables'!Z79</f>
        <v>28960</v>
      </c>
      <c r="K51" s="350">
        <f>'Input - Adjustments &amp; Variables'!Z91</f>
        <v>29230</v>
      </c>
      <c r="L51" s="350">
        <f>'Input - Adjustments &amp; Variables'!Z103</f>
        <v>29340</v>
      </c>
      <c r="M51" s="350">
        <f>'Input - Adjustments &amp; Variables'!Z115</f>
        <v>29659</v>
      </c>
      <c r="N51" s="350"/>
    </row>
    <row r="52" spans="1:15" x14ac:dyDescent="0.3">
      <c r="A52" s="209" t="s">
        <v>70</v>
      </c>
      <c r="B52" s="147"/>
      <c r="C52" s="144"/>
      <c r="D52" s="350">
        <f>'Input - Adjustments &amp; Variables'!Z8</f>
        <v>28398</v>
      </c>
      <c r="E52" s="350">
        <f>'Input - Adjustments &amp; Variables'!Z20</f>
        <v>28583</v>
      </c>
      <c r="F52" s="350">
        <f>'Input - Adjustments &amp; Variables'!Z32</f>
        <v>28661</v>
      </c>
      <c r="G52" s="350">
        <f>'Input - Adjustments &amp; Variables'!Z44</f>
        <v>28739</v>
      </c>
      <c r="H52" s="350">
        <f>'Input - Adjustments &amp; Variables'!Z56</f>
        <v>28733</v>
      </c>
      <c r="I52" s="350">
        <f>'Input - Adjustments &amp; Variables'!Z68</f>
        <v>28853</v>
      </c>
      <c r="J52" s="350">
        <f>'Input - Adjustments &amp; Variables'!Z80</f>
        <v>28969</v>
      </c>
      <c r="K52" s="350">
        <f>'Input - Adjustments &amp; Variables'!Z92</f>
        <v>29230</v>
      </c>
      <c r="L52" s="350">
        <f>'Input - Adjustments &amp; Variables'!Z104</f>
        <v>29411</v>
      </c>
      <c r="M52" s="350">
        <f>'Input - Adjustments &amp; Variables'!Z116</f>
        <v>29701</v>
      </c>
      <c r="N52" s="350"/>
    </row>
    <row r="53" spans="1:15" x14ac:dyDescent="0.3">
      <c r="A53" s="209" t="s">
        <v>69</v>
      </c>
      <c r="B53" s="147"/>
      <c r="C53" s="144"/>
      <c r="D53" s="350">
        <f>'Input - Adjustments &amp; Variables'!Z9</f>
        <v>28386</v>
      </c>
      <c r="E53" s="350">
        <f>'Input - Adjustments &amp; Variables'!Z21</f>
        <v>28574</v>
      </c>
      <c r="F53" s="350">
        <f>'Input - Adjustments &amp; Variables'!Z33</f>
        <v>28653</v>
      </c>
      <c r="G53" s="350">
        <f>'Input - Adjustments &amp; Variables'!Z45</f>
        <v>28715</v>
      </c>
      <c r="H53" s="350">
        <f>'Input - Adjustments &amp; Variables'!Z57</f>
        <v>28701</v>
      </c>
      <c r="I53" s="350">
        <f>'Input - Adjustments &amp; Variables'!Z69</f>
        <v>28859</v>
      </c>
      <c r="J53" s="350">
        <f>'Input - Adjustments &amp; Variables'!Z81</f>
        <v>29025</v>
      </c>
      <c r="K53" s="350">
        <f>'Input - Adjustments &amp; Variables'!Z93</f>
        <v>29232</v>
      </c>
      <c r="L53" s="350">
        <f>'Input - Adjustments &amp; Variables'!Z105</f>
        <v>29394</v>
      </c>
      <c r="M53" s="350">
        <f>'Input - Adjustments &amp; Variables'!Z117</f>
        <v>29709</v>
      </c>
      <c r="N53" s="350"/>
    </row>
    <row r="54" spans="1:15" x14ac:dyDescent="0.3">
      <c r="A54" s="209" t="s">
        <v>68</v>
      </c>
      <c r="B54" s="147"/>
      <c r="C54" s="144"/>
      <c r="D54" s="350">
        <f>'Input - Adjustments &amp; Variables'!Z10</f>
        <v>28410</v>
      </c>
      <c r="E54" s="350">
        <f>'Input - Adjustments &amp; Variables'!Z22</f>
        <v>28616</v>
      </c>
      <c r="F54" s="350">
        <f>'Input - Adjustments &amp; Variables'!Z34</f>
        <v>28656</v>
      </c>
      <c r="G54" s="350">
        <f>'Input - Adjustments &amp; Variables'!Z46</f>
        <v>28716</v>
      </c>
      <c r="H54" s="350">
        <f>'Input - Adjustments &amp; Variables'!Z58</f>
        <v>28699</v>
      </c>
      <c r="I54" s="350">
        <f>'Input - Adjustments &amp; Variables'!Z70</f>
        <v>28872</v>
      </c>
      <c r="J54" s="350">
        <f>'Input - Adjustments &amp; Variables'!Z82</f>
        <v>29019</v>
      </c>
      <c r="K54" s="350">
        <f>'Input - Adjustments &amp; Variables'!Z94</f>
        <v>29229</v>
      </c>
      <c r="L54" s="350">
        <f>'Input - Adjustments &amp; Variables'!Z106</f>
        <v>29406</v>
      </c>
      <c r="M54" s="350">
        <f>'Input - Adjustments &amp; Variables'!Z118</f>
        <v>29739</v>
      </c>
      <c r="N54" s="350"/>
    </row>
    <row r="55" spans="1:15" x14ac:dyDescent="0.3">
      <c r="A55" s="209" t="s">
        <v>67</v>
      </c>
      <c r="B55" s="147"/>
      <c r="C55" s="144"/>
      <c r="D55" s="350">
        <f>'Input - Adjustments &amp; Variables'!Z11</f>
        <v>28362</v>
      </c>
      <c r="E55" s="350">
        <f>'Input - Adjustments &amp; Variables'!Z23</f>
        <v>28618</v>
      </c>
      <c r="F55" s="350">
        <f>'Input - Adjustments &amp; Variables'!Z35</f>
        <v>28691</v>
      </c>
      <c r="G55" s="350">
        <f>'Input - Adjustments &amp; Variables'!Z47</f>
        <v>28720</v>
      </c>
      <c r="H55" s="350">
        <f>'Input - Adjustments &amp; Variables'!Z59</f>
        <v>28743</v>
      </c>
      <c r="I55" s="350">
        <f>'Input - Adjustments &amp; Variables'!Z71</f>
        <v>28792</v>
      </c>
      <c r="J55" s="350">
        <f>'Input - Adjustments &amp; Variables'!Z83</f>
        <v>29037</v>
      </c>
      <c r="K55" s="350">
        <f>'Input - Adjustments &amp; Variables'!Z95</f>
        <v>29248</v>
      </c>
      <c r="L55" s="350">
        <f>'Input - Adjustments &amp; Variables'!Z107</f>
        <v>29415</v>
      </c>
      <c r="M55" s="350">
        <f>'Input - Adjustments &amp; Variables'!Z119</f>
        <v>29749</v>
      </c>
      <c r="N55" s="350"/>
    </row>
    <row r="56" spans="1:15" x14ac:dyDescent="0.3">
      <c r="A56" s="209" t="s">
        <v>66</v>
      </c>
      <c r="B56" s="147"/>
      <c r="C56" s="144"/>
      <c r="D56" s="350">
        <f>'Input - Adjustments &amp; Variables'!Z12</f>
        <v>28364</v>
      </c>
      <c r="E56" s="350">
        <f>'Input - Adjustments &amp; Variables'!Z24</f>
        <v>28610</v>
      </c>
      <c r="F56" s="350">
        <f>'Input - Adjustments &amp; Variables'!Z36</f>
        <v>28674</v>
      </c>
      <c r="G56" s="350">
        <f>'Input - Adjustments &amp; Variables'!Z48</f>
        <v>28724</v>
      </c>
      <c r="H56" s="350">
        <f>'Input - Adjustments &amp; Variables'!Z60</f>
        <v>28760</v>
      </c>
      <c r="I56" s="350">
        <f>'Input - Adjustments &amp; Variables'!Z72</f>
        <v>28833</v>
      </c>
      <c r="J56" s="350">
        <f>'Input - Adjustments &amp; Variables'!Z84</f>
        <v>29054</v>
      </c>
      <c r="K56" s="350">
        <f>'Input - Adjustments &amp; Variables'!Z96</f>
        <v>29265</v>
      </c>
      <c r="L56" s="350">
        <f>'Input - Adjustments &amp; Variables'!Z108</f>
        <v>29440</v>
      </c>
      <c r="M56" s="350">
        <f>'Input - Adjustments &amp; Variables'!Z120</f>
        <v>29752</v>
      </c>
      <c r="N56" s="350"/>
    </row>
    <row r="57" spans="1:15" x14ac:dyDescent="0.3">
      <c r="A57" s="209" t="s">
        <v>65</v>
      </c>
      <c r="B57" s="147"/>
      <c r="C57" s="144"/>
      <c r="D57" s="350">
        <f>'Input - Adjustments &amp; Variables'!Z13</f>
        <v>28384</v>
      </c>
      <c r="E57" s="350">
        <f>'Input - Adjustments &amp; Variables'!Z25</f>
        <v>28614</v>
      </c>
      <c r="F57" s="350">
        <f>'Input - Adjustments &amp; Variables'!Z37</f>
        <v>28700</v>
      </c>
      <c r="G57" s="350">
        <f>'Input - Adjustments &amp; Variables'!Z49</f>
        <v>28750</v>
      </c>
      <c r="H57" s="350">
        <f>'Input - Adjustments &amp; Variables'!Z61</f>
        <v>28792</v>
      </c>
      <c r="I57" s="350">
        <f>'Input - Adjustments &amp; Variables'!Z73</f>
        <v>28864</v>
      </c>
      <c r="J57" s="350">
        <f>'Input - Adjustments &amp; Variables'!Z85</f>
        <v>29085</v>
      </c>
      <c r="K57" s="350">
        <f>'Input - Adjustments &amp; Variables'!Z97</f>
        <v>29273</v>
      </c>
      <c r="L57" s="350">
        <f>'Input - Adjustments &amp; Variables'!Z109</f>
        <v>29481</v>
      </c>
      <c r="M57" s="350">
        <f>'Input - Adjustments &amp; Variables'!Z121</f>
        <v>29726</v>
      </c>
      <c r="N57" s="350"/>
    </row>
    <row r="58" spans="1:15" x14ac:dyDescent="0.3">
      <c r="A58" s="209" t="s">
        <v>64</v>
      </c>
      <c r="B58" s="147"/>
      <c r="C58" s="144"/>
      <c r="D58" s="350">
        <f>'Input - Adjustments &amp; Variables'!Z14</f>
        <v>28497</v>
      </c>
      <c r="E58" s="350">
        <f>'Input - Adjustments &amp; Variables'!Z26</f>
        <v>28631</v>
      </c>
      <c r="F58" s="350">
        <f>'Input - Adjustments &amp; Variables'!Z38</f>
        <v>28700</v>
      </c>
      <c r="G58" s="350">
        <f>'Input - Adjustments &amp; Variables'!Z50</f>
        <v>28746</v>
      </c>
      <c r="H58" s="350">
        <f>'Input - Adjustments &amp; Variables'!Z62</f>
        <v>28795</v>
      </c>
      <c r="I58" s="350">
        <f>'Input - Adjustments &amp; Variables'!Z74</f>
        <v>28858</v>
      </c>
      <c r="J58" s="350">
        <f>'Input - Adjustments &amp; Variables'!Z86</f>
        <v>29091</v>
      </c>
      <c r="K58" s="350">
        <f>'Input - Adjustments &amp; Variables'!Z98</f>
        <v>29290</v>
      </c>
      <c r="L58" s="350">
        <f>'Input - Adjustments &amp; Variables'!Z110</f>
        <v>29505</v>
      </c>
      <c r="M58" s="350">
        <f>'Input - Adjustments &amp; Variables'!Z122</f>
        <v>29745</v>
      </c>
      <c r="N58" s="350"/>
    </row>
    <row r="59" spans="1:15" x14ac:dyDescent="0.3">
      <c r="A59" s="209" t="s">
        <v>63</v>
      </c>
      <c r="B59" s="147"/>
      <c r="C59" s="144"/>
      <c r="D59" s="350">
        <f>'Input - Adjustments &amp; Variables'!Z15</f>
        <v>28559</v>
      </c>
      <c r="E59" s="350">
        <f>'Input - Adjustments &amp; Variables'!Z27</f>
        <v>28647</v>
      </c>
      <c r="F59" s="350">
        <f>'Input - Adjustments &amp; Variables'!Z39</f>
        <v>28704</v>
      </c>
      <c r="G59" s="350">
        <f>'Input - Adjustments &amp; Variables'!Z51</f>
        <v>28745</v>
      </c>
      <c r="H59" s="350">
        <f>'Input - Adjustments &amp; Variables'!Z63</f>
        <v>28801</v>
      </c>
      <c r="I59" s="350">
        <f>'Input - Adjustments &amp; Variables'!Z75</f>
        <v>28896</v>
      </c>
      <c r="J59" s="350">
        <f>'Input - Adjustments &amp; Variables'!Z87</f>
        <v>29149</v>
      </c>
      <c r="K59" s="350">
        <f>'Input - Adjustments &amp; Variables'!Z99</f>
        <v>29307</v>
      </c>
      <c r="L59" s="350">
        <f>'Input - Adjustments &amp; Variables'!Z111</f>
        <v>29533</v>
      </c>
      <c r="M59" s="350">
        <f>'Input - Adjustments &amp; Variables'!Z123</f>
        <v>29783</v>
      </c>
      <c r="N59" s="350"/>
    </row>
    <row r="60" spans="1:15" x14ac:dyDescent="0.3">
      <c r="A60" s="209" t="s">
        <v>62</v>
      </c>
      <c r="B60" s="147"/>
      <c r="C60" s="144"/>
      <c r="D60" s="350">
        <f>'Input - Adjustments &amp; Variables'!Z16</f>
        <v>28539</v>
      </c>
      <c r="E60" s="350">
        <f>'Input - Adjustments &amp; Variables'!Z28</f>
        <v>28658</v>
      </c>
      <c r="F60" s="350">
        <f>'Input - Adjustments &amp; Variables'!Z40</f>
        <v>28722</v>
      </c>
      <c r="G60" s="350">
        <f>'Input - Adjustments &amp; Variables'!Z52</f>
        <v>28755</v>
      </c>
      <c r="H60" s="350">
        <f>'Input - Adjustments &amp; Variables'!Z64</f>
        <v>28826</v>
      </c>
      <c r="I60" s="350">
        <f>'Input - Adjustments &amp; Variables'!Z76</f>
        <v>28913</v>
      </c>
      <c r="J60" s="350">
        <f>'Input - Adjustments &amp; Variables'!Z88</f>
        <v>29158</v>
      </c>
      <c r="K60" s="350">
        <f>'Input - Adjustments &amp; Variables'!Z100</f>
        <v>29323</v>
      </c>
      <c r="L60" s="350">
        <f>'Input - Adjustments &amp; Variables'!Z112</f>
        <v>29573</v>
      </c>
      <c r="M60" s="350">
        <f>'Input - Adjustments &amp; Variables'!Z124</f>
        <v>29827</v>
      </c>
      <c r="N60" s="350"/>
    </row>
    <row r="61" spans="1:15" x14ac:dyDescent="0.3">
      <c r="A61" s="209" t="s">
        <v>77</v>
      </c>
      <c r="B61" s="147"/>
      <c r="C61" s="376"/>
      <c r="D61" s="351">
        <f>SUM(D49:D60)</f>
        <v>341226</v>
      </c>
      <c r="E61" s="351">
        <f t="shared" ref="E61:M61" si="11">SUM(E49:E60)</f>
        <v>343316</v>
      </c>
      <c r="F61" s="351">
        <f t="shared" si="11"/>
        <v>344273</v>
      </c>
      <c r="G61" s="351">
        <f t="shared" si="11"/>
        <v>344858</v>
      </c>
      <c r="H61" s="351">
        <f t="shared" si="11"/>
        <v>345130</v>
      </c>
      <c r="I61" s="351">
        <f t="shared" si="11"/>
        <v>346248</v>
      </c>
      <c r="J61" s="351">
        <f t="shared" si="11"/>
        <v>348440</v>
      </c>
      <c r="K61" s="351">
        <f t="shared" si="11"/>
        <v>351036</v>
      </c>
      <c r="L61" s="351">
        <f t="shared" si="11"/>
        <v>353172</v>
      </c>
      <c r="M61" s="351">
        <f t="shared" si="11"/>
        <v>356621</v>
      </c>
      <c r="N61" s="351">
        <f>SUM(N49:N60)</f>
        <v>0</v>
      </c>
      <c r="O61" s="368">
        <f>SUM(D61:M61)</f>
        <v>3474320</v>
      </c>
    </row>
    <row r="62" spans="1:15" x14ac:dyDescent="0.3">
      <c r="A62" s="144"/>
      <c r="B62" s="144"/>
      <c r="C62" s="376"/>
      <c r="D62" s="145"/>
      <c r="E62" s="145"/>
      <c r="F62" s="145"/>
      <c r="G62" s="144"/>
      <c r="H62" s="144"/>
      <c r="I62" s="144"/>
      <c r="J62" s="144"/>
      <c r="K62" s="144"/>
      <c r="L62" s="144"/>
      <c r="M62" s="144"/>
      <c r="N62" s="144"/>
    </row>
    <row r="63" spans="1:15" ht="13.5" thickBot="1" x14ac:dyDescent="0.35">
      <c r="A63" s="144"/>
      <c r="B63" s="144"/>
      <c r="C63" s="376"/>
      <c r="D63" s="145"/>
      <c r="E63" s="145"/>
      <c r="F63" s="145"/>
      <c r="G63" s="144"/>
      <c r="H63" s="144"/>
      <c r="I63" s="144"/>
      <c r="J63" s="144"/>
      <c r="K63" s="144"/>
      <c r="L63" s="144"/>
      <c r="M63" s="144"/>
      <c r="N63" s="144"/>
    </row>
    <row r="64" spans="1:15" ht="16" thickTop="1" x14ac:dyDescent="0.3">
      <c r="A64" s="375" t="s">
        <v>141</v>
      </c>
      <c r="B64" s="144"/>
      <c r="C64" s="376"/>
      <c r="D64" s="453">
        <f>D32</f>
        <v>2011</v>
      </c>
      <c r="E64" s="453">
        <f t="shared" ref="E64:M64" si="12">E48</f>
        <v>2012</v>
      </c>
      <c r="F64" s="453">
        <f t="shared" si="12"/>
        <v>2013</v>
      </c>
      <c r="G64" s="453">
        <f t="shared" si="12"/>
        <v>2014</v>
      </c>
      <c r="H64" s="453">
        <f t="shared" si="12"/>
        <v>2015</v>
      </c>
      <c r="I64" s="453">
        <f t="shared" si="12"/>
        <v>2016</v>
      </c>
      <c r="J64" s="453">
        <f t="shared" si="12"/>
        <v>2017</v>
      </c>
      <c r="K64" s="453">
        <f t="shared" si="12"/>
        <v>2018</v>
      </c>
      <c r="L64" s="453">
        <f t="shared" si="12"/>
        <v>2019</v>
      </c>
      <c r="M64" s="453">
        <f t="shared" si="12"/>
        <v>2020</v>
      </c>
      <c r="N64" s="453" t="s">
        <v>57</v>
      </c>
    </row>
    <row r="65" spans="1:15" x14ac:dyDescent="0.3">
      <c r="A65" s="377" t="s">
        <v>59</v>
      </c>
      <c r="B65" s="210"/>
      <c r="C65" s="378"/>
      <c r="D65" s="352"/>
      <c r="E65" s="352"/>
      <c r="F65" s="352"/>
      <c r="G65" s="352"/>
      <c r="H65" s="352"/>
      <c r="I65" s="352"/>
      <c r="J65" s="352"/>
      <c r="K65" s="352"/>
      <c r="L65" s="352"/>
      <c r="M65" s="352"/>
      <c r="N65" s="352"/>
      <c r="O65" s="373"/>
    </row>
    <row r="66" spans="1:15" x14ac:dyDescent="0.3">
      <c r="A66" s="347" t="s">
        <v>142</v>
      </c>
      <c r="B66" s="210"/>
      <c r="C66" s="378"/>
      <c r="D66" s="350">
        <v>206782921.40000001</v>
      </c>
      <c r="E66" s="350">
        <v>202637718.53299999</v>
      </c>
      <c r="F66" s="350">
        <v>206257082.428</v>
      </c>
      <c r="G66" s="350">
        <v>202495777.38000003</v>
      </c>
      <c r="H66" s="350">
        <v>199739669.07999998</v>
      </c>
      <c r="I66" s="350">
        <v>202182964.05000001</v>
      </c>
      <c r="J66" s="350">
        <v>192333396.59142745</v>
      </c>
      <c r="K66" s="350">
        <v>213384791.97681683</v>
      </c>
      <c r="L66" s="350">
        <v>208333695.23086321</v>
      </c>
      <c r="M66" s="350">
        <v>220200219.65924728</v>
      </c>
      <c r="N66" s="350"/>
      <c r="O66" s="368"/>
    </row>
    <row r="67" spans="1:15" x14ac:dyDescent="0.3">
      <c r="A67" s="347" t="s">
        <v>143</v>
      </c>
      <c r="B67" s="210"/>
      <c r="C67" s="378"/>
      <c r="D67" s="350">
        <v>25559.5</v>
      </c>
      <c r="E67" s="350">
        <v>25711</v>
      </c>
      <c r="F67" s="350">
        <v>25797.833333333332</v>
      </c>
      <c r="G67" s="350">
        <v>25863.166666666668</v>
      </c>
      <c r="H67" s="350">
        <v>25920.25</v>
      </c>
      <c r="I67" s="350">
        <v>26029.416666666668</v>
      </c>
      <c r="J67" s="350">
        <v>26228.416666666668</v>
      </c>
      <c r="K67" s="350">
        <v>26464.833333333332</v>
      </c>
      <c r="L67" s="350">
        <v>26647</v>
      </c>
      <c r="M67" s="350">
        <v>26915.666666666668</v>
      </c>
      <c r="N67" s="350"/>
    </row>
    <row r="68" spans="1:15" x14ac:dyDescent="0.3">
      <c r="A68" s="347"/>
      <c r="B68" s="210"/>
      <c r="C68" s="378"/>
      <c r="D68" s="352"/>
      <c r="E68" s="352"/>
      <c r="F68" s="352"/>
      <c r="G68" s="352"/>
      <c r="H68" s="352"/>
      <c r="I68" s="352"/>
      <c r="J68" s="352"/>
      <c r="K68" s="352"/>
      <c r="L68" s="352"/>
      <c r="M68" s="352"/>
      <c r="N68" s="352"/>
    </row>
    <row r="69" spans="1:15" x14ac:dyDescent="0.3">
      <c r="A69" s="377" t="s">
        <v>58</v>
      </c>
      <c r="B69" s="210"/>
      <c r="C69" s="378"/>
      <c r="D69" s="352"/>
      <c r="E69" s="352"/>
      <c r="F69" s="352"/>
      <c r="G69" s="352"/>
      <c r="H69" s="352"/>
      <c r="I69" s="352"/>
      <c r="J69" s="352"/>
      <c r="K69" s="352"/>
      <c r="L69" s="352"/>
      <c r="M69" s="352"/>
      <c r="N69" s="352"/>
    </row>
    <row r="70" spans="1:15" x14ac:dyDescent="0.3">
      <c r="A70" s="347" t="s">
        <v>142</v>
      </c>
      <c r="B70" s="210"/>
      <c r="C70" s="378"/>
      <c r="D70" s="350">
        <v>71478285.230000004</v>
      </c>
      <c r="E70" s="350">
        <v>70359939.605000004</v>
      </c>
      <c r="F70" s="350">
        <v>68674576.604000002</v>
      </c>
      <c r="G70" s="350">
        <v>69135015.260000005</v>
      </c>
      <c r="H70" s="350">
        <v>68487698.590000004</v>
      </c>
      <c r="I70" s="350">
        <v>69095397.390000001</v>
      </c>
      <c r="J70" s="350">
        <v>66385178.073323995</v>
      </c>
      <c r="K70" s="350">
        <v>68552191.048737228</v>
      </c>
      <c r="L70" s="350">
        <v>68296619.869135812</v>
      </c>
      <c r="M70" s="350">
        <v>63219121.669230707</v>
      </c>
      <c r="N70" s="350"/>
      <c r="O70" s="368"/>
    </row>
    <row r="71" spans="1:15" x14ac:dyDescent="0.3">
      <c r="A71" s="347" t="s">
        <v>143</v>
      </c>
      <c r="B71" s="210"/>
      <c r="C71" s="378"/>
      <c r="D71" s="350">
        <v>2507</v>
      </c>
      <c r="E71" s="350">
        <v>2530.9166666666665</v>
      </c>
      <c r="F71" s="350">
        <v>2524.5833333333335</v>
      </c>
      <c r="G71" s="350">
        <v>2512.4166666666665</v>
      </c>
      <c r="H71" s="350">
        <v>2492.1666666666665</v>
      </c>
      <c r="I71" s="350">
        <v>2502.6666666666665</v>
      </c>
      <c r="J71" s="350">
        <v>2506.6666666666665</v>
      </c>
      <c r="K71" s="350">
        <v>2490.75</v>
      </c>
      <c r="L71" s="350">
        <v>2495.6666666666665</v>
      </c>
      <c r="M71" s="350">
        <v>2513.5833333333335</v>
      </c>
      <c r="N71" s="350"/>
    </row>
    <row r="72" spans="1:15" x14ac:dyDescent="0.3">
      <c r="A72" s="347"/>
      <c r="B72" s="210"/>
      <c r="C72" s="378"/>
      <c r="D72" s="352"/>
      <c r="E72" s="352"/>
      <c r="F72" s="352"/>
      <c r="G72" s="352"/>
      <c r="H72" s="352"/>
      <c r="I72" s="352"/>
      <c r="J72" s="352"/>
      <c r="K72" s="352"/>
      <c r="L72" s="352"/>
      <c r="M72" s="352"/>
      <c r="N72" s="352"/>
    </row>
    <row r="73" spans="1:15" x14ac:dyDescent="0.3">
      <c r="A73" s="377" t="s">
        <v>207</v>
      </c>
      <c r="B73" s="147"/>
      <c r="C73" s="376"/>
      <c r="D73" s="352"/>
      <c r="E73" s="352"/>
      <c r="F73" s="352"/>
      <c r="G73" s="352"/>
      <c r="H73" s="352"/>
      <c r="I73" s="352"/>
      <c r="J73" s="352"/>
      <c r="K73" s="352"/>
      <c r="L73" s="352"/>
      <c r="M73" s="352"/>
      <c r="N73" s="352"/>
    </row>
    <row r="74" spans="1:15" x14ac:dyDescent="0.3">
      <c r="A74" s="347" t="s">
        <v>142</v>
      </c>
      <c r="B74" s="147"/>
      <c r="C74" s="376"/>
      <c r="D74" s="350">
        <v>250365636.15600002</v>
      </c>
      <c r="E74" s="350">
        <v>252871258.60249999</v>
      </c>
      <c r="F74" s="350">
        <v>218765504.61700001</v>
      </c>
      <c r="G74" s="350">
        <v>227548065.41000003</v>
      </c>
      <c r="H74" s="350">
        <v>194707775.59</v>
      </c>
      <c r="I74" s="350">
        <v>185839670.57999998</v>
      </c>
      <c r="J74" s="350">
        <v>185980426.04825354</v>
      </c>
      <c r="K74" s="350">
        <v>186317853.54878309</v>
      </c>
      <c r="L74" s="350">
        <v>183204907.69893607</v>
      </c>
      <c r="M74" s="350">
        <v>169630766.96221483</v>
      </c>
      <c r="N74" s="350"/>
      <c r="O74" s="368"/>
    </row>
    <row r="75" spans="1:15" x14ac:dyDescent="0.3">
      <c r="A75" s="347" t="s">
        <v>144</v>
      </c>
      <c r="B75" s="147"/>
      <c r="C75" s="376"/>
      <c r="D75" s="350">
        <v>753237.76</v>
      </c>
      <c r="E75" s="350">
        <v>760470.64199999999</v>
      </c>
      <c r="F75" s="350">
        <v>689936.48</v>
      </c>
      <c r="G75" s="350">
        <v>664361.51</v>
      </c>
      <c r="H75" s="350">
        <v>615145.36</v>
      </c>
      <c r="I75" s="350">
        <v>580036.22</v>
      </c>
      <c r="J75" s="350">
        <v>588371.79999999993</v>
      </c>
      <c r="K75" s="350">
        <v>580250.94000000006</v>
      </c>
      <c r="L75" s="350">
        <v>553966.00999999966</v>
      </c>
      <c r="M75" s="350">
        <v>527483.83000000007</v>
      </c>
      <c r="N75" s="350"/>
      <c r="O75" s="368"/>
    </row>
    <row r="76" spans="1:15" x14ac:dyDescent="0.3">
      <c r="A76" s="347" t="s">
        <v>143</v>
      </c>
      <c r="B76" s="147"/>
      <c r="C76" s="376"/>
      <c r="D76" s="350">
        <v>224.41666666666666</v>
      </c>
      <c r="E76" s="350">
        <v>224.5</v>
      </c>
      <c r="F76" s="350">
        <v>225.08333333333334</v>
      </c>
      <c r="G76" s="350">
        <v>225.08333333333334</v>
      </c>
      <c r="H76" s="350">
        <v>219.66666666666666</v>
      </c>
      <c r="I76" s="350">
        <v>205.58333333333334</v>
      </c>
      <c r="J76" s="350">
        <v>198</v>
      </c>
      <c r="K76" s="350">
        <v>197.66666666666666</v>
      </c>
      <c r="L76" s="350">
        <v>190.33333333333334</v>
      </c>
      <c r="M76" s="350">
        <v>193.16666666666666</v>
      </c>
      <c r="N76" s="350"/>
    </row>
    <row r="77" spans="1:15" x14ac:dyDescent="0.3">
      <c r="A77" s="348"/>
      <c r="B77" s="147"/>
      <c r="C77" s="376"/>
      <c r="D77" s="352"/>
      <c r="E77" s="352"/>
      <c r="F77" s="352"/>
      <c r="G77" s="352"/>
      <c r="H77" s="352"/>
      <c r="I77" s="352"/>
      <c r="J77" s="352"/>
      <c r="K77" s="352"/>
      <c r="L77" s="352"/>
      <c r="M77" s="352"/>
      <c r="N77" s="352"/>
    </row>
    <row r="78" spans="1:15" x14ac:dyDescent="0.3">
      <c r="A78" s="377" t="s">
        <v>162</v>
      </c>
      <c r="B78" s="147"/>
      <c r="C78" s="376"/>
      <c r="D78" s="352"/>
      <c r="E78" s="352"/>
      <c r="F78" s="352"/>
      <c r="G78" s="352"/>
      <c r="H78" s="352"/>
      <c r="I78" s="352"/>
      <c r="J78" s="352"/>
      <c r="K78" s="352"/>
      <c r="L78" s="352"/>
      <c r="M78" s="352"/>
      <c r="N78" s="352"/>
    </row>
    <row r="79" spans="1:15" x14ac:dyDescent="0.3">
      <c r="A79" s="347" t="s">
        <v>142</v>
      </c>
      <c r="B79" s="147"/>
      <c r="C79" s="376"/>
      <c r="D79" s="350">
        <v>5010546.66</v>
      </c>
      <c r="E79" s="350">
        <v>5264498.6195</v>
      </c>
      <c r="F79" s="350">
        <v>4854403.5</v>
      </c>
      <c r="G79" s="350">
        <v>4975331.1999999993</v>
      </c>
      <c r="H79" s="350">
        <v>5138938.0000000009</v>
      </c>
      <c r="I79" s="350">
        <v>5604942.4199999999</v>
      </c>
      <c r="J79" s="350">
        <v>4768119.9723423496</v>
      </c>
      <c r="K79" s="350">
        <v>5218945.2166489204</v>
      </c>
      <c r="L79" s="350">
        <v>5234524.4083762597</v>
      </c>
      <c r="M79" s="350">
        <v>5321959.9988488881</v>
      </c>
      <c r="N79" s="350"/>
      <c r="O79" s="368"/>
    </row>
    <row r="80" spans="1:15" x14ac:dyDescent="0.3">
      <c r="A80" s="347" t="s">
        <v>144</v>
      </c>
      <c r="B80" s="147"/>
      <c r="C80" s="376"/>
      <c r="D80" s="350">
        <v>12008.64</v>
      </c>
      <c r="E80" s="350">
        <v>12682.68</v>
      </c>
      <c r="F80" s="350">
        <v>12041.64</v>
      </c>
      <c r="G80" s="350">
        <v>12958.4</v>
      </c>
      <c r="H80" s="350">
        <v>13742.4</v>
      </c>
      <c r="I80" s="350">
        <v>16375.72</v>
      </c>
      <c r="J80" s="350">
        <v>12501.41</v>
      </c>
      <c r="K80" s="350">
        <v>13532.36</v>
      </c>
      <c r="L80" s="350">
        <v>13275.64</v>
      </c>
      <c r="M80" s="350">
        <v>14339.56</v>
      </c>
      <c r="N80" s="350"/>
    </row>
    <row r="81" spans="1:15" x14ac:dyDescent="0.3">
      <c r="A81" s="347" t="s">
        <v>143</v>
      </c>
      <c r="B81" s="147"/>
      <c r="C81" s="376"/>
      <c r="D81" s="350">
        <v>1</v>
      </c>
      <c r="E81" s="350">
        <v>1</v>
      </c>
      <c r="F81" s="350">
        <v>1</v>
      </c>
      <c r="G81" s="350">
        <v>1</v>
      </c>
      <c r="H81" s="350">
        <v>1</v>
      </c>
      <c r="I81" s="350">
        <v>1</v>
      </c>
      <c r="J81" s="350">
        <v>1</v>
      </c>
      <c r="K81" s="350">
        <v>1</v>
      </c>
      <c r="L81" s="350">
        <v>1</v>
      </c>
      <c r="M81" s="350">
        <v>1</v>
      </c>
      <c r="N81" s="350"/>
    </row>
    <row r="82" spans="1:15" x14ac:dyDescent="0.3">
      <c r="A82" s="348"/>
      <c r="B82" s="147"/>
      <c r="C82" s="376"/>
      <c r="D82" s="352"/>
      <c r="E82" s="352"/>
      <c r="F82" s="352"/>
      <c r="G82" s="352"/>
      <c r="H82" s="352"/>
      <c r="I82" s="352"/>
      <c r="J82" s="352"/>
      <c r="K82" s="352"/>
      <c r="L82" s="352"/>
      <c r="M82" s="352"/>
      <c r="N82" s="352"/>
    </row>
    <row r="83" spans="1:15" x14ac:dyDescent="0.3">
      <c r="A83" s="377" t="s">
        <v>138</v>
      </c>
      <c r="B83" s="147"/>
      <c r="C83" s="376"/>
      <c r="D83" s="352"/>
      <c r="E83" s="352"/>
      <c r="F83" s="352"/>
      <c r="G83" s="352"/>
      <c r="H83" s="352"/>
      <c r="I83" s="352"/>
      <c r="J83" s="352"/>
      <c r="K83" s="352"/>
      <c r="L83" s="352"/>
      <c r="M83" s="352"/>
      <c r="N83" s="352"/>
    </row>
    <row r="84" spans="1:15" x14ac:dyDescent="0.3">
      <c r="A84" s="347" t="s">
        <v>142</v>
      </c>
      <c r="B84" s="147"/>
      <c r="C84" s="376"/>
      <c r="D84" s="350">
        <v>4475401.3080000002</v>
      </c>
      <c r="E84" s="350">
        <v>4830575.8319999995</v>
      </c>
      <c r="F84" s="350">
        <v>4446652.6829999993</v>
      </c>
      <c r="G84" s="350">
        <v>4336774.25</v>
      </c>
      <c r="H84" s="350">
        <v>3697574.9299999997</v>
      </c>
      <c r="I84" s="350">
        <v>2159285.8400000003</v>
      </c>
      <c r="J84" s="350">
        <v>1392668.2526115859</v>
      </c>
      <c r="K84" s="350">
        <v>1390046.9705603039</v>
      </c>
      <c r="L84" s="350">
        <v>1401777.7587844254</v>
      </c>
      <c r="M84" s="350">
        <v>1425844.3209876544</v>
      </c>
      <c r="N84" s="350"/>
    </row>
    <row r="85" spans="1:15" x14ac:dyDescent="0.3">
      <c r="A85" s="347" t="s">
        <v>144</v>
      </c>
      <c r="B85" s="147"/>
      <c r="C85" s="376"/>
      <c r="D85" s="350">
        <v>11787.854000000001</v>
      </c>
      <c r="E85" s="350">
        <v>12882.322</v>
      </c>
      <c r="F85" s="350">
        <v>13844.464000000002</v>
      </c>
      <c r="G85" s="350">
        <v>13285.41</v>
      </c>
      <c r="H85" s="350">
        <v>11208.64</v>
      </c>
      <c r="I85" s="350">
        <v>6413.35</v>
      </c>
      <c r="J85" s="350">
        <v>4209.0200000000004</v>
      </c>
      <c r="K85" s="350">
        <v>4251.8</v>
      </c>
      <c r="L85" s="350">
        <v>4285.630000000001</v>
      </c>
      <c r="M85" s="350">
        <v>4348.49</v>
      </c>
      <c r="N85" s="350"/>
    </row>
    <row r="86" spans="1:15" x14ac:dyDescent="0.3">
      <c r="A86" s="347" t="s">
        <v>211</v>
      </c>
      <c r="B86" s="147"/>
      <c r="C86" s="376"/>
      <c r="D86" s="350">
        <v>5706.333333333333</v>
      </c>
      <c r="E86" s="350">
        <v>5711</v>
      </c>
      <c r="F86" s="350">
        <v>5699.25</v>
      </c>
      <c r="G86" s="350">
        <v>5708.333333333333</v>
      </c>
      <c r="H86" s="350">
        <v>5699.583333333333</v>
      </c>
      <c r="I86" s="350">
        <v>5735.75</v>
      </c>
      <c r="J86" s="350">
        <v>5742.916666666667</v>
      </c>
      <c r="K86" s="350">
        <v>5774.416666666667</v>
      </c>
      <c r="L86" s="350">
        <v>5878.666666666667</v>
      </c>
      <c r="M86" s="350">
        <v>5997.166666666667</v>
      </c>
      <c r="N86" s="350"/>
    </row>
    <row r="87" spans="1:15" x14ac:dyDescent="0.3">
      <c r="A87" s="348"/>
      <c r="B87" s="147"/>
      <c r="C87" s="376"/>
      <c r="D87" s="352"/>
      <c r="E87" s="352"/>
      <c r="F87" s="352"/>
      <c r="G87" s="352"/>
      <c r="H87" s="352"/>
      <c r="I87" s="352"/>
      <c r="J87" s="352"/>
      <c r="K87" s="352"/>
      <c r="L87" s="352"/>
      <c r="M87" s="352"/>
      <c r="N87" s="352"/>
    </row>
    <row r="88" spans="1:15" x14ac:dyDescent="0.3">
      <c r="A88" s="379" t="s">
        <v>146</v>
      </c>
      <c r="B88" s="147"/>
      <c r="C88" s="376"/>
      <c r="D88" s="352"/>
      <c r="E88" s="352"/>
      <c r="F88" s="352"/>
      <c r="G88" s="352"/>
      <c r="H88" s="352"/>
      <c r="I88" s="352"/>
      <c r="J88" s="352"/>
      <c r="K88" s="352"/>
      <c r="L88" s="352"/>
      <c r="M88" s="352"/>
      <c r="N88" s="352"/>
    </row>
    <row r="89" spans="1:15" x14ac:dyDescent="0.3">
      <c r="A89" s="347" t="s">
        <v>142</v>
      </c>
      <c r="B89" s="147"/>
      <c r="C89" s="376"/>
      <c r="D89" s="350">
        <v>761036.95</v>
      </c>
      <c r="E89" s="350">
        <v>713312.87300000002</v>
      </c>
      <c r="F89" s="350">
        <v>636304.67499999993</v>
      </c>
      <c r="G89" s="350">
        <v>697285.83000000007</v>
      </c>
      <c r="H89" s="350">
        <v>690656.66999999993</v>
      </c>
      <c r="I89" s="350">
        <v>667141.85</v>
      </c>
      <c r="J89" s="350">
        <v>631149.96201329515</v>
      </c>
      <c r="K89" s="350">
        <v>606042.11775878421</v>
      </c>
      <c r="L89" s="350">
        <v>565913.01442882093</v>
      </c>
      <c r="M89" s="350">
        <v>525914.78338748356</v>
      </c>
      <c r="N89" s="350"/>
      <c r="O89" s="368"/>
    </row>
    <row r="90" spans="1:15" x14ac:dyDescent="0.3">
      <c r="A90" s="347" t="s">
        <v>144</v>
      </c>
      <c r="B90" s="147"/>
      <c r="C90" s="376"/>
      <c r="D90" s="350">
        <v>2333.1769999999997</v>
      </c>
      <c r="E90" s="350">
        <v>2174.4479999999999</v>
      </c>
      <c r="F90" s="350">
        <v>2091</v>
      </c>
      <c r="G90" s="350">
        <v>2125.66</v>
      </c>
      <c r="H90" s="350">
        <v>2268.02</v>
      </c>
      <c r="I90" s="350">
        <v>2173.14</v>
      </c>
      <c r="J90" s="350">
        <v>2037.9700000000007</v>
      </c>
      <c r="K90" s="350">
        <v>1951.2900000000013</v>
      </c>
      <c r="L90" s="350">
        <v>1856.1200000000003</v>
      </c>
      <c r="M90" s="350">
        <v>1722.9099999999978</v>
      </c>
      <c r="N90" s="350"/>
      <c r="O90" s="368"/>
    </row>
    <row r="91" spans="1:15" x14ac:dyDescent="0.3">
      <c r="A91" s="347" t="s">
        <v>211</v>
      </c>
      <c r="B91" s="147"/>
      <c r="C91" s="376"/>
      <c r="D91" s="350">
        <v>828.25</v>
      </c>
      <c r="E91" s="350">
        <v>781.91666666666663</v>
      </c>
      <c r="F91" s="350">
        <v>772.91666666666663</v>
      </c>
      <c r="G91" s="350">
        <v>773.33333333333337</v>
      </c>
      <c r="H91" s="350">
        <v>760.75</v>
      </c>
      <c r="I91" s="350">
        <v>732.5</v>
      </c>
      <c r="J91" s="350">
        <v>705.66666666666663</v>
      </c>
      <c r="K91" s="350">
        <v>698.25</v>
      </c>
      <c r="L91" s="350">
        <v>669.41666666666663</v>
      </c>
      <c r="M91" s="350">
        <v>644.66666666666663</v>
      </c>
      <c r="N91" s="350"/>
    </row>
    <row r="92" spans="1:15" x14ac:dyDescent="0.3">
      <c r="A92" s="347"/>
      <c r="B92" s="147"/>
      <c r="C92" s="376"/>
      <c r="D92" s="352"/>
      <c r="E92" s="352"/>
      <c r="F92" s="352"/>
      <c r="G92" s="352"/>
      <c r="H92" s="352"/>
      <c r="I92" s="352"/>
      <c r="J92" s="352"/>
      <c r="K92" s="352"/>
      <c r="L92" s="352"/>
      <c r="M92" s="352"/>
      <c r="N92" s="352"/>
    </row>
    <row r="93" spans="1:15" x14ac:dyDescent="0.3">
      <c r="A93" s="379" t="s">
        <v>136</v>
      </c>
      <c r="B93" s="147"/>
      <c r="C93" s="376"/>
      <c r="D93" s="352"/>
      <c r="E93" s="352"/>
      <c r="F93" s="352"/>
      <c r="G93" s="352"/>
      <c r="H93" s="352"/>
      <c r="I93" s="352"/>
      <c r="J93" s="352"/>
      <c r="K93" s="352"/>
      <c r="L93" s="352"/>
      <c r="M93" s="352"/>
      <c r="N93" s="352"/>
    </row>
    <row r="94" spans="1:15" x14ac:dyDescent="0.3">
      <c r="A94" s="347" t="s">
        <v>142</v>
      </c>
      <c r="B94" s="147"/>
      <c r="C94" s="376"/>
      <c r="D94" s="350">
        <v>1527928.1810000001</v>
      </c>
      <c r="E94" s="350">
        <v>1530261.9540000001</v>
      </c>
      <c r="F94" s="350">
        <v>1532801.659</v>
      </c>
      <c r="G94" s="350">
        <v>1503002.9500000002</v>
      </c>
      <c r="H94" s="350">
        <v>1500542.3199999998</v>
      </c>
      <c r="I94" s="350">
        <v>1416419.3800000001</v>
      </c>
      <c r="J94" s="350">
        <v>1308270.2299999995</v>
      </c>
      <c r="K94" s="350">
        <v>1307305.7299999995</v>
      </c>
      <c r="L94" s="350">
        <v>1299487.2900000005</v>
      </c>
      <c r="M94" s="350">
        <v>1307649.58</v>
      </c>
      <c r="N94" s="350"/>
    </row>
    <row r="95" spans="1:15" x14ac:dyDescent="0.3">
      <c r="A95" s="347" t="s">
        <v>144</v>
      </c>
      <c r="B95" s="147"/>
      <c r="C95" s="376"/>
      <c r="D95" s="350"/>
      <c r="E95" s="350"/>
      <c r="F95" s="350"/>
      <c r="G95" s="350"/>
      <c r="H95" s="350"/>
      <c r="I95" s="350"/>
      <c r="J95" s="350"/>
      <c r="K95" s="350"/>
      <c r="L95" s="350"/>
      <c r="M95" s="350"/>
      <c r="N95" s="350"/>
    </row>
    <row r="96" spans="1:15" x14ac:dyDescent="0.3">
      <c r="A96" s="347" t="s">
        <v>143</v>
      </c>
      <c r="B96" s="147"/>
      <c r="C96" s="376"/>
      <c r="D96" s="350">
        <v>38.666666666666664</v>
      </c>
      <c r="E96" s="350">
        <v>38.083333333333336</v>
      </c>
      <c r="F96" s="350">
        <v>40.083333333333336</v>
      </c>
      <c r="G96" s="350">
        <v>39.75</v>
      </c>
      <c r="H96" s="350">
        <v>36.25</v>
      </c>
      <c r="I96" s="350">
        <v>35.916666666666664</v>
      </c>
      <c r="J96" s="350">
        <v>49.25</v>
      </c>
      <c r="K96" s="350">
        <v>48.083333333333336</v>
      </c>
      <c r="L96" s="350">
        <v>47.166666666666664</v>
      </c>
      <c r="M96" s="350">
        <v>46</v>
      </c>
      <c r="N96" s="350"/>
    </row>
    <row r="97" spans="1:15" x14ac:dyDescent="0.3">
      <c r="A97" s="380"/>
      <c r="B97" s="147"/>
      <c r="C97" s="376"/>
      <c r="D97" s="353"/>
      <c r="E97" s="353"/>
      <c r="F97" s="353"/>
      <c r="G97" s="353"/>
      <c r="H97" s="353"/>
      <c r="I97" s="353"/>
      <c r="J97" s="353"/>
      <c r="K97" s="353"/>
      <c r="L97" s="353"/>
      <c r="M97" s="353"/>
      <c r="N97" s="353"/>
    </row>
    <row r="98" spans="1:15" x14ac:dyDescent="0.3">
      <c r="A98" s="380"/>
      <c r="B98" s="147"/>
      <c r="C98" s="376"/>
      <c r="D98" s="353"/>
      <c r="E98" s="353"/>
      <c r="F98" s="353"/>
      <c r="G98" s="353"/>
      <c r="H98" s="353"/>
      <c r="I98" s="353"/>
      <c r="J98" s="353"/>
      <c r="K98" s="353"/>
      <c r="L98" s="353"/>
      <c r="M98" s="353"/>
      <c r="N98" s="353"/>
    </row>
    <row r="99" spans="1:15" x14ac:dyDescent="0.3">
      <c r="A99" s="380"/>
      <c r="B99" s="147"/>
      <c r="C99" s="376"/>
      <c r="D99" s="353"/>
      <c r="E99" s="353"/>
      <c r="F99" s="353"/>
      <c r="G99" s="353"/>
      <c r="H99" s="353"/>
      <c r="I99" s="353"/>
      <c r="J99" s="353"/>
      <c r="K99" s="353"/>
      <c r="L99" s="353"/>
      <c r="M99" s="353"/>
      <c r="N99" s="353"/>
    </row>
    <row r="100" spans="1:15" x14ac:dyDescent="0.3">
      <c r="A100" s="379" t="s">
        <v>77</v>
      </c>
      <c r="B100" s="147"/>
      <c r="C100" s="376"/>
      <c r="D100" s="453">
        <f>D32</f>
        <v>2011</v>
      </c>
      <c r="E100" s="453">
        <f t="shared" ref="E100:M100" si="13">E32</f>
        <v>2012</v>
      </c>
      <c r="F100" s="453">
        <f t="shared" si="13"/>
        <v>2013</v>
      </c>
      <c r="G100" s="453">
        <f t="shared" si="13"/>
        <v>2014</v>
      </c>
      <c r="H100" s="453">
        <f t="shared" si="13"/>
        <v>2015</v>
      </c>
      <c r="I100" s="453">
        <f t="shared" si="13"/>
        <v>2016</v>
      </c>
      <c r="J100" s="453">
        <f t="shared" si="13"/>
        <v>2017</v>
      </c>
      <c r="K100" s="453">
        <f t="shared" si="13"/>
        <v>2018</v>
      </c>
      <c r="L100" s="453">
        <f t="shared" si="13"/>
        <v>2019</v>
      </c>
      <c r="M100" s="453">
        <f t="shared" si="13"/>
        <v>2020</v>
      </c>
      <c r="N100" s="453"/>
    </row>
    <row r="101" spans="1:15" x14ac:dyDescent="0.3">
      <c r="A101" s="347" t="s">
        <v>142</v>
      </c>
      <c r="B101" s="147"/>
      <c r="C101" s="376"/>
      <c r="D101" s="350">
        <f>D66+D70+D74+D79+D84+D89+D94</f>
        <v>540401755.88500011</v>
      </c>
      <c r="E101" s="350">
        <f t="shared" ref="E101:M101" si="14">E66+E70+E74+E79+E84+E89+E94</f>
        <v>538207566.01900005</v>
      </c>
      <c r="F101" s="350">
        <f t="shared" si="14"/>
        <v>505167326.16600007</v>
      </c>
      <c r="G101" s="350">
        <f t="shared" si="14"/>
        <v>510691252.28000003</v>
      </c>
      <c r="H101" s="350">
        <f t="shared" si="14"/>
        <v>473962855.18000001</v>
      </c>
      <c r="I101" s="350">
        <f t="shared" si="14"/>
        <v>466965821.50999999</v>
      </c>
      <c r="J101" s="350">
        <f t="shared" si="14"/>
        <v>452799209.12997222</v>
      </c>
      <c r="K101" s="350">
        <f t="shared" si="14"/>
        <v>476777176.6093052</v>
      </c>
      <c r="L101" s="350">
        <f t="shared" si="14"/>
        <v>468336925.27052456</v>
      </c>
      <c r="M101" s="350">
        <f t="shared" si="14"/>
        <v>461631476.97391683</v>
      </c>
      <c r="N101" s="350">
        <f>N66+N70+N74+N79+N84+N89</f>
        <v>0</v>
      </c>
      <c r="O101" s="368"/>
    </row>
    <row r="102" spans="1:15" x14ac:dyDescent="0.3">
      <c r="A102" s="347" t="s">
        <v>144</v>
      </c>
      <c r="B102" s="147"/>
      <c r="C102" s="376"/>
      <c r="D102" s="350">
        <f>D75+D80+D85+D90</f>
        <v>779367.4310000001</v>
      </c>
      <c r="E102" s="350">
        <f t="shared" ref="E102:M102" si="15">E75+E80+E85+E90</f>
        <v>788210.09200000006</v>
      </c>
      <c r="F102" s="350">
        <f t="shared" si="15"/>
        <v>717913.58400000003</v>
      </c>
      <c r="G102" s="350">
        <f t="shared" si="15"/>
        <v>692730.9800000001</v>
      </c>
      <c r="H102" s="350">
        <f t="shared" si="15"/>
        <v>642364.42000000004</v>
      </c>
      <c r="I102" s="350">
        <f t="shared" si="15"/>
        <v>604998.42999999993</v>
      </c>
      <c r="J102" s="350">
        <f t="shared" si="15"/>
        <v>607120.19999999995</v>
      </c>
      <c r="K102" s="350">
        <f t="shared" si="15"/>
        <v>599986.39000000013</v>
      </c>
      <c r="L102" s="350">
        <f t="shared" si="15"/>
        <v>573383.39999999967</v>
      </c>
      <c r="M102" s="350">
        <f t="shared" si="15"/>
        <v>547894.79000000015</v>
      </c>
      <c r="N102" s="350">
        <f>N75+N85+N90</f>
        <v>0</v>
      </c>
      <c r="O102" s="368"/>
    </row>
    <row r="103" spans="1:15" x14ac:dyDescent="0.3">
      <c r="A103" s="347" t="s">
        <v>213</v>
      </c>
      <c r="B103" s="147"/>
      <c r="C103" s="376"/>
      <c r="D103" s="350">
        <f>D67+D71+D76+D81</f>
        <v>28291.916666666668</v>
      </c>
      <c r="E103" s="350">
        <f t="shared" ref="E103:M103" si="16">E67+E71+E76+E81</f>
        <v>28467.416666666668</v>
      </c>
      <c r="F103" s="350">
        <f t="shared" si="16"/>
        <v>28548.499999999996</v>
      </c>
      <c r="G103" s="350">
        <f t="shared" si="16"/>
        <v>28601.666666666668</v>
      </c>
      <c r="H103" s="350">
        <f t="shared" si="16"/>
        <v>28633.083333333336</v>
      </c>
      <c r="I103" s="350">
        <f t="shared" si="16"/>
        <v>28738.666666666668</v>
      </c>
      <c r="J103" s="350">
        <f t="shared" si="16"/>
        <v>28934.083333333336</v>
      </c>
      <c r="K103" s="350">
        <f t="shared" si="16"/>
        <v>29154.25</v>
      </c>
      <c r="L103" s="350">
        <f t="shared" si="16"/>
        <v>29334</v>
      </c>
      <c r="M103" s="350">
        <f t="shared" si="16"/>
        <v>29623.416666666668</v>
      </c>
      <c r="N103" s="350">
        <f>N67+N71+N76</f>
        <v>0</v>
      </c>
    </row>
    <row r="104" spans="1:15" x14ac:dyDescent="0.3">
      <c r="A104" s="347" t="s">
        <v>212</v>
      </c>
      <c r="B104" s="147"/>
      <c r="C104" s="376"/>
      <c r="D104" s="350">
        <f>D86+D91+D96</f>
        <v>6573.25</v>
      </c>
      <c r="E104" s="350">
        <f t="shared" ref="E104:M104" si="17">E86+E91+E96</f>
        <v>6531</v>
      </c>
      <c r="F104" s="350">
        <f t="shared" si="17"/>
        <v>6512.25</v>
      </c>
      <c r="G104" s="350">
        <f t="shared" si="17"/>
        <v>6521.4166666666661</v>
      </c>
      <c r="H104" s="350">
        <f t="shared" si="17"/>
        <v>6496.583333333333</v>
      </c>
      <c r="I104" s="350">
        <f t="shared" si="17"/>
        <v>6504.166666666667</v>
      </c>
      <c r="J104" s="350">
        <f t="shared" si="17"/>
        <v>6497.8333333333339</v>
      </c>
      <c r="K104" s="350">
        <f t="shared" si="17"/>
        <v>6520.75</v>
      </c>
      <c r="L104" s="350">
        <f t="shared" si="17"/>
        <v>6595.2500000000009</v>
      </c>
      <c r="M104" s="350">
        <f t="shared" si="17"/>
        <v>6687.8333333333339</v>
      </c>
      <c r="N104" s="350">
        <f>N80+N86+N91</f>
        <v>0</v>
      </c>
    </row>
    <row r="105" spans="1:15" ht="15.5" x14ac:dyDescent="0.3">
      <c r="A105" s="381" t="s">
        <v>81</v>
      </c>
      <c r="B105" s="381"/>
      <c r="C105" s="382"/>
      <c r="D105" s="383"/>
      <c r="E105" s="383"/>
      <c r="F105" s="382"/>
      <c r="G105" s="382"/>
      <c r="H105" s="382"/>
      <c r="I105" s="382"/>
      <c r="J105" s="382"/>
      <c r="K105" s="382"/>
      <c r="L105" s="382"/>
      <c r="M105" s="382"/>
      <c r="N105" s="384"/>
      <c r="O105" s="384"/>
    </row>
    <row r="106" spans="1:15" ht="14" x14ac:dyDescent="0.3">
      <c r="A106" s="383" t="s">
        <v>80</v>
      </c>
      <c r="B106" s="383"/>
      <c r="C106" s="383"/>
      <c r="D106" s="383"/>
      <c r="E106" s="383"/>
      <c r="F106" s="382"/>
      <c r="G106" s="382"/>
      <c r="H106" s="382"/>
      <c r="I106" s="382"/>
      <c r="J106" s="382"/>
      <c r="K106" s="382"/>
      <c r="L106" s="382"/>
      <c r="M106" s="382"/>
      <c r="N106" s="384"/>
      <c r="O106" s="384"/>
    </row>
    <row r="107" spans="1:15" ht="14" x14ac:dyDescent="0.3">
      <c r="A107" s="383" t="s">
        <v>79</v>
      </c>
      <c r="B107" s="383"/>
      <c r="C107" s="383"/>
      <c r="D107" s="383"/>
      <c r="E107" s="383"/>
      <c r="F107" s="382"/>
      <c r="G107" s="382"/>
      <c r="H107" s="382"/>
      <c r="I107" s="382"/>
      <c r="J107" s="382"/>
      <c r="K107" s="382"/>
      <c r="L107" s="382"/>
      <c r="M107" s="382"/>
      <c r="N107" s="384"/>
      <c r="O107" s="384"/>
    </row>
    <row r="108" spans="1:15" ht="14" x14ac:dyDescent="0.3">
      <c r="A108" s="383"/>
      <c r="B108" s="383"/>
      <c r="C108" s="383"/>
      <c r="D108" s="383"/>
      <c r="E108" s="383"/>
      <c r="F108" s="382"/>
      <c r="G108" s="382"/>
      <c r="H108" s="382"/>
      <c r="I108" s="382"/>
      <c r="J108" s="382"/>
      <c r="K108" s="382"/>
      <c r="L108" s="382"/>
      <c r="M108" s="382"/>
      <c r="N108" s="384"/>
      <c r="O108" s="384"/>
    </row>
    <row r="109" spans="1:15" ht="14" x14ac:dyDescent="0.3">
      <c r="A109" s="385" t="s">
        <v>78</v>
      </c>
      <c r="B109" s="385"/>
      <c r="C109" s="385"/>
      <c r="D109" s="386"/>
      <c r="E109" s="145"/>
      <c r="F109" s="386"/>
      <c r="G109" s="145"/>
      <c r="H109" s="145"/>
      <c r="I109" s="386"/>
      <c r="J109" s="145"/>
      <c r="K109" s="145"/>
      <c r="L109" s="386"/>
      <c r="M109" s="145"/>
      <c r="N109" s="219"/>
      <c r="O109" s="219"/>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tabSelected="1" zoomScaleNormal="100" workbookViewId="0">
      <selection activeCell="L38" sqref="L38"/>
    </sheetView>
  </sheetViews>
  <sheetFormatPr defaultColWidth="10.5" defaultRowHeight="12.5" x14ac:dyDescent="0.25"/>
  <cols>
    <col min="1" max="1" width="10.5" style="144"/>
    <col min="2" max="2" width="36.5" style="144" bestFit="1" customWidth="1"/>
    <col min="3" max="3" width="14.5" style="144" bestFit="1" customWidth="1"/>
    <col min="4" max="4" width="14.5" style="144" customWidth="1"/>
    <col min="5" max="9" width="14.296875" style="144" customWidth="1"/>
    <col min="10" max="11" width="10.69921875" style="144" customWidth="1"/>
    <col min="12" max="16384" width="10.5" style="144"/>
  </cols>
  <sheetData>
    <row r="3" spans="2:12" ht="15" customHeight="1" x14ac:dyDescent="0.25">
      <c r="B3" s="554" t="s">
        <v>108</v>
      </c>
      <c r="C3" s="555"/>
      <c r="D3" s="555"/>
      <c r="E3" s="555"/>
      <c r="F3" s="555"/>
      <c r="G3" s="555"/>
      <c r="H3" s="555"/>
      <c r="I3" s="555"/>
    </row>
    <row r="4" spans="2:12" ht="13" x14ac:dyDescent="0.3">
      <c r="B4" s="264"/>
      <c r="C4" s="264" t="s">
        <v>167</v>
      </c>
      <c r="D4" s="336">
        <f>'Input - Customer Data'!$B$7-5</f>
        <v>2017</v>
      </c>
      <c r="E4" s="336">
        <f>'Input - Customer Data'!$B$7-4</f>
        <v>2018</v>
      </c>
      <c r="F4" s="336">
        <f>'Input - Customer Data'!$B$7-3</f>
        <v>2019</v>
      </c>
      <c r="G4" s="336">
        <f>'Input - Customer Data'!$B$7-2</f>
        <v>2020</v>
      </c>
      <c r="H4" s="336">
        <f>'Input - Customer Data'!$B$7-1</f>
        <v>2021</v>
      </c>
      <c r="I4" s="336">
        <f>'Input - Customer Data'!$B$7</f>
        <v>2022</v>
      </c>
      <c r="J4" s="262"/>
      <c r="K4" s="262"/>
      <c r="L4" s="263"/>
    </row>
    <row r="5" spans="2:12" ht="13" x14ac:dyDescent="0.3">
      <c r="B5" s="228" t="str">
        <f>'Input - Customer Data'!A65</f>
        <v>Residential</v>
      </c>
      <c r="C5" s="159"/>
      <c r="D5" s="159"/>
      <c r="E5" s="268"/>
      <c r="F5" s="268"/>
      <c r="G5" s="268"/>
      <c r="H5" s="268"/>
      <c r="I5" s="268"/>
    </row>
    <row r="6" spans="2:12" ht="13" x14ac:dyDescent="0.3">
      <c r="B6" s="228" t="s">
        <v>216</v>
      </c>
      <c r="C6" s="412">
        <v>201294289</v>
      </c>
      <c r="D6" s="268">
        <f>'Bridge&amp;Test Year Class Forecast'!B11</f>
        <v>192333396.59142745</v>
      </c>
      <c r="E6" s="268">
        <f>'Bridge&amp;Test Year Class Forecast'!B12</f>
        <v>213384791.97681683</v>
      </c>
      <c r="F6" s="268">
        <f>'Bridge&amp;Test Year Class Forecast'!B13</f>
        <v>208333695.23086321</v>
      </c>
      <c r="G6" s="268">
        <f>'Bridge&amp;Test Year Class Forecast'!B14</f>
        <v>220200219.65924728</v>
      </c>
      <c r="H6" s="268">
        <f>'Bridge&amp;Test Year Class Forecast'!G26</f>
        <v>207712740.89568099</v>
      </c>
      <c r="I6" s="268">
        <f>'Bridge&amp;Test Year Class Forecast'!G27</f>
        <v>209707616.03327569</v>
      </c>
    </row>
    <row r="7" spans="2:12" ht="13" x14ac:dyDescent="0.3">
      <c r="B7" s="228" t="str">
        <f>'Input - Customer Data'!A67</f>
        <v xml:space="preserve"> Cust Count</v>
      </c>
      <c r="C7" s="159">
        <v>26074</v>
      </c>
      <c r="D7" s="268">
        <f>'Input - Customer Data'!J67</f>
        <v>26228.416666666668</v>
      </c>
      <c r="E7" s="268">
        <f>'Input - Customer Data'!K67</f>
        <v>26464.833333333332</v>
      </c>
      <c r="F7" s="268">
        <f>'Input - Customer Data'!L67</f>
        <v>26647</v>
      </c>
      <c r="G7" s="268">
        <f>'Input - Customer Data'!M67</f>
        <v>26915.666666666668</v>
      </c>
      <c r="H7" s="268">
        <f>'Input - Customer Data'!E24</f>
        <v>27119.291062038195</v>
      </c>
      <c r="I7" s="268">
        <f>'Input - Customer Data'!E25</f>
        <v>27324.455931770026</v>
      </c>
    </row>
    <row r="8" spans="2:12" ht="13" x14ac:dyDescent="0.3">
      <c r="B8" s="228" t="s">
        <v>57</v>
      </c>
      <c r="C8" s="159"/>
      <c r="D8" s="159"/>
      <c r="E8" s="268"/>
      <c r="F8" s="268"/>
      <c r="G8" s="268"/>
      <c r="H8" s="268"/>
      <c r="I8" s="268"/>
    </row>
    <row r="9" spans="2:12" ht="13" x14ac:dyDescent="0.3">
      <c r="B9" s="228" t="str">
        <f>'Input - Customer Data'!A69</f>
        <v>General Service &lt; 50 kW</v>
      </c>
      <c r="C9" s="159"/>
      <c r="D9" s="159"/>
      <c r="E9" s="268"/>
      <c r="F9" s="268"/>
      <c r="G9" s="268"/>
      <c r="H9" s="268"/>
      <c r="I9" s="268"/>
    </row>
    <row r="10" spans="2:12" ht="13" x14ac:dyDescent="0.3">
      <c r="B10" s="228" t="s">
        <v>216</v>
      </c>
      <c r="C10" s="412">
        <v>69390323</v>
      </c>
      <c r="D10" s="268">
        <f>'Bridge&amp;Test Year Class Forecast'!B39</f>
        <v>66385178.073323995</v>
      </c>
      <c r="E10" s="268">
        <f>'Bridge&amp;Test Year Class Forecast'!B40</f>
        <v>68552191.048737228</v>
      </c>
      <c r="F10" s="268">
        <f>'Bridge&amp;Test Year Class Forecast'!B41</f>
        <v>68296619.869135812</v>
      </c>
      <c r="G10" s="268">
        <f>'Bridge&amp;Test Year Class Forecast'!B42</f>
        <v>63219121.669230707</v>
      </c>
      <c r="H10" s="268">
        <f>'Bridge&amp;Test Year Class Forecast'!G54</f>
        <v>66854671.557754375</v>
      </c>
      <c r="I10" s="268">
        <f>'Bridge&amp;Test Year Class Forecast'!G55</f>
        <v>67105474.621031202</v>
      </c>
    </row>
    <row r="11" spans="2:12" ht="13" x14ac:dyDescent="0.3">
      <c r="B11" s="228" t="str">
        <f>'Input - Customer Data'!A71</f>
        <v xml:space="preserve"> Cust Count</v>
      </c>
      <c r="C11" s="159">
        <v>2489</v>
      </c>
      <c r="D11" s="268">
        <f>'Input - Customer Data'!G12</f>
        <v>2506.6666666666665</v>
      </c>
      <c r="E11" s="268">
        <f>'Input - Customer Data'!G13</f>
        <v>2490.75</v>
      </c>
      <c r="F11" s="268">
        <f>'Input - Customer Data'!G14</f>
        <v>2495.6666666666665</v>
      </c>
      <c r="G11" s="268">
        <f>'Input - Customer Data'!G15</f>
        <v>2513.5833333333335</v>
      </c>
      <c r="H11" s="268">
        <f>'Input - Customer Data'!G24</f>
        <v>2517.8887017843663</v>
      </c>
      <c r="I11" s="268">
        <f>'Input - Customer Data'!G25</f>
        <v>2522.2014446467638</v>
      </c>
    </row>
    <row r="12" spans="2:12" ht="13" x14ac:dyDescent="0.3">
      <c r="B12" s="228" t="s">
        <v>57</v>
      </c>
      <c r="C12" s="159"/>
      <c r="D12" s="159"/>
      <c r="E12" s="268"/>
      <c r="F12" s="268"/>
      <c r="G12" s="268"/>
      <c r="H12" s="268"/>
      <c r="I12" s="268"/>
    </row>
    <row r="13" spans="2:12" ht="13" x14ac:dyDescent="0.3">
      <c r="B13" s="228" t="str">
        <f>'Input - Customer Data'!A73</f>
        <v>General Service 50 to 4999 kW</v>
      </c>
      <c r="C13" s="159"/>
      <c r="D13" s="159"/>
      <c r="E13" s="268"/>
      <c r="F13" s="268"/>
      <c r="G13" s="268"/>
      <c r="H13" s="268"/>
      <c r="I13" s="268"/>
    </row>
    <row r="14" spans="2:12" ht="13" x14ac:dyDescent="0.3">
      <c r="B14" s="228" t="s">
        <v>216</v>
      </c>
      <c r="C14" s="412">
        <v>190144345</v>
      </c>
      <c r="D14" s="268">
        <f>'Input - Customer Data'!J74</f>
        <v>185980426.04825354</v>
      </c>
      <c r="E14" s="268">
        <f>'Input - Customer Data'!K74</f>
        <v>186317853.54878309</v>
      </c>
      <c r="F14" s="268">
        <f>'Input - Customer Data'!L74</f>
        <v>183204907.69893607</v>
      </c>
      <c r="G14" s="268">
        <f>'Input - Customer Data'!M74</f>
        <v>169630766.96221483</v>
      </c>
      <c r="H14" s="268">
        <f>'Bridge&amp;Test Year Class Forecast'!G82</f>
        <v>185305527.2494328</v>
      </c>
      <c r="I14" s="268">
        <f>'Bridge&amp;Test Year Class Forecast'!G83</f>
        <v>188378941.61248407</v>
      </c>
    </row>
    <row r="15" spans="2:12" ht="13" x14ac:dyDescent="0.3">
      <c r="B15" s="228" t="str">
        <f>'Input - Customer Data'!A75</f>
        <v xml:space="preserve"> kW</v>
      </c>
      <c r="C15" s="412">
        <v>610067</v>
      </c>
      <c r="D15" s="268">
        <f>'Input - Customer Data'!J75</f>
        <v>588371.79999999993</v>
      </c>
      <c r="E15" s="268">
        <f>'Input - Customer Data'!K75</f>
        <v>580250.94000000006</v>
      </c>
      <c r="F15" s="268">
        <f>'Input - Customer Data'!L75</f>
        <v>553966.00999999966</v>
      </c>
      <c r="G15" s="268">
        <f>'Input - Customer Data'!M75</f>
        <v>527483.83000000007</v>
      </c>
      <c r="H15" s="268">
        <f>'Bridge&amp;Test Year Class Forecast'!M15</f>
        <v>567153.48822586006</v>
      </c>
      <c r="I15" s="268">
        <f>'Bridge&amp;Test Year Class Forecast'!M16</f>
        <v>576419.01449495857</v>
      </c>
    </row>
    <row r="16" spans="2:12" ht="13" x14ac:dyDescent="0.3">
      <c r="B16" s="228" t="str">
        <f>'Input - Customer Data'!A76</f>
        <v xml:space="preserve"> Cust Count</v>
      </c>
      <c r="C16" s="159">
        <v>217</v>
      </c>
      <c r="D16" s="268">
        <f>'Input - Customer Data'!I12</f>
        <v>198</v>
      </c>
      <c r="E16" s="268">
        <f>'Input - Customer Data'!I13</f>
        <v>197.66666666666666</v>
      </c>
      <c r="F16" s="268">
        <f>'Input - Customer Data'!I14</f>
        <v>190.33333333333334</v>
      </c>
      <c r="G16" s="268">
        <f>'Input - Customer Data'!I15</f>
        <v>193.16666666666666</v>
      </c>
      <c r="H16" s="268">
        <f>'Input - Customer Data'!I19</f>
        <v>196.04217746643312</v>
      </c>
      <c r="I16" s="268">
        <f>'Input - Customer Data'!I25</f>
        <v>198.96049359334145</v>
      </c>
    </row>
    <row r="17" spans="2:9" ht="13" x14ac:dyDescent="0.3">
      <c r="B17" s="228" t="s">
        <v>57</v>
      </c>
      <c r="C17" s="159"/>
      <c r="D17" s="159"/>
      <c r="E17" s="268"/>
      <c r="F17" s="268"/>
      <c r="G17" s="268"/>
      <c r="H17" s="268"/>
      <c r="I17" s="268"/>
    </row>
    <row r="18" spans="2:9" ht="13" x14ac:dyDescent="0.3">
      <c r="B18" s="228" t="str">
        <f>'Input - Customer Data'!A78</f>
        <v>Embedded</v>
      </c>
      <c r="C18" s="159"/>
      <c r="D18" s="159"/>
      <c r="E18" s="268"/>
      <c r="F18" s="268"/>
      <c r="G18" s="268"/>
      <c r="H18" s="268"/>
      <c r="I18" s="268"/>
    </row>
    <row r="19" spans="2:9" ht="13" x14ac:dyDescent="0.3">
      <c r="B19" s="228" t="s">
        <v>216</v>
      </c>
      <c r="C19" s="412">
        <v>5205754</v>
      </c>
      <c r="D19" s="268">
        <f>'Bridge&amp;Test Year Class Forecast'!F95</f>
        <v>4824542.3963865573</v>
      </c>
      <c r="E19" s="268">
        <f>'Bridge&amp;Test Year Class Forecast'!F96</f>
        <v>5170415.4495248096</v>
      </c>
      <c r="F19" s="268">
        <f>'Bridge&amp;Test Year Class Forecast'!F97</f>
        <v>5146934.1055374239</v>
      </c>
      <c r="G19" s="268">
        <f>'Bridge&amp;Test Year Class Forecast'!F98</f>
        <v>5393253.7825264176</v>
      </c>
      <c r="H19" s="268">
        <f>'Bridge&amp;Test Year Class Forecast'!G110</f>
        <v>5200399.9210471576</v>
      </c>
      <c r="I19" s="268">
        <f>'Bridge&amp;Test Year Class Forecast'!G111</f>
        <v>5211001.5583733637</v>
      </c>
    </row>
    <row r="20" spans="2:9" ht="13" x14ac:dyDescent="0.3">
      <c r="B20" s="228" t="str">
        <f>'Input - Customer Data'!A80</f>
        <v xml:space="preserve"> kW</v>
      </c>
      <c r="C20" s="412">
        <v>13921</v>
      </c>
      <c r="D20" s="268">
        <f>'Bridge&amp;Test Year Class Forecast'!M33</f>
        <v>12501.41</v>
      </c>
      <c r="E20" s="268">
        <f>'Bridge&amp;Test Year Class Forecast'!M34</f>
        <v>13532.36</v>
      </c>
      <c r="F20" s="268">
        <f>'Bridge&amp;Test Year Class Forecast'!M35</f>
        <v>13275.64</v>
      </c>
      <c r="G20" s="268">
        <f>'Bridge&amp;Test Year Class Forecast'!M36</f>
        <v>14339.56</v>
      </c>
      <c r="H20" s="268">
        <f>'Bridge&amp;Test Year Class Forecast'!M37</f>
        <v>13902.794774841135</v>
      </c>
      <c r="I20" s="268">
        <f>'Bridge&amp;Test Year Class Forecast'!M38</f>
        <v>13931.137285082898</v>
      </c>
    </row>
    <row r="21" spans="2:9" ht="13" x14ac:dyDescent="0.3">
      <c r="B21" s="228" t="str">
        <f>'Input - Customer Data'!A81</f>
        <v xml:space="preserve"> Cust Count</v>
      </c>
      <c r="C21" s="159">
        <v>1</v>
      </c>
      <c r="D21" s="268">
        <f>'Input - Customer Data'!K12</f>
        <v>1</v>
      </c>
      <c r="E21" s="268">
        <f>'Input - Customer Data'!K13</f>
        <v>1</v>
      </c>
      <c r="F21" s="268">
        <f>'Input - Customer Data'!K14</f>
        <v>1</v>
      </c>
      <c r="G21" s="268">
        <f>'Input - Customer Data'!K15</f>
        <v>1</v>
      </c>
      <c r="H21" s="268">
        <f>'Input - Customer Data'!K24</f>
        <v>1</v>
      </c>
      <c r="I21" s="268">
        <f>'Input - Customer Data'!K25</f>
        <v>1</v>
      </c>
    </row>
    <row r="22" spans="2:9" ht="13" x14ac:dyDescent="0.3">
      <c r="B22" s="228" t="s">
        <v>57</v>
      </c>
      <c r="C22" s="159"/>
      <c r="D22" s="159"/>
      <c r="E22" s="268"/>
      <c r="F22" s="268"/>
      <c r="G22" s="268"/>
      <c r="H22" s="268"/>
      <c r="I22" s="268"/>
    </row>
    <row r="23" spans="2:9" ht="13" x14ac:dyDescent="0.3">
      <c r="B23" s="228" t="str">
        <f>'Input - Customer Data'!A83</f>
        <v xml:space="preserve">Street Lighting </v>
      </c>
      <c r="C23" s="159"/>
      <c r="D23" s="159"/>
      <c r="E23" s="268"/>
      <c r="F23" s="268"/>
      <c r="G23" s="268"/>
      <c r="H23" s="268"/>
      <c r="I23" s="268"/>
    </row>
    <row r="24" spans="2:9" ht="13" x14ac:dyDescent="0.3">
      <c r="B24" s="228" t="s">
        <v>216</v>
      </c>
      <c r="C24" s="412">
        <v>2991556</v>
      </c>
      <c r="D24" s="268">
        <f>'Bridge&amp;Test Year Class Forecast'!L54</f>
        <v>1392668.2526115859</v>
      </c>
      <c r="E24" s="268">
        <f>'Bridge&amp;Test Year Class Forecast'!L55</f>
        <v>1390046.9705603039</v>
      </c>
      <c r="F24" s="268">
        <f>'Bridge&amp;Test Year Class Forecast'!L56</f>
        <v>1401777.7587844254</v>
      </c>
      <c r="G24" s="268">
        <f>'Bridge&amp;Test Year Class Forecast'!L57</f>
        <v>1425844.3209876544</v>
      </c>
      <c r="H24" s="268">
        <f>'Bridge&amp;Test Year Class Forecast'!L58</f>
        <v>1441120.2815711428</v>
      </c>
      <c r="I24" s="412">
        <f>'Bridge&amp;Test Year Class Forecast'!L59</f>
        <v>1449102.1671553131</v>
      </c>
    </row>
    <row r="25" spans="2:9" ht="13" x14ac:dyDescent="0.3">
      <c r="B25" s="228" t="str">
        <f>'Input - Customer Data'!A85</f>
        <v xml:space="preserve"> kW</v>
      </c>
      <c r="C25" s="428">
        <v>9240</v>
      </c>
      <c r="D25" s="268">
        <f>'Bridge&amp;Test Year Class Forecast'!M54</f>
        <v>4209.0200000000004</v>
      </c>
      <c r="E25" s="268">
        <f>'Bridge&amp;Test Year Class Forecast'!M55</f>
        <v>4251.8</v>
      </c>
      <c r="F25" s="268">
        <f>'Bridge&amp;Test Year Class Forecast'!M56</f>
        <v>4285.630000000001</v>
      </c>
      <c r="G25" s="268">
        <f>'Bridge&amp;Test Year Class Forecast'!M57</f>
        <v>4348.49</v>
      </c>
      <c r="H25" s="268">
        <f>'Bridge&amp;Test Year Class Forecast'!M58</f>
        <v>4403.0031804623595</v>
      </c>
      <c r="I25" s="268">
        <f>'Bridge&amp;Test Year Class Forecast'!M59</f>
        <v>4427.3899496048161</v>
      </c>
    </row>
    <row r="26" spans="2:9" ht="13" x14ac:dyDescent="0.3">
      <c r="B26" s="228" t="str">
        <f>'Input - Customer Data'!A86</f>
        <v xml:space="preserve"> Connections</v>
      </c>
      <c r="C26" s="356">
        <v>5713</v>
      </c>
      <c r="D26" s="268">
        <f>'Input - Customer Data'!M12</f>
        <v>5742.916666666667</v>
      </c>
      <c r="E26" s="268">
        <f>'Input - Customer Data'!M13</f>
        <v>5774.416666666667</v>
      </c>
      <c r="F26" s="268">
        <f>'Input - Customer Data'!M14</f>
        <v>5878.666666666667</v>
      </c>
      <c r="G26" s="268">
        <f>'Input - Customer Data'!M15</f>
        <v>5997.166666666667</v>
      </c>
      <c r="H26" s="268">
        <f>'Input - Customer Data'!M24</f>
        <v>6030.3829767656025</v>
      </c>
      <c r="I26" s="268">
        <f>'Input - Customer Data'!M25</f>
        <v>6063.7832609506213</v>
      </c>
    </row>
    <row r="27" spans="2:9" ht="13" x14ac:dyDescent="0.3">
      <c r="B27" s="228" t="s">
        <v>57</v>
      </c>
      <c r="C27" s="356"/>
      <c r="D27" s="356"/>
      <c r="E27" s="268"/>
      <c r="F27" s="268"/>
      <c r="G27" s="268"/>
      <c r="H27" s="268"/>
      <c r="I27" s="268"/>
    </row>
    <row r="28" spans="2:9" ht="13" x14ac:dyDescent="0.3">
      <c r="B28" s="228" t="str">
        <f>'Input - Customer Data'!A88</f>
        <v>Sentinel</v>
      </c>
      <c r="C28" s="356"/>
      <c r="D28" s="356"/>
      <c r="E28" s="268"/>
      <c r="F28" s="268"/>
      <c r="G28" s="268"/>
      <c r="H28" s="268"/>
      <c r="I28" s="268"/>
    </row>
    <row r="29" spans="2:9" ht="13" x14ac:dyDescent="0.3">
      <c r="B29" s="228" t="s">
        <v>216</v>
      </c>
      <c r="C29" s="428">
        <v>629014</v>
      </c>
      <c r="D29" s="268">
        <f>'Bridge&amp;Test Year Class Forecast'!L76</f>
        <v>631149.96201329515</v>
      </c>
      <c r="E29" s="268">
        <f>'Bridge&amp;Test Year Class Forecast'!L77</f>
        <v>606042.11775878421</v>
      </c>
      <c r="F29" s="268">
        <f>'Bridge&amp;Test Year Class Forecast'!L78</f>
        <v>565913.01442882093</v>
      </c>
      <c r="G29" s="268">
        <f>'Bridge&amp;Test Year Class Forecast'!L79</f>
        <v>525914.78338748356</v>
      </c>
      <c r="H29" s="268">
        <f>'Bridge&amp;Test Year Class Forecast'!L80</f>
        <v>528556.71089588641</v>
      </c>
      <c r="I29" s="268">
        <f>'Bridge&amp;Test Year Class Forecast'!L81</f>
        <v>514043.40065197996</v>
      </c>
    </row>
    <row r="30" spans="2:9" ht="13" x14ac:dyDescent="0.3">
      <c r="B30" s="228" t="str">
        <f>'Input - Customer Data'!A90</f>
        <v xml:space="preserve"> kW</v>
      </c>
      <c r="C30" s="428">
        <v>1916</v>
      </c>
      <c r="D30" s="268">
        <f>'Bridge&amp;Test Year Class Forecast'!M76</f>
        <v>2037.9700000000007</v>
      </c>
      <c r="E30" s="268">
        <f>'Bridge&amp;Test Year Class Forecast'!M77</f>
        <v>1951.2900000000013</v>
      </c>
      <c r="F30" s="268">
        <f>'Bridge&amp;Test Year Class Forecast'!M78</f>
        <v>1856.1200000000003</v>
      </c>
      <c r="G30" s="268">
        <f>'Bridge&amp;Test Year Class Forecast'!M79</f>
        <v>1722.9099999999978</v>
      </c>
      <c r="H30" s="268">
        <f>'Bridge&amp;Test Year Class Forecast'!M80</f>
        <v>1614.8803877717298</v>
      </c>
      <c r="I30" s="268">
        <f>'Bridge&amp;Test Year Class Forecast'!M81</f>
        <v>1570.5383907988682</v>
      </c>
    </row>
    <row r="31" spans="2:9" ht="13" x14ac:dyDescent="0.3">
      <c r="B31" s="228" t="str">
        <f>'Input - Customer Data'!A91</f>
        <v xml:space="preserve"> Connections</v>
      </c>
      <c r="C31" s="356">
        <v>695</v>
      </c>
      <c r="D31" s="268">
        <f>'Input - Customer Data'!O12</f>
        <v>705.66666666666663</v>
      </c>
      <c r="E31" s="268">
        <f>'Input - Customer Data'!O13</f>
        <v>698.25</v>
      </c>
      <c r="F31" s="268">
        <f>'Input - Customer Data'!O14</f>
        <v>669.41666666666663</v>
      </c>
      <c r="G31" s="268">
        <f>'Input - Customer Data'!O15</f>
        <v>644.66666666666663</v>
      </c>
      <c r="H31" s="268">
        <f>'Input - Customer Data'!O24</f>
        <v>626.96516530576287</v>
      </c>
      <c r="I31" s="268">
        <f>'Input - Customer Data'!O25</f>
        <v>609.74971846982817</v>
      </c>
    </row>
    <row r="32" spans="2:9" ht="13" x14ac:dyDescent="0.3">
      <c r="B32" s="228" t="s">
        <v>57</v>
      </c>
      <c r="C32" s="356"/>
      <c r="D32" s="356"/>
      <c r="E32" s="268"/>
      <c r="F32" s="268"/>
      <c r="G32" s="268"/>
      <c r="H32" s="268"/>
      <c r="I32" s="268"/>
    </row>
    <row r="33" spans="2:9" ht="13" x14ac:dyDescent="0.3">
      <c r="B33" s="228" t="str">
        <f>'Input - Customer Data'!A93</f>
        <v>USL</v>
      </c>
      <c r="C33" s="159"/>
      <c r="D33" s="159"/>
      <c r="E33" s="268"/>
      <c r="F33" s="268"/>
      <c r="G33" s="268"/>
      <c r="H33" s="268"/>
      <c r="I33" s="159"/>
    </row>
    <row r="34" spans="2:9" ht="13" x14ac:dyDescent="0.3">
      <c r="B34" s="228" t="s">
        <v>216</v>
      </c>
      <c r="C34" s="412">
        <v>1462761</v>
      </c>
      <c r="D34" s="268">
        <f>'Bridge&amp;Test Year Class Forecast'!L97</f>
        <v>1308270.2299999995</v>
      </c>
      <c r="E34" s="268">
        <f>'Bridge&amp;Test Year Class Forecast'!L98</f>
        <v>1307305.7299999995</v>
      </c>
      <c r="F34" s="268">
        <f>'Bridge&amp;Test Year Class Forecast'!L99</f>
        <v>1299487.2900000005</v>
      </c>
      <c r="G34" s="268">
        <f>'Bridge&amp;Test Year Class Forecast'!L100</f>
        <v>1307649.58</v>
      </c>
      <c r="H34" s="268">
        <f>'Bridge&amp;Test Year Class Forecast'!L101</f>
        <v>1300064.6421148987</v>
      </c>
      <c r="I34" s="268">
        <f>'Bridge&amp;Test Year Class Forecast'!L102</f>
        <v>1325394.2094016334</v>
      </c>
    </row>
    <row r="35" spans="2:9" ht="13" x14ac:dyDescent="0.3">
      <c r="B35" s="228" t="str">
        <f>'Input - Customer Data'!A95</f>
        <v xml:space="preserve"> kW</v>
      </c>
      <c r="C35" s="228"/>
      <c r="D35" s="228"/>
      <c r="E35" s="269"/>
      <c r="F35" s="269"/>
      <c r="G35" s="269"/>
      <c r="H35" s="269"/>
      <c r="I35" s="269"/>
    </row>
    <row r="36" spans="2:9" ht="13" x14ac:dyDescent="0.3">
      <c r="B36" s="228" t="str">
        <f>'Input - Customer Data'!A96</f>
        <v xml:space="preserve"> Cust Count</v>
      </c>
      <c r="C36" s="228">
        <v>35</v>
      </c>
      <c r="D36" s="268">
        <f>'Input - Customer Data'!Q12</f>
        <v>49.25</v>
      </c>
      <c r="E36" s="268">
        <f>'Input - Customer Data'!Q13</f>
        <v>48.083333333333336</v>
      </c>
      <c r="F36" s="268">
        <f>'Input - Customer Data'!Q14</f>
        <v>47.166666666666664</v>
      </c>
      <c r="G36" s="268">
        <f>'Input - Customer Data'!Q15</f>
        <v>46</v>
      </c>
      <c r="H36" s="268">
        <f>'Input - Customer Data'!Q24</f>
        <v>46.896232431407682</v>
      </c>
      <c r="I36" s="268">
        <f>'Input - Customer Data'!Q25</f>
        <v>47.809926440448123</v>
      </c>
    </row>
    <row r="37" spans="2:9" ht="13" x14ac:dyDescent="0.3">
      <c r="B37" s="228"/>
      <c r="C37" s="228"/>
      <c r="D37" s="228"/>
      <c r="E37" s="269"/>
      <c r="F37" s="269"/>
      <c r="G37" s="269"/>
      <c r="H37" s="269"/>
      <c r="I37" s="269"/>
    </row>
    <row r="38" spans="2:9" ht="13" x14ac:dyDescent="0.3">
      <c r="B38" s="481" t="s">
        <v>222</v>
      </c>
      <c r="C38" s="159"/>
      <c r="D38" s="482">
        <v>62186.419000000002</v>
      </c>
      <c r="E38" s="482">
        <v>67752.883000000002</v>
      </c>
      <c r="F38" s="482">
        <v>79649.066000000006</v>
      </c>
      <c r="G38" s="482">
        <v>83061.953999999998</v>
      </c>
      <c r="H38" s="482">
        <v>75171.740000000005</v>
      </c>
      <c r="I38" s="482">
        <v>75171.740000000005</v>
      </c>
    </row>
    <row r="39" spans="2:9" ht="13" x14ac:dyDescent="0.3">
      <c r="B39" s="228"/>
      <c r="C39" s="159"/>
      <c r="D39" s="159"/>
      <c r="E39" s="159"/>
      <c r="F39" s="159"/>
      <c r="G39" s="159"/>
      <c r="H39" s="159"/>
      <c r="I39" s="159"/>
    </row>
    <row r="40" spans="2:9" ht="15.75" customHeight="1" x14ac:dyDescent="0.3">
      <c r="B40" s="228" t="str">
        <f>'Input - Customer Data'!A100</f>
        <v>Total</v>
      </c>
      <c r="C40" s="159"/>
      <c r="D40" s="159"/>
      <c r="E40" s="159"/>
      <c r="F40" s="159"/>
      <c r="G40" s="159"/>
      <c r="H40" s="159"/>
      <c r="I40" s="159"/>
    </row>
    <row r="41" spans="2:9" ht="13" x14ac:dyDescent="0.3">
      <c r="B41" s="228" t="s">
        <v>216</v>
      </c>
      <c r="C41" s="411">
        <f t="shared" ref="C41:I41" si="0">C6+C10+C14+C19+C24+C29+C34</f>
        <v>471118042</v>
      </c>
      <c r="D41" s="411">
        <f t="shared" ref="D41" si="1">D6+D10+D14+D19+D24+D29+D34</f>
        <v>452855631.55401641</v>
      </c>
      <c r="E41" s="411">
        <f t="shared" si="0"/>
        <v>476728646.84218109</v>
      </c>
      <c r="F41" s="411">
        <f t="shared" si="0"/>
        <v>468249334.9676857</v>
      </c>
      <c r="G41" s="411">
        <f t="shared" si="0"/>
        <v>461702770.75759435</v>
      </c>
      <c r="H41" s="411">
        <f t="shared" si="0"/>
        <v>468343081.25849724</v>
      </c>
      <c r="I41" s="411">
        <f t="shared" si="0"/>
        <v>473691573.6023733</v>
      </c>
    </row>
    <row r="42" spans="2:9" ht="13" x14ac:dyDescent="0.3">
      <c r="B42" s="228" t="str">
        <f>'Input - Customer Data'!A102</f>
        <v xml:space="preserve"> kW</v>
      </c>
      <c r="C42" s="411">
        <f>C15+C20+C25+C30+C35+C38</f>
        <v>635144</v>
      </c>
      <c r="D42" s="411">
        <f t="shared" ref="D42:I42" si="2">D15+D20+D25+D30+D35+D38</f>
        <v>669306.61899999995</v>
      </c>
      <c r="E42" s="411">
        <f t="shared" si="2"/>
        <v>667739.27300000016</v>
      </c>
      <c r="F42" s="411">
        <f t="shared" si="2"/>
        <v>653032.46599999967</v>
      </c>
      <c r="G42" s="411">
        <f t="shared" si="2"/>
        <v>630956.74400000018</v>
      </c>
      <c r="H42" s="411">
        <f t="shared" si="2"/>
        <v>662245.90656893537</v>
      </c>
      <c r="I42" s="411">
        <f t="shared" si="2"/>
        <v>671519.82012044522</v>
      </c>
    </row>
    <row r="43" spans="2:9" ht="13" x14ac:dyDescent="0.3">
      <c r="B43" s="228" t="str">
        <f>'Input - Customer Data'!A103</f>
        <v xml:space="preserve"> Cust Count (Excl SL, Sent, USL)</v>
      </c>
      <c r="C43" s="411">
        <f t="shared" ref="C43:I43" si="3">C7+C11+C16+C21</f>
        <v>28781</v>
      </c>
      <c r="D43" s="411">
        <f t="shared" ref="D43" si="4">D7+D11+D16+D21</f>
        <v>28934.083333333336</v>
      </c>
      <c r="E43" s="411">
        <f t="shared" si="3"/>
        <v>29154.25</v>
      </c>
      <c r="F43" s="411">
        <f t="shared" si="3"/>
        <v>29334</v>
      </c>
      <c r="G43" s="411">
        <f t="shared" si="3"/>
        <v>29623.416666666668</v>
      </c>
      <c r="H43" s="411">
        <f t="shared" si="3"/>
        <v>29834.221941288994</v>
      </c>
      <c r="I43" s="411">
        <f t="shared" si="3"/>
        <v>30046.617870010134</v>
      </c>
    </row>
    <row r="44" spans="2:9" ht="13" x14ac:dyDescent="0.3">
      <c r="B44" s="228" t="str">
        <f>'Input - Customer Data'!A104</f>
        <v xml:space="preserve"> Connection Count</v>
      </c>
      <c r="C44" s="411">
        <f t="shared" ref="C44:I44" si="5">C26+C31+C36</f>
        <v>6443</v>
      </c>
      <c r="D44" s="411">
        <f t="shared" ref="D44" si="6">D26+D31+D36</f>
        <v>6497.8333333333339</v>
      </c>
      <c r="E44" s="411">
        <f t="shared" si="5"/>
        <v>6520.75</v>
      </c>
      <c r="F44" s="411">
        <f t="shared" si="5"/>
        <v>6595.2500000000009</v>
      </c>
      <c r="G44" s="411">
        <f t="shared" si="5"/>
        <v>6687.8333333333339</v>
      </c>
      <c r="H44" s="411">
        <f t="shared" si="5"/>
        <v>6704.2443745027731</v>
      </c>
      <c r="I44" s="411">
        <f t="shared" si="5"/>
        <v>6721.3429058608981</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zoomScaleNormal="100" workbookViewId="0">
      <selection activeCell="D5" sqref="D5"/>
    </sheetView>
  </sheetViews>
  <sheetFormatPr defaultColWidth="9.296875" defaultRowHeight="13" x14ac:dyDescent="0.3"/>
  <cols>
    <col min="1" max="1" width="28.296875" style="146" bestFit="1" customWidth="1"/>
    <col min="2" max="2" width="18" style="414" customWidth="1"/>
    <col min="3" max="3" width="16.5" style="419" customWidth="1"/>
    <col min="4" max="7" width="16.5" style="219" customWidth="1"/>
    <col min="8" max="8" width="18" style="414" customWidth="1"/>
    <col min="9" max="9" width="22.296875" style="150" customWidth="1"/>
    <col min="10" max="29" width="17" style="145" customWidth="1"/>
    <col min="30" max="30" width="10" style="144" bestFit="1" customWidth="1"/>
    <col min="31" max="31" width="9.296875" style="144"/>
    <col min="32" max="47" width="8.796875" customWidth="1"/>
    <col min="48" max="16384" width="9.296875" style="144"/>
  </cols>
  <sheetData>
    <row r="2" spans="1:47" ht="13.5" thickBot="1" x14ac:dyDescent="0.35"/>
    <row r="3" spans="1:47" ht="22.5" customHeight="1" x14ac:dyDescent="0.3">
      <c r="A3" s="488" t="s">
        <v>111</v>
      </c>
      <c r="B3" s="489"/>
      <c r="C3" s="489"/>
      <c r="D3" s="489"/>
      <c r="E3" s="489"/>
      <c r="F3" s="489"/>
      <c r="G3" s="489"/>
      <c r="H3" s="490"/>
      <c r="I3" s="207"/>
      <c r="J3" s="488" t="s">
        <v>91</v>
      </c>
      <c r="K3" s="489"/>
      <c r="L3" s="489"/>
      <c r="M3" s="489"/>
      <c r="N3" s="489"/>
      <c r="O3" s="489"/>
      <c r="P3" s="489"/>
      <c r="Q3" s="489"/>
      <c r="R3" s="489"/>
      <c r="S3" s="489"/>
      <c r="T3" s="489"/>
      <c r="U3" s="489"/>
      <c r="V3" s="489"/>
      <c r="W3" s="489"/>
      <c r="X3" s="489"/>
      <c r="Y3" s="490"/>
      <c r="Z3" s="387"/>
      <c r="AA3" s="387"/>
      <c r="AB3" s="387"/>
      <c r="AC3" s="387"/>
    </row>
    <row r="4" spans="1:47" ht="31.5" x14ac:dyDescent="0.3">
      <c r="A4" s="208"/>
      <c r="B4" s="415" t="s">
        <v>90</v>
      </c>
      <c r="C4" s="420" t="s">
        <v>188</v>
      </c>
      <c r="D4" s="420" t="s">
        <v>188</v>
      </c>
      <c r="E4" s="420" t="s">
        <v>188</v>
      </c>
      <c r="F4" s="205" t="s">
        <v>189</v>
      </c>
      <c r="G4" s="205" t="s">
        <v>189</v>
      </c>
      <c r="H4" s="415" t="s">
        <v>89</v>
      </c>
      <c r="I4" s="204"/>
      <c r="J4" s="205" t="s">
        <v>48</v>
      </c>
      <c r="K4" s="205" t="s">
        <v>49</v>
      </c>
      <c r="L4" s="205" t="s">
        <v>190</v>
      </c>
      <c r="M4" s="205"/>
      <c r="N4" s="205" t="s">
        <v>139</v>
      </c>
      <c r="O4" s="205" t="s">
        <v>169</v>
      </c>
      <c r="P4" s="205" t="s">
        <v>170</v>
      </c>
      <c r="Q4" s="205" t="s">
        <v>171</v>
      </c>
      <c r="R4" s="205" t="s">
        <v>172</v>
      </c>
      <c r="S4" s="205" t="s">
        <v>173</v>
      </c>
      <c r="T4" s="205" t="s">
        <v>174</v>
      </c>
      <c r="U4" s="205" t="s">
        <v>175</v>
      </c>
      <c r="V4" s="205" t="s">
        <v>176</v>
      </c>
      <c r="W4" s="205" t="s">
        <v>177</v>
      </c>
      <c r="X4" s="205" t="s">
        <v>178</v>
      </c>
      <c r="Y4" s="205" t="s">
        <v>179</v>
      </c>
      <c r="Z4" s="205" t="s">
        <v>168</v>
      </c>
      <c r="AA4" s="205" t="s">
        <v>187</v>
      </c>
      <c r="AB4" s="205" t="s">
        <v>185</v>
      </c>
      <c r="AC4" s="205" t="s">
        <v>186</v>
      </c>
    </row>
    <row r="5" spans="1:47" s="440" customFormat="1" x14ac:dyDescent="0.3">
      <c r="A5" s="209">
        <v>40544</v>
      </c>
      <c r="B5" s="416">
        <v>52646061.059999987</v>
      </c>
      <c r="C5" s="421">
        <v>589</v>
      </c>
      <c r="D5" s="476">
        <f>L5</f>
        <v>598792.7894369252</v>
      </c>
      <c r="E5" s="300"/>
      <c r="F5" s="300">
        <v>2441151.42</v>
      </c>
      <c r="G5" s="300"/>
      <c r="H5" s="416">
        <f t="shared" ref="H5:H57" si="0">B5+SUM(C5:E5)-SUM(F5:G5)</f>
        <v>50804291.429436907</v>
      </c>
      <c r="I5" s="158"/>
      <c r="J5" s="301">
        <v>794.6</v>
      </c>
      <c r="K5" s="301">
        <v>0</v>
      </c>
      <c r="L5" s="301">
        <v>598792.7894369252</v>
      </c>
      <c r="M5" s="294"/>
      <c r="N5" s="294">
        <v>31</v>
      </c>
      <c r="O5" s="301">
        <v>0</v>
      </c>
      <c r="P5" s="301">
        <v>131.4</v>
      </c>
      <c r="Q5" s="301">
        <v>5.5</v>
      </c>
      <c r="R5" s="301">
        <v>61.3</v>
      </c>
      <c r="S5" s="301">
        <v>58</v>
      </c>
      <c r="T5" s="301">
        <v>76.2</v>
      </c>
      <c r="U5" s="301">
        <v>336.4</v>
      </c>
      <c r="V5" s="301">
        <v>9.6999999999999993</v>
      </c>
      <c r="W5" s="301">
        <v>63</v>
      </c>
      <c r="X5" s="301">
        <v>56.9</v>
      </c>
      <c r="Y5" s="301">
        <v>191.3</v>
      </c>
      <c r="Z5" s="301">
        <v>28443</v>
      </c>
      <c r="AA5" s="301">
        <v>117.8</v>
      </c>
      <c r="AB5" s="301">
        <v>147.5</v>
      </c>
      <c r="AC5" s="301">
        <v>117.5</v>
      </c>
      <c r="AF5"/>
      <c r="AG5"/>
      <c r="AH5"/>
      <c r="AI5"/>
      <c r="AJ5"/>
      <c r="AK5"/>
      <c r="AL5"/>
      <c r="AM5"/>
      <c r="AN5"/>
      <c r="AO5"/>
      <c r="AP5"/>
      <c r="AQ5"/>
      <c r="AR5"/>
      <c r="AS5"/>
      <c r="AT5"/>
      <c r="AU5"/>
    </row>
    <row r="6" spans="1:47" s="440" customFormat="1" x14ac:dyDescent="0.3">
      <c r="A6" s="209">
        <v>40575</v>
      </c>
      <c r="B6" s="416">
        <v>47886036.089999989</v>
      </c>
      <c r="C6" s="421">
        <v>1257</v>
      </c>
      <c r="D6" s="476">
        <f t="shared" ref="D6:D69" si="1">L6</f>
        <v>598931.6369771919</v>
      </c>
      <c r="E6" s="300"/>
      <c r="F6" s="300">
        <v>2704319.6900000009</v>
      </c>
      <c r="G6" s="300"/>
      <c r="H6" s="416">
        <f t="shared" si="0"/>
        <v>45781905.036977179</v>
      </c>
      <c r="I6" s="158"/>
      <c r="J6" s="301">
        <v>645.29999999999995</v>
      </c>
      <c r="K6" s="301">
        <v>0</v>
      </c>
      <c r="L6" s="301">
        <v>598931.6369771919</v>
      </c>
      <c r="M6" s="294"/>
      <c r="N6" s="294">
        <v>28</v>
      </c>
      <c r="O6" s="301">
        <v>0</v>
      </c>
      <c r="P6" s="301">
        <v>131.5</v>
      </c>
      <c r="Q6" s="301">
        <v>5.8</v>
      </c>
      <c r="R6" s="301">
        <v>61.5</v>
      </c>
      <c r="S6" s="301">
        <v>57.9</v>
      </c>
      <c r="T6" s="301">
        <v>76.2</v>
      </c>
      <c r="U6" s="301">
        <v>336.4</v>
      </c>
      <c r="V6" s="301">
        <v>10.1</v>
      </c>
      <c r="W6" s="301">
        <v>62.8</v>
      </c>
      <c r="X6" s="301">
        <v>56.4</v>
      </c>
      <c r="Y6" s="301">
        <v>189.7</v>
      </c>
      <c r="Z6" s="301">
        <v>28447</v>
      </c>
      <c r="AA6" s="301">
        <v>118</v>
      </c>
      <c r="AB6" s="301">
        <v>145</v>
      </c>
      <c r="AC6" s="301">
        <v>117.9</v>
      </c>
      <c r="AE6" s="441"/>
      <c r="AF6"/>
      <c r="AG6"/>
      <c r="AH6"/>
      <c r="AI6"/>
      <c r="AJ6"/>
      <c r="AK6"/>
      <c r="AL6"/>
      <c r="AM6"/>
      <c r="AN6"/>
      <c r="AO6"/>
      <c r="AP6"/>
      <c r="AQ6"/>
      <c r="AR6"/>
      <c r="AS6"/>
      <c r="AT6"/>
      <c r="AU6"/>
    </row>
    <row r="7" spans="1:47" s="440" customFormat="1" x14ac:dyDescent="0.3">
      <c r="A7" s="209">
        <v>40603</v>
      </c>
      <c r="B7" s="416">
        <v>50044994.409999982</v>
      </c>
      <c r="C7" s="421">
        <v>5577</v>
      </c>
      <c r="D7" s="476">
        <f t="shared" si="1"/>
        <v>599070.48451745859</v>
      </c>
      <c r="E7" s="300"/>
      <c r="F7" s="300">
        <v>3125361.2200000007</v>
      </c>
      <c r="G7" s="300"/>
      <c r="H7" s="416">
        <f t="shared" si="0"/>
        <v>47524280.674517438</v>
      </c>
      <c r="I7" s="158"/>
      <c r="J7" s="301">
        <v>568.6</v>
      </c>
      <c r="K7" s="301">
        <v>0</v>
      </c>
      <c r="L7" s="301">
        <v>599070.48451745859</v>
      </c>
      <c r="M7" s="294"/>
      <c r="N7" s="294">
        <v>31</v>
      </c>
      <c r="O7" s="301">
        <v>1</v>
      </c>
      <c r="P7" s="301">
        <v>131.69999999999999</v>
      </c>
      <c r="Q7" s="301">
        <v>6.4</v>
      </c>
      <c r="R7" s="301">
        <v>61.6</v>
      </c>
      <c r="S7" s="301">
        <v>57.6</v>
      </c>
      <c r="T7" s="301">
        <v>75.900000000000006</v>
      </c>
      <c r="U7" s="301">
        <v>336.4</v>
      </c>
      <c r="V7" s="301">
        <v>10.3</v>
      </c>
      <c r="W7" s="301">
        <v>62.9</v>
      </c>
      <c r="X7" s="301">
        <v>56.4</v>
      </c>
      <c r="Y7" s="301">
        <v>189.7</v>
      </c>
      <c r="Z7" s="301">
        <v>28437</v>
      </c>
      <c r="AA7" s="301">
        <v>119.4</v>
      </c>
      <c r="AB7" s="301">
        <v>150.9</v>
      </c>
      <c r="AC7" s="301">
        <v>119.4</v>
      </c>
      <c r="AF7"/>
      <c r="AG7"/>
      <c r="AH7"/>
      <c r="AI7"/>
      <c r="AJ7"/>
      <c r="AK7"/>
      <c r="AL7"/>
      <c r="AM7"/>
      <c r="AN7"/>
      <c r="AO7"/>
      <c r="AP7"/>
      <c r="AQ7"/>
      <c r="AR7"/>
      <c r="AS7"/>
      <c r="AT7"/>
      <c r="AU7"/>
    </row>
    <row r="8" spans="1:47" s="440" customFormat="1" x14ac:dyDescent="0.3">
      <c r="A8" s="209">
        <v>40634</v>
      </c>
      <c r="B8" s="416">
        <v>43929197.81000001</v>
      </c>
      <c r="C8" s="421">
        <v>3152</v>
      </c>
      <c r="D8" s="476">
        <f t="shared" si="1"/>
        <v>599209.33205772529</v>
      </c>
      <c r="E8" s="300"/>
      <c r="F8" s="300">
        <v>3321191.3899999997</v>
      </c>
      <c r="G8" s="300"/>
      <c r="H8" s="416">
        <f t="shared" si="0"/>
        <v>41210367.752057731</v>
      </c>
      <c r="I8" s="158"/>
      <c r="J8" s="301">
        <v>324.89999999999998</v>
      </c>
      <c r="K8" s="301">
        <v>0.4</v>
      </c>
      <c r="L8" s="301">
        <v>599209.33205772529</v>
      </c>
      <c r="M8" s="294"/>
      <c r="N8" s="294">
        <v>30</v>
      </c>
      <c r="O8" s="301">
        <v>1</v>
      </c>
      <c r="P8" s="301">
        <v>131.80000000000001</v>
      </c>
      <c r="Q8" s="301">
        <v>6.6</v>
      </c>
      <c r="R8" s="301">
        <v>63.1</v>
      </c>
      <c r="S8" s="301">
        <v>59</v>
      </c>
      <c r="T8" s="301">
        <v>77.7</v>
      </c>
      <c r="U8" s="301">
        <v>336.5</v>
      </c>
      <c r="V8" s="301">
        <v>9.6999999999999993</v>
      </c>
      <c r="W8" s="301">
        <v>62.8</v>
      </c>
      <c r="X8" s="301">
        <v>56.7</v>
      </c>
      <c r="Y8" s="301">
        <v>190.7</v>
      </c>
      <c r="Z8" s="301">
        <v>28398</v>
      </c>
      <c r="AA8" s="301">
        <v>119.9</v>
      </c>
      <c r="AB8" s="301">
        <v>158.19999999999999</v>
      </c>
      <c r="AC8" s="301">
        <v>119.8</v>
      </c>
      <c r="AF8"/>
      <c r="AG8"/>
      <c r="AH8"/>
      <c r="AI8"/>
      <c r="AJ8"/>
      <c r="AK8"/>
      <c r="AL8"/>
      <c r="AM8"/>
      <c r="AN8"/>
      <c r="AO8"/>
      <c r="AP8"/>
      <c r="AQ8"/>
      <c r="AR8"/>
      <c r="AS8"/>
      <c r="AT8"/>
      <c r="AU8"/>
    </row>
    <row r="9" spans="1:47" s="440" customFormat="1" x14ac:dyDescent="0.3">
      <c r="A9" s="209">
        <v>40664</v>
      </c>
      <c r="B9" s="416">
        <v>43129960.770000003</v>
      </c>
      <c r="C9" s="472">
        <v>11470</v>
      </c>
      <c r="D9" s="476">
        <f t="shared" si="1"/>
        <v>599348.17959799198</v>
      </c>
      <c r="E9" s="300"/>
      <c r="F9" s="300">
        <v>3099187.8399999989</v>
      </c>
      <c r="G9" s="300"/>
      <c r="H9" s="416">
        <f t="shared" si="0"/>
        <v>40641591.109597996</v>
      </c>
      <c r="I9" s="158"/>
      <c r="J9" s="301">
        <v>136</v>
      </c>
      <c r="K9" s="301">
        <v>12.5</v>
      </c>
      <c r="L9" s="301">
        <v>599348.17959799198</v>
      </c>
      <c r="M9" s="294"/>
      <c r="N9" s="294">
        <v>31</v>
      </c>
      <c r="O9" s="301">
        <v>1</v>
      </c>
      <c r="P9" s="301">
        <v>132</v>
      </c>
      <c r="Q9" s="301">
        <v>7</v>
      </c>
      <c r="R9" s="301">
        <v>64.2</v>
      </c>
      <c r="S9" s="301">
        <v>59.7</v>
      </c>
      <c r="T9" s="301">
        <v>78.8</v>
      </c>
      <c r="U9" s="301">
        <v>336.5</v>
      </c>
      <c r="V9" s="301">
        <v>9.1</v>
      </c>
      <c r="W9" s="301">
        <v>63.2</v>
      </c>
      <c r="X9" s="301">
        <v>57.4</v>
      </c>
      <c r="Y9" s="301">
        <v>193.3</v>
      </c>
      <c r="Z9" s="301">
        <v>28386</v>
      </c>
      <c r="AA9" s="301">
        <v>120.9</v>
      </c>
      <c r="AB9" s="301">
        <v>162.19999999999999</v>
      </c>
      <c r="AC9" s="301">
        <v>120.8</v>
      </c>
      <c r="AF9"/>
      <c r="AG9"/>
      <c r="AH9"/>
      <c r="AI9"/>
      <c r="AJ9"/>
      <c r="AK9"/>
      <c r="AL9"/>
      <c r="AM9"/>
      <c r="AN9"/>
      <c r="AO9"/>
      <c r="AP9"/>
      <c r="AQ9"/>
      <c r="AR9"/>
      <c r="AS9"/>
      <c r="AT9"/>
      <c r="AU9"/>
    </row>
    <row r="10" spans="1:47" s="440" customFormat="1" x14ac:dyDescent="0.3">
      <c r="A10" s="209">
        <v>40695</v>
      </c>
      <c r="B10" s="416">
        <v>45531832.089999981</v>
      </c>
      <c r="C10" s="472">
        <v>5607</v>
      </c>
      <c r="D10" s="476">
        <f t="shared" si="1"/>
        <v>599487.02713825868</v>
      </c>
      <c r="E10" s="300"/>
      <c r="F10" s="300">
        <v>3190370.7100000004</v>
      </c>
      <c r="G10" s="300"/>
      <c r="H10" s="416">
        <f t="shared" si="0"/>
        <v>42946555.407138236</v>
      </c>
      <c r="I10" s="158"/>
      <c r="J10" s="301">
        <v>22.7</v>
      </c>
      <c r="K10" s="301">
        <v>40.200000000000003</v>
      </c>
      <c r="L10" s="301">
        <v>599487.02713825868</v>
      </c>
      <c r="M10" s="294"/>
      <c r="N10" s="294">
        <v>30</v>
      </c>
      <c r="O10" s="301">
        <v>0</v>
      </c>
      <c r="P10" s="301">
        <v>132.19999999999999</v>
      </c>
      <c r="Q10" s="301">
        <v>7.1</v>
      </c>
      <c r="R10" s="301">
        <v>66</v>
      </c>
      <c r="S10" s="301">
        <v>61.3</v>
      </c>
      <c r="T10" s="301">
        <v>81</v>
      </c>
      <c r="U10" s="301">
        <v>336.6</v>
      </c>
      <c r="V10" s="301">
        <v>8.1</v>
      </c>
      <c r="W10" s="301">
        <v>63.8</v>
      </c>
      <c r="X10" s="301">
        <v>58.6</v>
      </c>
      <c r="Y10" s="301">
        <v>197.3</v>
      </c>
      <c r="Z10" s="301">
        <v>28410</v>
      </c>
      <c r="AA10" s="301">
        <v>120.2</v>
      </c>
      <c r="AB10" s="301">
        <v>159</v>
      </c>
      <c r="AC10" s="301">
        <v>120.2</v>
      </c>
      <c r="AF10"/>
      <c r="AG10"/>
      <c r="AH10"/>
      <c r="AI10"/>
      <c r="AJ10"/>
      <c r="AK10"/>
      <c r="AL10"/>
      <c r="AM10"/>
      <c r="AN10"/>
      <c r="AO10"/>
      <c r="AP10"/>
      <c r="AQ10"/>
      <c r="AR10"/>
      <c r="AS10"/>
      <c r="AT10"/>
      <c r="AU10"/>
    </row>
    <row r="11" spans="1:47" s="440" customFormat="1" x14ac:dyDescent="0.3">
      <c r="A11" s="209">
        <v>40725</v>
      </c>
      <c r="B11" s="416">
        <v>56530774.029999986</v>
      </c>
      <c r="C11" s="472">
        <v>11349</v>
      </c>
      <c r="D11" s="476">
        <f t="shared" si="1"/>
        <v>599625.87467852538</v>
      </c>
      <c r="E11" s="300"/>
      <c r="F11" s="300">
        <v>4009900.3600000003</v>
      </c>
      <c r="G11" s="300"/>
      <c r="H11" s="416">
        <f t="shared" si="0"/>
        <v>53131848.544678509</v>
      </c>
      <c r="I11" s="158"/>
      <c r="J11" s="301">
        <v>0.2</v>
      </c>
      <c r="K11" s="301">
        <v>158.6</v>
      </c>
      <c r="L11" s="301">
        <v>599625.87467852538</v>
      </c>
      <c r="M11" s="294"/>
      <c r="N11" s="294">
        <v>31</v>
      </c>
      <c r="O11" s="301">
        <v>0</v>
      </c>
      <c r="P11" s="301">
        <v>132.5</v>
      </c>
      <c r="Q11" s="301">
        <v>7.8</v>
      </c>
      <c r="R11" s="301">
        <v>66.400000000000006</v>
      </c>
      <c r="S11" s="301">
        <v>61.3</v>
      </c>
      <c r="T11" s="301">
        <v>81.2</v>
      </c>
      <c r="U11" s="301">
        <v>336.8</v>
      </c>
      <c r="V11" s="301">
        <v>7.7</v>
      </c>
      <c r="W11" s="301">
        <v>64.400000000000006</v>
      </c>
      <c r="X11" s="301">
        <v>59.4</v>
      </c>
      <c r="Y11" s="301">
        <v>200.1</v>
      </c>
      <c r="Z11" s="301">
        <v>28362</v>
      </c>
      <c r="AA11" s="301">
        <v>120.5</v>
      </c>
      <c r="AB11" s="301">
        <v>159.69999999999999</v>
      </c>
      <c r="AC11" s="301">
        <v>120.4</v>
      </c>
      <c r="AF11"/>
      <c r="AG11"/>
      <c r="AH11"/>
      <c r="AI11"/>
      <c r="AJ11"/>
      <c r="AK11"/>
      <c r="AL11"/>
      <c r="AM11"/>
      <c r="AN11"/>
      <c r="AO11"/>
      <c r="AP11"/>
      <c r="AQ11"/>
      <c r="AR11"/>
      <c r="AS11"/>
      <c r="AT11"/>
      <c r="AU11"/>
    </row>
    <row r="12" spans="1:47" s="440" customFormat="1" x14ac:dyDescent="0.3">
      <c r="A12" s="209">
        <v>40756</v>
      </c>
      <c r="B12" s="416">
        <v>53168646.089999974</v>
      </c>
      <c r="C12" s="472">
        <v>11841</v>
      </c>
      <c r="D12" s="476">
        <f t="shared" si="1"/>
        <v>599764.72221879207</v>
      </c>
      <c r="E12" s="300"/>
      <c r="F12" s="300">
        <v>3729678.1199999996</v>
      </c>
      <c r="G12" s="300"/>
      <c r="H12" s="416">
        <f t="shared" si="0"/>
        <v>50050573.692218766</v>
      </c>
      <c r="I12" s="158"/>
      <c r="J12" s="301">
        <v>4.0999999999999996</v>
      </c>
      <c r="K12" s="301">
        <v>88.8</v>
      </c>
      <c r="L12" s="301">
        <v>599764.72221879207</v>
      </c>
      <c r="M12" s="294"/>
      <c r="N12" s="294">
        <v>31</v>
      </c>
      <c r="O12" s="301">
        <v>0</v>
      </c>
      <c r="P12" s="301">
        <v>132.69999999999999</v>
      </c>
      <c r="Q12" s="301">
        <v>8</v>
      </c>
      <c r="R12" s="301">
        <v>67.099999999999994</v>
      </c>
      <c r="S12" s="301">
        <v>61.8</v>
      </c>
      <c r="T12" s="301">
        <v>82</v>
      </c>
      <c r="U12" s="301">
        <v>337</v>
      </c>
      <c r="V12" s="301">
        <v>7.7</v>
      </c>
      <c r="W12" s="301">
        <v>64.900000000000006</v>
      </c>
      <c r="X12" s="301">
        <v>59.9</v>
      </c>
      <c r="Y12" s="301">
        <v>201.8</v>
      </c>
      <c r="Z12" s="301">
        <v>28364</v>
      </c>
      <c r="AA12" s="301">
        <v>120.6</v>
      </c>
      <c r="AB12" s="301">
        <v>158.5</v>
      </c>
      <c r="AC12" s="301">
        <v>120.5</v>
      </c>
      <c r="AF12"/>
      <c r="AG12"/>
      <c r="AH12"/>
      <c r="AI12"/>
      <c r="AJ12"/>
      <c r="AK12"/>
      <c r="AL12"/>
      <c r="AM12"/>
      <c r="AN12"/>
      <c r="AO12"/>
      <c r="AP12"/>
      <c r="AQ12"/>
      <c r="AR12"/>
      <c r="AS12"/>
      <c r="AT12"/>
      <c r="AU12"/>
    </row>
    <row r="13" spans="1:47" s="440" customFormat="1" x14ac:dyDescent="0.3">
      <c r="A13" s="209">
        <v>40787</v>
      </c>
      <c r="B13" s="416">
        <v>45998198.719999947</v>
      </c>
      <c r="C13" s="472">
        <v>7247</v>
      </c>
      <c r="D13" s="476">
        <f t="shared" si="1"/>
        <v>599903.56975905877</v>
      </c>
      <c r="E13" s="300"/>
      <c r="F13" s="300">
        <v>4082493.1</v>
      </c>
      <c r="G13" s="300"/>
      <c r="H13" s="416">
        <f t="shared" si="0"/>
        <v>42522856.189759001</v>
      </c>
      <c r="I13" s="158"/>
      <c r="J13" s="301">
        <v>55.5</v>
      </c>
      <c r="K13" s="301">
        <v>29.5</v>
      </c>
      <c r="L13" s="301">
        <v>599903.56975905877</v>
      </c>
      <c r="M13" s="294"/>
      <c r="N13" s="294">
        <v>30</v>
      </c>
      <c r="O13" s="301">
        <v>1</v>
      </c>
      <c r="P13" s="301">
        <v>132.9</v>
      </c>
      <c r="Q13" s="301">
        <v>7.4</v>
      </c>
      <c r="R13" s="301">
        <v>65.400000000000006</v>
      </c>
      <c r="S13" s="301">
        <v>60.6</v>
      </c>
      <c r="T13" s="301">
        <v>80.5</v>
      </c>
      <c r="U13" s="301">
        <v>337.3</v>
      </c>
      <c r="V13" s="301">
        <v>7.9</v>
      </c>
      <c r="W13" s="301">
        <v>64.900000000000006</v>
      </c>
      <c r="X13" s="301">
        <v>59.8</v>
      </c>
      <c r="Y13" s="301">
        <v>201.6</v>
      </c>
      <c r="Z13" s="301">
        <v>28384</v>
      </c>
      <c r="AA13" s="301">
        <v>121.1</v>
      </c>
      <c r="AB13" s="301">
        <v>156.80000000000001</v>
      </c>
      <c r="AC13" s="301">
        <v>121.2</v>
      </c>
      <c r="AF13"/>
      <c r="AG13"/>
      <c r="AH13"/>
      <c r="AI13"/>
      <c r="AJ13"/>
      <c r="AK13"/>
      <c r="AL13"/>
      <c r="AM13"/>
      <c r="AN13"/>
      <c r="AO13"/>
      <c r="AP13"/>
      <c r="AQ13"/>
      <c r="AR13"/>
      <c r="AS13"/>
      <c r="AT13"/>
      <c r="AU13"/>
    </row>
    <row r="14" spans="1:47" s="440" customFormat="1" x14ac:dyDescent="0.3">
      <c r="A14" s="209">
        <v>40817</v>
      </c>
      <c r="B14" s="416">
        <v>43453458.649999976</v>
      </c>
      <c r="C14" s="472">
        <v>18121</v>
      </c>
      <c r="D14" s="476">
        <f t="shared" si="1"/>
        <v>600042.41729932546</v>
      </c>
      <c r="E14" s="300"/>
      <c r="F14" s="300">
        <v>2982129.65</v>
      </c>
      <c r="G14" s="300"/>
      <c r="H14" s="416">
        <f t="shared" si="0"/>
        <v>41089492.4172993</v>
      </c>
      <c r="I14" s="158"/>
      <c r="J14" s="301">
        <v>238.8</v>
      </c>
      <c r="K14" s="301">
        <v>0</v>
      </c>
      <c r="L14" s="301">
        <v>600042.41729932546</v>
      </c>
      <c r="M14" s="294"/>
      <c r="N14" s="294">
        <v>31</v>
      </c>
      <c r="O14" s="301">
        <v>1</v>
      </c>
      <c r="P14" s="301">
        <v>133</v>
      </c>
      <c r="Q14" s="301">
        <v>6.6</v>
      </c>
      <c r="R14" s="301">
        <v>64.2</v>
      </c>
      <c r="S14" s="301">
        <v>59.9</v>
      </c>
      <c r="T14" s="301">
        <v>79.7</v>
      </c>
      <c r="U14" s="301">
        <v>337.6</v>
      </c>
      <c r="V14" s="301">
        <v>7.3</v>
      </c>
      <c r="W14" s="301">
        <v>64.099999999999994</v>
      </c>
      <c r="X14" s="301">
        <v>59.4</v>
      </c>
      <c r="Y14" s="301">
        <v>200.6</v>
      </c>
      <c r="Z14" s="301">
        <v>28497</v>
      </c>
      <c r="AA14" s="301">
        <v>121</v>
      </c>
      <c r="AB14" s="301">
        <v>155.69999999999999</v>
      </c>
      <c r="AC14" s="301">
        <v>121.1</v>
      </c>
      <c r="AF14"/>
      <c r="AG14"/>
      <c r="AH14"/>
      <c r="AI14"/>
      <c r="AJ14"/>
      <c r="AK14"/>
      <c r="AL14"/>
      <c r="AM14"/>
      <c r="AN14"/>
      <c r="AO14"/>
      <c r="AP14"/>
      <c r="AQ14"/>
      <c r="AR14"/>
      <c r="AS14"/>
      <c r="AT14"/>
      <c r="AU14"/>
    </row>
    <row r="15" spans="1:47" s="440" customFormat="1" x14ac:dyDescent="0.3">
      <c r="A15" s="209">
        <v>40848</v>
      </c>
      <c r="B15" s="416">
        <v>42419852.18999999</v>
      </c>
      <c r="C15" s="472">
        <v>20038</v>
      </c>
      <c r="D15" s="476">
        <f t="shared" si="1"/>
        <v>600181.26483959216</v>
      </c>
      <c r="E15" s="300"/>
      <c r="F15" s="300">
        <v>1474652.6199999999</v>
      </c>
      <c r="G15" s="300"/>
      <c r="H15" s="416">
        <f t="shared" si="0"/>
        <v>41565418.834839582</v>
      </c>
      <c r="I15" s="158"/>
      <c r="J15" s="301">
        <v>320</v>
      </c>
      <c r="K15" s="301">
        <v>0</v>
      </c>
      <c r="L15" s="301">
        <v>600181.26483959216</v>
      </c>
      <c r="M15" s="294"/>
      <c r="N15" s="294">
        <v>30</v>
      </c>
      <c r="O15" s="301">
        <v>1</v>
      </c>
      <c r="P15" s="301">
        <v>133</v>
      </c>
      <c r="Q15" s="301">
        <v>6.3</v>
      </c>
      <c r="R15" s="301">
        <v>63.2</v>
      </c>
      <c r="S15" s="301">
        <v>59.2</v>
      </c>
      <c r="T15" s="301">
        <v>78.7</v>
      </c>
      <c r="U15" s="301">
        <v>337.8</v>
      </c>
      <c r="V15" s="301">
        <v>6.6</v>
      </c>
      <c r="W15" s="301">
        <v>62.8</v>
      </c>
      <c r="X15" s="301">
        <v>58.7</v>
      </c>
      <c r="Y15" s="301">
        <v>198.2</v>
      </c>
      <c r="Z15" s="301">
        <v>28559</v>
      </c>
      <c r="AA15" s="301">
        <v>121</v>
      </c>
      <c r="AB15" s="301">
        <v>153.69999999999999</v>
      </c>
      <c r="AC15" s="301">
        <v>120.9</v>
      </c>
      <c r="AF15"/>
      <c r="AG15"/>
      <c r="AH15"/>
      <c r="AI15"/>
      <c r="AJ15"/>
      <c r="AK15"/>
      <c r="AL15"/>
      <c r="AM15"/>
      <c r="AN15"/>
      <c r="AO15"/>
      <c r="AP15"/>
      <c r="AQ15"/>
      <c r="AR15"/>
      <c r="AS15"/>
      <c r="AT15"/>
      <c r="AU15"/>
    </row>
    <row r="16" spans="1:47" s="440" customFormat="1" x14ac:dyDescent="0.3">
      <c r="A16" s="209">
        <v>40878</v>
      </c>
      <c r="B16" s="416">
        <v>46217938.279999964</v>
      </c>
      <c r="C16" s="472">
        <v>17249</v>
      </c>
      <c r="D16" s="476">
        <f t="shared" si="1"/>
        <v>600320.11237985885</v>
      </c>
      <c r="E16" s="300"/>
      <c r="F16" s="300">
        <v>1328385.8999999999</v>
      </c>
      <c r="G16" s="300"/>
      <c r="H16" s="416">
        <f t="shared" si="0"/>
        <v>45507121.492379822</v>
      </c>
      <c r="I16" s="158"/>
      <c r="J16" s="301">
        <v>512</v>
      </c>
      <c r="K16" s="301">
        <v>0</v>
      </c>
      <c r="L16" s="301">
        <v>600320.11237985885</v>
      </c>
      <c r="M16" s="294"/>
      <c r="N16" s="294">
        <v>31</v>
      </c>
      <c r="O16" s="301">
        <v>0</v>
      </c>
      <c r="P16" s="301">
        <v>133.19999999999999</v>
      </c>
      <c r="Q16" s="301">
        <v>6.1</v>
      </c>
      <c r="R16" s="301">
        <v>63.7</v>
      </c>
      <c r="S16" s="301">
        <v>59.8</v>
      </c>
      <c r="T16" s="301">
        <v>79.599999999999994</v>
      </c>
      <c r="U16" s="301">
        <v>337.9</v>
      </c>
      <c r="V16" s="301">
        <v>6.7</v>
      </c>
      <c r="W16" s="301">
        <v>62.1</v>
      </c>
      <c r="X16" s="301">
        <v>57.9</v>
      </c>
      <c r="Y16" s="301">
        <v>195.7</v>
      </c>
      <c r="Z16" s="301">
        <v>28539</v>
      </c>
      <c r="AA16" s="301">
        <v>120.3</v>
      </c>
      <c r="AB16" s="301">
        <v>151.4</v>
      </c>
      <c r="AC16" s="301">
        <v>120.2</v>
      </c>
      <c r="AF16"/>
      <c r="AG16"/>
      <c r="AH16"/>
      <c r="AI16"/>
      <c r="AJ16"/>
      <c r="AK16"/>
      <c r="AL16"/>
      <c r="AM16"/>
      <c r="AN16"/>
      <c r="AO16"/>
      <c r="AP16"/>
      <c r="AQ16"/>
      <c r="AR16"/>
      <c r="AS16"/>
      <c r="AT16"/>
      <c r="AU16"/>
    </row>
    <row r="17" spans="1:29" x14ac:dyDescent="0.3">
      <c r="A17" s="209">
        <v>40909</v>
      </c>
      <c r="B17" s="416">
        <v>49830132.730000034</v>
      </c>
      <c r="C17" s="472">
        <v>17716</v>
      </c>
      <c r="D17" s="476">
        <f t="shared" si="1"/>
        <v>608498.86821378744</v>
      </c>
      <c r="E17" s="300"/>
      <c r="F17" s="300">
        <v>3057607.4599999995</v>
      </c>
      <c r="G17" s="300"/>
      <c r="H17" s="416">
        <f t="shared" si="0"/>
        <v>47398740.138213821</v>
      </c>
      <c r="I17" s="158"/>
      <c r="J17" s="301">
        <v>600.79999999999995</v>
      </c>
      <c r="K17" s="301">
        <v>0</v>
      </c>
      <c r="L17" s="301">
        <v>608498.86821378744</v>
      </c>
      <c r="M17" s="294"/>
      <c r="N17" s="294">
        <v>31</v>
      </c>
      <c r="O17" s="301">
        <v>0</v>
      </c>
      <c r="P17" s="301">
        <v>133.30000000000001</v>
      </c>
      <c r="Q17" s="301">
        <v>6.5</v>
      </c>
      <c r="R17" s="301">
        <v>64.400000000000006</v>
      </c>
      <c r="S17" s="301">
        <v>60.2</v>
      </c>
      <c r="T17" s="301">
        <v>80.2</v>
      </c>
      <c r="U17" s="301">
        <v>338.1</v>
      </c>
      <c r="V17" s="301">
        <v>7.4</v>
      </c>
      <c r="W17" s="301">
        <v>61.9</v>
      </c>
      <c r="X17" s="301">
        <v>57.3</v>
      </c>
      <c r="Y17" s="301">
        <v>193.8</v>
      </c>
      <c r="Z17" s="301">
        <v>28599</v>
      </c>
      <c r="AA17" s="301">
        <v>120.6</v>
      </c>
      <c r="AB17" s="301">
        <v>153.69999999999999</v>
      </c>
      <c r="AC17" s="301">
        <v>120.7</v>
      </c>
    </row>
    <row r="18" spans="1:29" x14ac:dyDescent="0.3">
      <c r="A18" s="209">
        <v>40940</v>
      </c>
      <c r="B18" s="416">
        <v>46681742.650000036</v>
      </c>
      <c r="C18" s="472">
        <v>11824</v>
      </c>
      <c r="D18" s="476">
        <f t="shared" si="1"/>
        <v>616677.62404771603</v>
      </c>
      <c r="E18" s="300"/>
      <c r="F18" s="300">
        <v>3634061.25</v>
      </c>
      <c r="G18" s="300"/>
      <c r="H18" s="416">
        <f t="shared" si="0"/>
        <v>43676183.024047755</v>
      </c>
      <c r="I18" s="158"/>
      <c r="J18" s="301">
        <v>533.20000000000005</v>
      </c>
      <c r="K18" s="301">
        <v>0</v>
      </c>
      <c r="L18" s="301">
        <v>616677.62404771603</v>
      </c>
      <c r="M18" s="294"/>
      <c r="N18" s="294">
        <v>28</v>
      </c>
      <c r="O18" s="301">
        <v>0</v>
      </c>
      <c r="P18" s="301">
        <v>133.4</v>
      </c>
      <c r="Q18" s="301">
        <v>7.1</v>
      </c>
      <c r="R18" s="301">
        <v>65.400000000000006</v>
      </c>
      <c r="S18" s="301">
        <v>60.7</v>
      </c>
      <c r="T18" s="301">
        <v>81</v>
      </c>
      <c r="U18" s="301">
        <v>338.2</v>
      </c>
      <c r="V18" s="301">
        <v>8.4</v>
      </c>
      <c r="W18" s="301">
        <v>62.3</v>
      </c>
      <c r="X18" s="301">
        <v>57.1</v>
      </c>
      <c r="Y18" s="301">
        <v>193</v>
      </c>
      <c r="Z18" s="301">
        <v>28605</v>
      </c>
      <c r="AA18" s="301">
        <v>121.4</v>
      </c>
      <c r="AB18" s="301">
        <v>156.6</v>
      </c>
      <c r="AC18" s="301">
        <v>121.5</v>
      </c>
    </row>
    <row r="19" spans="1:29" x14ac:dyDescent="0.3">
      <c r="A19" s="209">
        <v>40969</v>
      </c>
      <c r="B19" s="416">
        <v>45705990.230000004</v>
      </c>
      <c r="C19" s="472">
        <v>14222</v>
      </c>
      <c r="D19" s="476">
        <f t="shared" si="1"/>
        <v>624856.37988164462</v>
      </c>
      <c r="E19" s="300"/>
      <c r="F19" s="300">
        <v>3883848.77</v>
      </c>
      <c r="G19" s="300"/>
      <c r="H19" s="416">
        <f t="shared" si="0"/>
        <v>42461219.839881644</v>
      </c>
      <c r="I19" s="158"/>
      <c r="J19" s="301">
        <v>333.8</v>
      </c>
      <c r="K19" s="301">
        <v>0</v>
      </c>
      <c r="L19" s="301">
        <v>624856.37988164462</v>
      </c>
      <c r="M19" s="294"/>
      <c r="N19" s="294">
        <v>31</v>
      </c>
      <c r="O19" s="301">
        <v>1</v>
      </c>
      <c r="P19" s="301">
        <v>133.5</v>
      </c>
      <c r="Q19" s="301">
        <v>7.7</v>
      </c>
      <c r="R19" s="301">
        <v>65.5</v>
      </c>
      <c r="S19" s="301">
        <v>60.4</v>
      </c>
      <c r="T19" s="301">
        <v>80.7</v>
      </c>
      <c r="U19" s="301">
        <v>338.3</v>
      </c>
      <c r="V19" s="301">
        <v>8.4</v>
      </c>
      <c r="W19" s="301">
        <v>62.1</v>
      </c>
      <c r="X19" s="301">
        <v>56.9</v>
      </c>
      <c r="Y19" s="301">
        <v>192.5</v>
      </c>
      <c r="Z19" s="301">
        <v>28561</v>
      </c>
      <c r="AA19" s="301">
        <v>122</v>
      </c>
      <c r="AB19" s="301">
        <v>159.80000000000001</v>
      </c>
      <c r="AC19" s="301">
        <v>122</v>
      </c>
    </row>
    <row r="20" spans="1:29" x14ac:dyDescent="0.3">
      <c r="A20" s="209">
        <v>41000</v>
      </c>
      <c r="B20" s="416">
        <v>42394150.290000021</v>
      </c>
      <c r="C20" s="472">
        <v>32318</v>
      </c>
      <c r="D20" s="476">
        <f t="shared" si="1"/>
        <v>633035.13571557321</v>
      </c>
      <c r="E20" s="300"/>
      <c r="F20" s="300">
        <v>4107579.0500000003</v>
      </c>
      <c r="G20" s="300"/>
      <c r="H20" s="416">
        <f t="shared" si="0"/>
        <v>38951924.375715598</v>
      </c>
      <c r="I20" s="158"/>
      <c r="J20" s="301">
        <v>340.5</v>
      </c>
      <c r="K20" s="301">
        <v>0</v>
      </c>
      <c r="L20" s="301">
        <v>633035.13571557321</v>
      </c>
      <c r="M20" s="294"/>
      <c r="N20" s="294">
        <v>30</v>
      </c>
      <c r="O20" s="301">
        <v>1</v>
      </c>
      <c r="P20" s="301">
        <v>133.6</v>
      </c>
      <c r="Q20" s="301">
        <v>7.4</v>
      </c>
      <c r="R20" s="301">
        <v>65.5</v>
      </c>
      <c r="S20" s="301">
        <v>60.6</v>
      </c>
      <c r="T20" s="301">
        <v>81</v>
      </c>
      <c r="U20" s="301">
        <v>338.5</v>
      </c>
      <c r="V20" s="301">
        <v>8.6</v>
      </c>
      <c r="W20" s="301">
        <v>62.5</v>
      </c>
      <c r="X20" s="301">
        <v>57.1</v>
      </c>
      <c r="Y20" s="301">
        <v>193.4</v>
      </c>
      <c r="Z20" s="301">
        <v>28583</v>
      </c>
      <c r="AA20" s="301">
        <v>122.4</v>
      </c>
      <c r="AB20" s="301">
        <v>160.9</v>
      </c>
      <c r="AC20" s="301">
        <v>122.4</v>
      </c>
    </row>
    <row r="21" spans="1:29" x14ac:dyDescent="0.3">
      <c r="A21" s="209">
        <v>41030</v>
      </c>
      <c r="B21" s="416">
        <v>44171430.339999989</v>
      </c>
      <c r="C21" s="472">
        <v>40872</v>
      </c>
      <c r="D21" s="476">
        <f t="shared" si="1"/>
        <v>641213.8915495018</v>
      </c>
      <c r="E21" s="300"/>
      <c r="F21" s="300">
        <v>4506441.3</v>
      </c>
      <c r="G21" s="300"/>
      <c r="H21" s="416">
        <f t="shared" si="0"/>
        <v>40347074.931549497</v>
      </c>
      <c r="I21" s="158"/>
      <c r="J21" s="301">
        <v>82.3</v>
      </c>
      <c r="K21" s="301">
        <v>28.9</v>
      </c>
      <c r="L21" s="301">
        <v>641213.8915495018</v>
      </c>
      <c r="M21" s="294"/>
      <c r="N21" s="294">
        <v>31</v>
      </c>
      <c r="O21" s="301">
        <v>1</v>
      </c>
      <c r="P21" s="301">
        <v>133.80000000000001</v>
      </c>
      <c r="Q21" s="301">
        <v>6.3</v>
      </c>
      <c r="R21" s="301">
        <v>65.3</v>
      </c>
      <c r="S21" s="301">
        <v>61.2</v>
      </c>
      <c r="T21" s="301">
        <v>81.900000000000006</v>
      </c>
      <c r="U21" s="301">
        <v>338.6</v>
      </c>
      <c r="V21" s="301">
        <v>8.4</v>
      </c>
      <c r="W21" s="301">
        <v>64.099999999999994</v>
      </c>
      <c r="X21" s="301">
        <v>58.8</v>
      </c>
      <c r="Y21" s="301">
        <v>199</v>
      </c>
      <c r="Z21" s="301">
        <v>28574</v>
      </c>
      <c r="AA21" s="301">
        <v>122.4</v>
      </c>
      <c r="AB21" s="301">
        <v>159.1</v>
      </c>
      <c r="AC21" s="301">
        <v>122.4</v>
      </c>
    </row>
    <row r="22" spans="1:29" x14ac:dyDescent="0.3">
      <c r="A22" s="209">
        <v>41061</v>
      </c>
      <c r="B22" s="416">
        <v>47092605</v>
      </c>
      <c r="C22" s="421">
        <v>55892</v>
      </c>
      <c r="D22" s="476">
        <f t="shared" si="1"/>
        <v>649392.64738343039</v>
      </c>
      <c r="E22" s="300"/>
      <c r="F22" s="300">
        <v>4189574.2600000002</v>
      </c>
      <c r="G22" s="300"/>
      <c r="H22" s="416">
        <f t="shared" si="0"/>
        <v>43608315.387383431</v>
      </c>
      <c r="I22" s="158"/>
      <c r="J22" s="301">
        <v>31.6</v>
      </c>
      <c r="K22" s="301">
        <v>64.599999999999994</v>
      </c>
      <c r="L22" s="301">
        <v>649392.64738343039</v>
      </c>
      <c r="M22" s="294"/>
      <c r="N22" s="294">
        <v>30</v>
      </c>
      <c r="O22" s="301">
        <v>0</v>
      </c>
      <c r="P22" s="301">
        <v>134</v>
      </c>
      <c r="Q22" s="301">
        <v>6</v>
      </c>
      <c r="R22" s="301">
        <v>66</v>
      </c>
      <c r="S22" s="301">
        <v>62</v>
      </c>
      <c r="T22" s="301">
        <v>83.1</v>
      </c>
      <c r="U22" s="301">
        <v>338.8</v>
      </c>
      <c r="V22" s="301">
        <v>7.8</v>
      </c>
      <c r="W22" s="301">
        <v>65.7</v>
      </c>
      <c r="X22" s="301">
        <v>60.6</v>
      </c>
      <c r="Y22" s="301">
        <v>205.3</v>
      </c>
      <c r="Z22" s="301">
        <v>28616</v>
      </c>
      <c r="AA22" s="301">
        <v>121.6</v>
      </c>
      <c r="AB22" s="301">
        <v>154.69999999999999</v>
      </c>
      <c r="AC22" s="301">
        <v>121.7</v>
      </c>
    </row>
    <row r="23" spans="1:29" x14ac:dyDescent="0.3">
      <c r="A23" s="209">
        <v>41091</v>
      </c>
      <c r="B23" s="416">
        <v>56616414.859999955</v>
      </c>
      <c r="C23" s="421">
        <v>63778</v>
      </c>
      <c r="D23" s="476">
        <f t="shared" si="1"/>
        <v>657571.40321735898</v>
      </c>
      <c r="E23" s="300"/>
      <c r="F23" s="300">
        <v>4846362.4000000004</v>
      </c>
      <c r="G23" s="300"/>
      <c r="H23" s="416">
        <f t="shared" si="0"/>
        <v>52491401.863217317</v>
      </c>
      <c r="I23" s="158"/>
      <c r="J23" s="301">
        <v>0</v>
      </c>
      <c r="K23" s="301">
        <v>152.9</v>
      </c>
      <c r="L23" s="301">
        <v>657571.40321735898</v>
      </c>
      <c r="M23" s="294"/>
      <c r="N23" s="294">
        <v>31</v>
      </c>
      <c r="O23" s="301">
        <v>0</v>
      </c>
      <c r="P23" s="301">
        <v>134.19999999999999</v>
      </c>
      <c r="Q23" s="301">
        <v>6.1</v>
      </c>
      <c r="R23" s="301">
        <v>65.5</v>
      </c>
      <c r="S23" s="301">
        <v>61.5</v>
      </c>
      <c r="T23" s="301">
        <v>82.6</v>
      </c>
      <c r="U23" s="301">
        <v>339</v>
      </c>
      <c r="V23" s="301">
        <v>7.9</v>
      </c>
      <c r="W23" s="301">
        <v>67</v>
      </c>
      <c r="X23" s="301">
        <v>61.7</v>
      </c>
      <c r="Y23" s="301">
        <v>209.1</v>
      </c>
      <c r="Z23" s="301">
        <v>28618</v>
      </c>
      <c r="AA23" s="301">
        <v>121.4</v>
      </c>
      <c r="AB23" s="301">
        <v>156.1</v>
      </c>
      <c r="AC23" s="301">
        <v>121.6</v>
      </c>
    </row>
    <row r="24" spans="1:29" x14ac:dyDescent="0.3">
      <c r="A24" s="209">
        <v>41122</v>
      </c>
      <c r="B24" s="416">
        <v>53263093.910000011</v>
      </c>
      <c r="C24" s="421">
        <v>64670</v>
      </c>
      <c r="D24" s="476">
        <f t="shared" si="1"/>
        <v>665750.15905128757</v>
      </c>
      <c r="E24" s="300"/>
      <c r="F24" s="300">
        <v>4618396.58</v>
      </c>
      <c r="G24" s="300"/>
      <c r="H24" s="416">
        <f t="shared" si="0"/>
        <v>49375117.489051297</v>
      </c>
      <c r="I24" s="158"/>
      <c r="J24" s="301">
        <v>6</v>
      </c>
      <c r="K24" s="301">
        <v>76.599999999999994</v>
      </c>
      <c r="L24" s="301">
        <v>665750.15905128757</v>
      </c>
      <c r="M24" s="294"/>
      <c r="N24" s="294">
        <v>31</v>
      </c>
      <c r="O24" s="301">
        <v>0</v>
      </c>
      <c r="P24" s="301">
        <v>134.5</v>
      </c>
      <c r="Q24" s="301">
        <v>6.9</v>
      </c>
      <c r="R24" s="301">
        <v>64.599999999999994</v>
      </c>
      <c r="S24" s="301">
        <v>60.1</v>
      </c>
      <c r="T24" s="301">
        <v>80.900000000000006</v>
      </c>
      <c r="U24" s="301">
        <v>339.2</v>
      </c>
      <c r="V24" s="301">
        <v>8</v>
      </c>
      <c r="W24" s="301">
        <v>67.099999999999994</v>
      </c>
      <c r="X24" s="301">
        <v>61.8</v>
      </c>
      <c r="Y24" s="301">
        <v>209.5</v>
      </c>
      <c r="Z24" s="301">
        <v>28610</v>
      </c>
      <c r="AA24" s="301">
        <v>121.8</v>
      </c>
      <c r="AB24" s="301">
        <v>158.6</v>
      </c>
      <c r="AC24" s="301">
        <v>121.8</v>
      </c>
    </row>
    <row r="25" spans="1:29" x14ac:dyDescent="0.3">
      <c r="A25" s="209">
        <v>41153</v>
      </c>
      <c r="B25" s="416">
        <v>44675833.469999984</v>
      </c>
      <c r="C25" s="421">
        <v>65737</v>
      </c>
      <c r="D25" s="476">
        <f t="shared" si="1"/>
        <v>673928.91488521616</v>
      </c>
      <c r="E25" s="300"/>
      <c r="F25" s="300">
        <v>4355225.32</v>
      </c>
      <c r="G25" s="300"/>
      <c r="H25" s="416">
        <f t="shared" si="0"/>
        <v>41060274.064885199</v>
      </c>
      <c r="I25" s="158"/>
      <c r="J25" s="301">
        <v>86.1</v>
      </c>
      <c r="K25" s="301">
        <v>28.9</v>
      </c>
      <c r="L25" s="301">
        <v>673928.91488521616</v>
      </c>
      <c r="M25" s="294"/>
      <c r="N25" s="294">
        <v>30</v>
      </c>
      <c r="O25" s="301">
        <v>1</v>
      </c>
      <c r="P25" s="301">
        <v>134.5</v>
      </c>
      <c r="Q25" s="301">
        <v>6.6</v>
      </c>
      <c r="R25" s="301">
        <v>63</v>
      </c>
      <c r="S25" s="301">
        <v>58.8</v>
      </c>
      <c r="T25" s="301">
        <v>79.099999999999994</v>
      </c>
      <c r="U25" s="301">
        <v>339.4</v>
      </c>
      <c r="V25" s="301">
        <v>8.3000000000000007</v>
      </c>
      <c r="W25" s="301">
        <v>67.099999999999994</v>
      </c>
      <c r="X25" s="301">
        <v>61.5</v>
      </c>
      <c r="Y25" s="301">
        <v>208.7</v>
      </c>
      <c r="Z25" s="301">
        <v>28614</v>
      </c>
      <c r="AA25" s="301">
        <v>122</v>
      </c>
      <c r="AB25" s="301">
        <v>159.9</v>
      </c>
      <c r="AC25" s="301">
        <v>122.1</v>
      </c>
    </row>
    <row r="26" spans="1:29" x14ac:dyDescent="0.3">
      <c r="A26" s="209">
        <v>41183</v>
      </c>
      <c r="B26" s="416">
        <v>43218262.50000003</v>
      </c>
      <c r="C26" s="421">
        <v>48054</v>
      </c>
      <c r="D26" s="476">
        <f t="shared" si="1"/>
        <v>682107.67071914475</v>
      </c>
      <c r="E26" s="300"/>
      <c r="F26" s="300">
        <v>3074705.4200000004</v>
      </c>
      <c r="G26" s="300"/>
      <c r="H26" s="416">
        <f t="shared" si="0"/>
        <v>40873718.750719175</v>
      </c>
      <c r="I26" s="158"/>
      <c r="J26" s="301">
        <v>227.4</v>
      </c>
      <c r="K26" s="301">
        <v>0.8</v>
      </c>
      <c r="L26" s="301">
        <v>682107.67071914475</v>
      </c>
      <c r="M26" s="294"/>
      <c r="N26" s="294">
        <v>31</v>
      </c>
      <c r="O26" s="301">
        <v>1</v>
      </c>
      <c r="P26" s="301">
        <v>134.6</v>
      </c>
      <c r="Q26" s="301">
        <v>6.3</v>
      </c>
      <c r="R26" s="301">
        <v>62</v>
      </c>
      <c r="S26" s="301">
        <v>58</v>
      </c>
      <c r="T26" s="301">
        <v>78.099999999999994</v>
      </c>
      <c r="U26" s="301">
        <v>339.5</v>
      </c>
      <c r="V26" s="301">
        <v>8</v>
      </c>
      <c r="W26" s="301">
        <v>66.599999999999994</v>
      </c>
      <c r="X26" s="301">
        <v>61.2</v>
      </c>
      <c r="Y26" s="301">
        <v>207.9</v>
      </c>
      <c r="Z26" s="301">
        <v>28631</v>
      </c>
      <c r="AA26" s="301">
        <v>122.2</v>
      </c>
      <c r="AB26" s="301">
        <v>157.80000000000001</v>
      </c>
      <c r="AC26" s="301">
        <v>122.3</v>
      </c>
    </row>
    <row r="27" spans="1:29" x14ac:dyDescent="0.3">
      <c r="A27" s="209">
        <v>41214</v>
      </c>
      <c r="B27" s="416">
        <v>44348257.809999987</v>
      </c>
      <c r="C27" s="421">
        <v>33605</v>
      </c>
      <c r="D27" s="476">
        <f t="shared" si="1"/>
        <v>690286.42655307334</v>
      </c>
      <c r="E27" s="300"/>
      <c r="F27" s="300">
        <v>1835291.76</v>
      </c>
      <c r="G27" s="300"/>
      <c r="H27" s="416">
        <f t="shared" si="0"/>
        <v>43236857.47655306</v>
      </c>
      <c r="I27" s="158"/>
      <c r="J27" s="301">
        <v>432.4</v>
      </c>
      <c r="K27" s="301">
        <v>0</v>
      </c>
      <c r="L27" s="301">
        <v>690286.42655307334</v>
      </c>
      <c r="M27" s="294"/>
      <c r="N27" s="294">
        <v>30</v>
      </c>
      <c r="O27" s="301">
        <v>1</v>
      </c>
      <c r="P27" s="301">
        <v>134.6</v>
      </c>
      <c r="Q27" s="301">
        <v>6.3</v>
      </c>
      <c r="R27" s="301">
        <v>62.4</v>
      </c>
      <c r="S27" s="301">
        <v>58.5</v>
      </c>
      <c r="T27" s="301">
        <v>78.7</v>
      </c>
      <c r="U27" s="301">
        <v>339.6</v>
      </c>
      <c r="V27" s="301">
        <v>7.3</v>
      </c>
      <c r="W27" s="301">
        <v>64.8</v>
      </c>
      <c r="X27" s="301">
        <v>60.1</v>
      </c>
      <c r="Y27" s="301">
        <v>204</v>
      </c>
      <c r="Z27" s="301">
        <v>28647</v>
      </c>
      <c r="AA27" s="301">
        <v>121.9</v>
      </c>
      <c r="AB27" s="301">
        <v>154.30000000000001</v>
      </c>
      <c r="AC27" s="301">
        <v>122</v>
      </c>
    </row>
    <row r="28" spans="1:29" ht="13.5" customHeight="1" x14ac:dyDescent="0.3">
      <c r="A28" s="209">
        <v>41244</v>
      </c>
      <c r="B28" s="416">
        <v>45574164.490000024</v>
      </c>
      <c r="C28" s="421">
        <v>27883</v>
      </c>
      <c r="D28" s="476">
        <f t="shared" si="1"/>
        <v>698465.18238700193</v>
      </c>
      <c r="E28" s="300"/>
      <c r="F28" s="300">
        <v>1027113.84</v>
      </c>
      <c r="G28" s="300"/>
      <c r="H28" s="416">
        <f t="shared" si="0"/>
        <v>45273398.832387023</v>
      </c>
      <c r="I28" s="158"/>
      <c r="J28" s="301">
        <v>505.1</v>
      </c>
      <c r="K28" s="301">
        <v>0</v>
      </c>
      <c r="L28" s="301">
        <v>698465.18238700193</v>
      </c>
      <c r="M28" s="294"/>
      <c r="N28" s="294">
        <v>31</v>
      </c>
      <c r="O28" s="301">
        <v>0</v>
      </c>
      <c r="P28" s="301">
        <v>134.69999999999999</v>
      </c>
      <c r="Q28" s="301">
        <v>6.5</v>
      </c>
      <c r="R28" s="301">
        <v>63</v>
      </c>
      <c r="S28" s="301">
        <v>58.9</v>
      </c>
      <c r="T28" s="301">
        <v>79.400000000000006</v>
      </c>
      <c r="U28" s="301">
        <v>339.8</v>
      </c>
      <c r="V28" s="301">
        <v>7.3</v>
      </c>
      <c r="W28" s="301">
        <v>63.7</v>
      </c>
      <c r="X28" s="301">
        <v>59</v>
      </c>
      <c r="Y28" s="301">
        <v>200.5</v>
      </c>
      <c r="Z28" s="301">
        <v>28658</v>
      </c>
      <c r="AA28" s="301">
        <v>121.3</v>
      </c>
      <c r="AB28" s="301">
        <v>152.80000000000001</v>
      </c>
      <c r="AC28" s="301">
        <v>121.4</v>
      </c>
    </row>
    <row r="29" spans="1:29" x14ac:dyDescent="0.3">
      <c r="A29" s="209">
        <v>41275</v>
      </c>
      <c r="B29" s="416">
        <v>50854515.269999981</v>
      </c>
      <c r="C29" s="421">
        <v>13133</v>
      </c>
      <c r="D29" s="476">
        <f t="shared" si="1"/>
        <v>713105.6171101057</v>
      </c>
      <c r="E29" s="300"/>
      <c r="F29" s="300">
        <v>2775591.3400000012</v>
      </c>
      <c r="G29" s="300"/>
      <c r="H29" s="416">
        <f t="shared" si="0"/>
        <v>48805162.547110081</v>
      </c>
      <c r="I29" s="158"/>
      <c r="J29" s="301">
        <v>617.29999999999995</v>
      </c>
      <c r="K29" s="301">
        <v>0</v>
      </c>
      <c r="L29" s="301">
        <v>713105.6171101057</v>
      </c>
      <c r="M29" s="294"/>
      <c r="N29" s="294">
        <v>31</v>
      </c>
      <c r="O29" s="301">
        <v>0</v>
      </c>
      <c r="P29" s="301">
        <v>134.80000000000001</v>
      </c>
      <c r="Q29" s="301">
        <v>6.5</v>
      </c>
      <c r="R29" s="301">
        <v>64.099999999999994</v>
      </c>
      <c r="S29" s="301">
        <v>59.9</v>
      </c>
      <c r="T29" s="301">
        <v>80.7</v>
      </c>
      <c r="U29" s="301">
        <v>339.9</v>
      </c>
      <c r="V29" s="301">
        <v>7.5</v>
      </c>
      <c r="W29" s="301">
        <v>62.7</v>
      </c>
      <c r="X29" s="301">
        <v>58.1</v>
      </c>
      <c r="Y29" s="301">
        <v>197.4</v>
      </c>
      <c r="Z29" s="301">
        <v>28708</v>
      </c>
      <c r="AA29" s="301">
        <v>121.3</v>
      </c>
      <c r="AB29" s="301">
        <v>155.1</v>
      </c>
      <c r="AC29" s="301">
        <v>121.5</v>
      </c>
    </row>
    <row r="30" spans="1:29" x14ac:dyDescent="0.3">
      <c r="A30" s="209">
        <v>41306</v>
      </c>
      <c r="B30" s="416">
        <v>45891597.809999987</v>
      </c>
      <c r="C30" s="421">
        <v>22256</v>
      </c>
      <c r="D30" s="476">
        <f t="shared" si="1"/>
        <v>727746.05183320947</v>
      </c>
      <c r="E30" s="300"/>
      <c r="F30" s="300">
        <v>2498153.54</v>
      </c>
      <c r="G30" s="300"/>
      <c r="H30" s="416">
        <f t="shared" si="0"/>
        <v>44143446.321833201</v>
      </c>
      <c r="I30" s="158"/>
      <c r="J30" s="301">
        <v>640.1</v>
      </c>
      <c r="K30" s="301">
        <v>0</v>
      </c>
      <c r="L30" s="301">
        <v>727746.05183320947</v>
      </c>
      <c r="M30" s="294"/>
      <c r="N30" s="294">
        <v>29</v>
      </c>
      <c r="O30" s="301">
        <v>0</v>
      </c>
      <c r="P30" s="301">
        <v>135</v>
      </c>
      <c r="Q30" s="301">
        <v>6.6</v>
      </c>
      <c r="R30" s="301">
        <v>63.9</v>
      </c>
      <c r="S30" s="301">
        <v>59.8</v>
      </c>
      <c r="T30" s="301">
        <v>80.7</v>
      </c>
      <c r="U30" s="301">
        <v>340</v>
      </c>
      <c r="V30" s="301">
        <v>8.5</v>
      </c>
      <c r="W30" s="301">
        <v>62.7</v>
      </c>
      <c r="X30" s="301">
        <v>57.4</v>
      </c>
      <c r="Y30" s="301">
        <v>195.2</v>
      </c>
      <c r="Z30" s="301">
        <v>28707</v>
      </c>
      <c r="AA30" s="301">
        <v>122.8</v>
      </c>
      <c r="AB30" s="301">
        <v>161.30000000000001</v>
      </c>
      <c r="AC30" s="301">
        <v>122.9</v>
      </c>
    </row>
    <row r="31" spans="1:29" x14ac:dyDescent="0.3">
      <c r="A31" s="209">
        <v>41334</v>
      </c>
      <c r="B31" s="416">
        <v>45408057.419999965</v>
      </c>
      <c r="C31" s="421">
        <v>24940</v>
      </c>
      <c r="D31" s="476">
        <f t="shared" si="1"/>
        <v>742386.48655631323</v>
      </c>
      <c r="E31" s="300"/>
      <c r="F31" s="300">
        <v>1912562.35</v>
      </c>
      <c r="G31" s="300"/>
      <c r="H31" s="416">
        <f t="shared" si="0"/>
        <v>44262821.556556277</v>
      </c>
      <c r="I31" s="158"/>
      <c r="J31" s="301">
        <v>555.4</v>
      </c>
      <c r="K31" s="301">
        <v>0</v>
      </c>
      <c r="L31" s="301">
        <v>742386.48655631323</v>
      </c>
      <c r="M31" s="294"/>
      <c r="N31" s="294">
        <v>31</v>
      </c>
      <c r="O31" s="301">
        <v>1</v>
      </c>
      <c r="P31" s="301">
        <v>135.1</v>
      </c>
      <c r="Q31" s="301">
        <v>7</v>
      </c>
      <c r="R31" s="301">
        <v>64.2</v>
      </c>
      <c r="S31" s="301">
        <v>59.7</v>
      </c>
      <c r="T31" s="301">
        <v>80.599999999999994</v>
      </c>
      <c r="U31" s="301">
        <v>340.1</v>
      </c>
      <c r="V31" s="301">
        <v>9.5</v>
      </c>
      <c r="W31" s="301">
        <v>62.8</v>
      </c>
      <c r="X31" s="301">
        <v>56.8</v>
      </c>
      <c r="Y31" s="301">
        <v>193.3</v>
      </c>
      <c r="Z31" s="301">
        <v>28697</v>
      </c>
      <c r="AA31" s="301">
        <v>123.2</v>
      </c>
      <c r="AB31" s="301">
        <v>160.9</v>
      </c>
      <c r="AC31" s="301">
        <v>123.3</v>
      </c>
    </row>
    <row r="32" spans="1:29" x14ac:dyDescent="0.3">
      <c r="A32" s="209">
        <v>41365</v>
      </c>
      <c r="B32" s="416">
        <v>40508542.919999994</v>
      </c>
      <c r="C32" s="421">
        <v>48383</v>
      </c>
      <c r="D32" s="476">
        <f t="shared" si="1"/>
        <v>757026.921279417</v>
      </c>
      <c r="E32" s="300"/>
      <c r="F32" s="300">
        <v>2263400.0999999996</v>
      </c>
      <c r="G32" s="300"/>
      <c r="H32" s="416">
        <f t="shared" si="0"/>
        <v>39050552.741279408</v>
      </c>
      <c r="I32" s="158"/>
      <c r="J32" s="301">
        <v>339.9</v>
      </c>
      <c r="K32" s="301">
        <v>0</v>
      </c>
      <c r="L32" s="301">
        <v>757026.921279417</v>
      </c>
      <c r="M32" s="294"/>
      <c r="N32" s="294">
        <v>30</v>
      </c>
      <c r="O32" s="301">
        <v>1</v>
      </c>
      <c r="P32" s="301">
        <v>135.19999999999999</v>
      </c>
      <c r="Q32" s="301">
        <v>6.6</v>
      </c>
      <c r="R32" s="301">
        <v>63.5</v>
      </c>
      <c r="S32" s="301">
        <v>59.3</v>
      </c>
      <c r="T32" s="301">
        <v>80.2</v>
      </c>
      <c r="U32" s="301">
        <v>340.3</v>
      </c>
      <c r="V32" s="301">
        <v>10</v>
      </c>
      <c r="W32" s="301">
        <v>62.6</v>
      </c>
      <c r="X32" s="301">
        <v>56.4</v>
      </c>
      <c r="Y32" s="301">
        <v>191.8</v>
      </c>
      <c r="Z32" s="301">
        <v>28661</v>
      </c>
      <c r="AA32" s="301">
        <v>122.9</v>
      </c>
      <c r="AB32" s="301">
        <v>157.30000000000001</v>
      </c>
      <c r="AC32" s="301">
        <v>123.1</v>
      </c>
    </row>
    <row r="33" spans="1:29" x14ac:dyDescent="0.3">
      <c r="A33" s="209">
        <v>41395</v>
      </c>
      <c r="B33" s="416">
        <v>40367332.749999978</v>
      </c>
      <c r="C33" s="421">
        <v>69606</v>
      </c>
      <c r="D33" s="476">
        <f t="shared" si="1"/>
        <v>771667.35600252077</v>
      </c>
      <c r="E33" s="300"/>
      <c r="F33" s="300">
        <v>2489379.5099999998</v>
      </c>
      <c r="G33" s="300"/>
      <c r="H33" s="416">
        <f t="shared" si="0"/>
        <v>38719226.596002497</v>
      </c>
      <c r="I33" s="158"/>
      <c r="J33" s="301">
        <v>116.5</v>
      </c>
      <c r="K33" s="301">
        <v>24.2</v>
      </c>
      <c r="L33" s="301">
        <v>771667.35600252077</v>
      </c>
      <c r="M33" s="294"/>
      <c r="N33" s="294">
        <v>31</v>
      </c>
      <c r="O33" s="301">
        <v>1</v>
      </c>
      <c r="P33" s="301">
        <v>135.4</v>
      </c>
      <c r="Q33" s="301">
        <v>6.7</v>
      </c>
      <c r="R33" s="301">
        <v>63.7</v>
      </c>
      <c r="S33" s="301">
        <v>59.5</v>
      </c>
      <c r="T33" s="301">
        <v>80.599999999999994</v>
      </c>
      <c r="U33" s="301">
        <v>340.4</v>
      </c>
      <c r="V33" s="301">
        <v>9.1999999999999993</v>
      </c>
      <c r="W33" s="301">
        <v>63.2</v>
      </c>
      <c r="X33" s="301">
        <v>57.4</v>
      </c>
      <c r="Y33" s="301">
        <v>195.4</v>
      </c>
      <c r="Z33" s="301">
        <v>28653</v>
      </c>
      <c r="AA33" s="301">
        <v>123</v>
      </c>
      <c r="AB33" s="301">
        <v>157.80000000000001</v>
      </c>
      <c r="AC33" s="301">
        <v>123.2</v>
      </c>
    </row>
    <row r="34" spans="1:29" x14ac:dyDescent="0.3">
      <c r="A34" s="209">
        <v>41426</v>
      </c>
      <c r="B34" s="416">
        <v>41861470.480000004</v>
      </c>
      <c r="C34" s="421">
        <v>86177</v>
      </c>
      <c r="D34" s="476">
        <f t="shared" si="1"/>
        <v>786307.79072562454</v>
      </c>
      <c r="E34" s="300"/>
      <c r="F34" s="300">
        <v>2389596.2000000002</v>
      </c>
      <c r="G34" s="300"/>
      <c r="H34" s="416">
        <f t="shared" si="0"/>
        <v>40344359.070725627</v>
      </c>
      <c r="I34" s="158"/>
      <c r="J34" s="301">
        <v>42.8</v>
      </c>
      <c r="K34" s="301">
        <v>48.5</v>
      </c>
      <c r="L34" s="301">
        <v>786307.79072562454</v>
      </c>
      <c r="M34" s="294"/>
      <c r="N34" s="294">
        <v>30</v>
      </c>
      <c r="O34" s="301">
        <v>0</v>
      </c>
      <c r="P34" s="301">
        <v>135.6</v>
      </c>
      <c r="Q34" s="301">
        <v>6.7</v>
      </c>
      <c r="R34" s="301">
        <v>64.599999999999994</v>
      </c>
      <c r="S34" s="301">
        <v>60.3</v>
      </c>
      <c r="T34" s="301">
        <v>81.7</v>
      </c>
      <c r="U34" s="301">
        <v>340.6</v>
      </c>
      <c r="V34" s="301">
        <v>7.9</v>
      </c>
      <c r="W34" s="301">
        <v>62.7</v>
      </c>
      <c r="X34" s="301">
        <v>57.8</v>
      </c>
      <c r="Y34" s="301">
        <v>196.8</v>
      </c>
      <c r="Z34" s="301">
        <v>28656</v>
      </c>
      <c r="AA34" s="301">
        <v>123.2</v>
      </c>
      <c r="AB34" s="301">
        <v>160</v>
      </c>
      <c r="AC34" s="301">
        <v>123.4</v>
      </c>
    </row>
    <row r="35" spans="1:29" x14ac:dyDescent="0.3">
      <c r="A35" s="209">
        <v>41456</v>
      </c>
      <c r="B35" s="416">
        <v>51710807.499999985</v>
      </c>
      <c r="C35" s="421">
        <v>77618</v>
      </c>
      <c r="D35" s="476">
        <f t="shared" si="1"/>
        <v>800948.22544872831</v>
      </c>
      <c r="E35" s="300"/>
      <c r="F35" s="300">
        <v>3010588.7800000003</v>
      </c>
      <c r="G35" s="300"/>
      <c r="H35" s="416">
        <f t="shared" si="0"/>
        <v>49578784.945448712</v>
      </c>
      <c r="I35" s="158"/>
      <c r="J35" s="301">
        <v>5.5</v>
      </c>
      <c r="K35" s="301">
        <v>117</v>
      </c>
      <c r="L35" s="301">
        <v>800948.22544872831</v>
      </c>
      <c r="M35" s="294"/>
      <c r="N35" s="294">
        <v>31</v>
      </c>
      <c r="O35" s="301">
        <v>0</v>
      </c>
      <c r="P35" s="301">
        <v>135.80000000000001</v>
      </c>
      <c r="Q35" s="301">
        <v>7.2</v>
      </c>
      <c r="R35" s="301">
        <v>65.5</v>
      </c>
      <c r="S35" s="301">
        <v>60.8</v>
      </c>
      <c r="T35" s="301">
        <v>82.5</v>
      </c>
      <c r="U35" s="301">
        <v>340.8</v>
      </c>
      <c r="V35" s="301">
        <v>8</v>
      </c>
      <c r="W35" s="301">
        <v>63</v>
      </c>
      <c r="X35" s="301">
        <v>58</v>
      </c>
      <c r="Y35" s="301">
        <v>197.6</v>
      </c>
      <c r="Z35" s="301">
        <v>28691</v>
      </c>
      <c r="AA35" s="301">
        <v>123.4</v>
      </c>
      <c r="AB35" s="301">
        <v>164.6</v>
      </c>
      <c r="AC35" s="301">
        <v>123.6</v>
      </c>
    </row>
    <row r="36" spans="1:29" x14ac:dyDescent="0.3">
      <c r="A36" s="209">
        <v>41487</v>
      </c>
      <c r="B36" s="416">
        <v>47450772.329999983</v>
      </c>
      <c r="C36" s="421">
        <v>97119</v>
      </c>
      <c r="D36" s="476">
        <f t="shared" si="1"/>
        <v>815588.66017183207</v>
      </c>
      <c r="E36" s="300"/>
      <c r="F36" s="300">
        <v>2616563.2200000002</v>
      </c>
      <c r="G36" s="300"/>
      <c r="H36" s="416">
        <f t="shared" si="0"/>
        <v>45746916.770171814</v>
      </c>
      <c r="I36" s="158"/>
      <c r="J36" s="301">
        <v>19.100000000000001</v>
      </c>
      <c r="K36" s="301">
        <v>113</v>
      </c>
      <c r="L36" s="301">
        <v>815588.66017183207</v>
      </c>
      <c r="M36" s="294"/>
      <c r="N36" s="294">
        <v>31</v>
      </c>
      <c r="O36" s="301">
        <v>0</v>
      </c>
      <c r="P36" s="301">
        <v>136.1</v>
      </c>
      <c r="Q36" s="301">
        <v>6.9</v>
      </c>
      <c r="R36" s="301">
        <v>65.900000000000006</v>
      </c>
      <c r="S36" s="301">
        <v>61.3</v>
      </c>
      <c r="T36" s="301">
        <v>83.4</v>
      </c>
      <c r="U36" s="301">
        <v>341.1</v>
      </c>
      <c r="V36" s="301">
        <v>8.5</v>
      </c>
      <c r="W36" s="301">
        <v>62.4</v>
      </c>
      <c r="X36" s="301">
        <v>57.1</v>
      </c>
      <c r="Y36" s="301">
        <v>194.9</v>
      </c>
      <c r="Z36" s="301">
        <v>28674</v>
      </c>
      <c r="AA36" s="301">
        <v>123.4</v>
      </c>
      <c r="AB36" s="301">
        <v>164.1</v>
      </c>
      <c r="AC36" s="301">
        <v>123.7</v>
      </c>
    </row>
    <row r="37" spans="1:29" x14ac:dyDescent="0.3">
      <c r="A37" s="209">
        <v>41518</v>
      </c>
      <c r="B37" s="416">
        <v>40219617.969999991</v>
      </c>
      <c r="C37" s="421">
        <v>95418</v>
      </c>
      <c r="D37" s="476">
        <f t="shared" si="1"/>
        <v>830229.09489493584</v>
      </c>
      <c r="E37" s="300"/>
      <c r="F37" s="300">
        <v>1748189.04</v>
      </c>
      <c r="G37" s="300"/>
      <c r="H37" s="416">
        <f t="shared" si="0"/>
        <v>39397076.02489493</v>
      </c>
      <c r="I37" s="158"/>
      <c r="J37" s="301">
        <v>110.4</v>
      </c>
      <c r="K37" s="301">
        <v>22.9</v>
      </c>
      <c r="L37" s="301">
        <v>830229.09489493584</v>
      </c>
      <c r="M37" s="294"/>
      <c r="N37" s="294">
        <v>30</v>
      </c>
      <c r="O37" s="301">
        <v>1</v>
      </c>
      <c r="P37" s="301">
        <v>136.19999999999999</v>
      </c>
      <c r="Q37" s="301">
        <v>6.2</v>
      </c>
      <c r="R37" s="301">
        <v>65.900000000000006</v>
      </c>
      <c r="S37" s="301">
        <v>61.7</v>
      </c>
      <c r="T37" s="301">
        <v>84.1</v>
      </c>
      <c r="U37" s="301">
        <v>341.2</v>
      </c>
      <c r="V37" s="301">
        <v>8.8000000000000007</v>
      </c>
      <c r="W37" s="301">
        <v>61.7</v>
      </c>
      <c r="X37" s="301">
        <v>56.3</v>
      </c>
      <c r="Y37" s="301">
        <v>192</v>
      </c>
      <c r="Z37" s="301">
        <v>28700</v>
      </c>
      <c r="AA37" s="301">
        <v>123.5</v>
      </c>
      <c r="AB37" s="301">
        <v>164</v>
      </c>
      <c r="AC37" s="301">
        <v>123.8</v>
      </c>
    </row>
    <row r="38" spans="1:29" x14ac:dyDescent="0.3">
      <c r="A38" s="209">
        <v>41548</v>
      </c>
      <c r="B38" s="416">
        <v>40606721.039999992</v>
      </c>
      <c r="C38" s="421">
        <v>82365</v>
      </c>
      <c r="D38" s="476">
        <f t="shared" si="1"/>
        <v>844869.52961803961</v>
      </c>
      <c r="E38" s="300"/>
      <c r="F38" s="300">
        <v>1629644.93</v>
      </c>
      <c r="G38" s="300"/>
      <c r="H38" s="416">
        <f t="shared" si="0"/>
        <v>39904310.639618032</v>
      </c>
      <c r="I38" s="158"/>
      <c r="J38" s="301">
        <v>211.5</v>
      </c>
      <c r="K38" s="301">
        <v>4.2</v>
      </c>
      <c r="L38" s="301">
        <v>844869.52961803961</v>
      </c>
      <c r="M38" s="294"/>
      <c r="N38" s="294">
        <v>31</v>
      </c>
      <c r="O38" s="301">
        <v>1</v>
      </c>
      <c r="P38" s="301">
        <v>136.19999999999999</v>
      </c>
      <c r="Q38" s="301">
        <v>5.8</v>
      </c>
      <c r="R38" s="301">
        <v>66.3</v>
      </c>
      <c r="S38" s="301">
        <v>62.5</v>
      </c>
      <c r="T38" s="301">
        <v>85.1</v>
      </c>
      <c r="U38" s="301">
        <v>341.4</v>
      </c>
      <c r="V38" s="301">
        <v>8</v>
      </c>
      <c r="W38" s="301">
        <v>61.2</v>
      </c>
      <c r="X38" s="301">
        <v>56.3</v>
      </c>
      <c r="Y38" s="301">
        <v>192.2</v>
      </c>
      <c r="Z38" s="301">
        <v>28700</v>
      </c>
      <c r="AA38" s="301">
        <v>123.3</v>
      </c>
      <c r="AB38" s="301">
        <v>158.69999999999999</v>
      </c>
      <c r="AC38" s="301">
        <v>123.7</v>
      </c>
    </row>
    <row r="39" spans="1:29" x14ac:dyDescent="0.3">
      <c r="A39" s="209">
        <v>41579</v>
      </c>
      <c r="B39" s="416">
        <v>41891121.289999954</v>
      </c>
      <c r="C39" s="421">
        <v>65947</v>
      </c>
      <c r="D39" s="476">
        <f t="shared" si="1"/>
        <v>859509.96434114338</v>
      </c>
      <c r="E39" s="300"/>
      <c r="F39" s="300">
        <v>645897.6</v>
      </c>
      <c r="G39" s="300"/>
      <c r="H39" s="416">
        <f t="shared" si="0"/>
        <v>42170680.654341094</v>
      </c>
      <c r="I39" s="158"/>
      <c r="J39" s="301">
        <v>460.7</v>
      </c>
      <c r="K39" s="301">
        <v>0</v>
      </c>
      <c r="L39" s="301">
        <v>859509.96434114338</v>
      </c>
      <c r="M39" s="294"/>
      <c r="N39" s="294">
        <v>30</v>
      </c>
      <c r="O39" s="301">
        <v>1</v>
      </c>
      <c r="P39" s="301">
        <v>136.30000000000001</v>
      </c>
      <c r="Q39" s="301">
        <v>5.3</v>
      </c>
      <c r="R39" s="301">
        <v>66</v>
      </c>
      <c r="S39" s="301">
        <v>62.4</v>
      </c>
      <c r="T39" s="301">
        <v>85.1</v>
      </c>
      <c r="U39" s="301">
        <v>341.5</v>
      </c>
      <c r="V39" s="301">
        <v>7.9</v>
      </c>
      <c r="W39" s="301">
        <v>60.8</v>
      </c>
      <c r="X39" s="301">
        <v>56</v>
      </c>
      <c r="Y39" s="301">
        <v>191.1</v>
      </c>
      <c r="Z39" s="301">
        <v>28704</v>
      </c>
      <c r="AA39" s="301">
        <v>123.3</v>
      </c>
      <c r="AB39" s="301">
        <v>159.9</v>
      </c>
      <c r="AC39" s="301">
        <v>123.6</v>
      </c>
    </row>
    <row r="40" spans="1:29" x14ac:dyDescent="0.3">
      <c r="A40" s="209">
        <v>41609</v>
      </c>
      <c r="B40" s="416">
        <v>46416068.759999998</v>
      </c>
      <c r="C40" s="421">
        <v>42206</v>
      </c>
      <c r="D40" s="476">
        <f t="shared" si="1"/>
        <v>874150.39906424715</v>
      </c>
      <c r="E40" s="300"/>
      <c r="F40" s="300">
        <v>158196.21000000002</v>
      </c>
      <c r="G40" s="300"/>
      <c r="H40" s="416">
        <f t="shared" si="0"/>
        <v>47174228.949064247</v>
      </c>
      <c r="I40" s="158"/>
      <c r="J40" s="301">
        <v>656.4</v>
      </c>
      <c r="K40" s="301">
        <v>0</v>
      </c>
      <c r="L40" s="301">
        <v>874150.39906424715</v>
      </c>
      <c r="M40" s="294"/>
      <c r="N40" s="294">
        <v>31</v>
      </c>
      <c r="O40" s="301">
        <v>0</v>
      </c>
      <c r="P40" s="301">
        <v>136.4</v>
      </c>
      <c r="Q40" s="301">
        <v>5.5</v>
      </c>
      <c r="R40" s="301">
        <v>65.2</v>
      </c>
      <c r="S40" s="301">
        <v>61.7</v>
      </c>
      <c r="T40" s="301">
        <v>84.1</v>
      </c>
      <c r="U40" s="301">
        <v>341.6</v>
      </c>
      <c r="V40" s="301">
        <v>8.3000000000000007</v>
      </c>
      <c r="W40" s="301">
        <v>61.4</v>
      </c>
      <c r="X40" s="301">
        <v>56.2</v>
      </c>
      <c r="Y40" s="301">
        <v>192.1</v>
      </c>
      <c r="Z40" s="301">
        <v>28722</v>
      </c>
      <c r="AA40" s="301">
        <v>123.1</v>
      </c>
      <c r="AB40" s="301">
        <v>162.4</v>
      </c>
      <c r="AC40" s="301">
        <v>123.4</v>
      </c>
    </row>
    <row r="41" spans="1:29" x14ac:dyDescent="0.3">
      <c r="A41" s="209">
        <v>41640</v>
      </c>
      <c r="B41" s="416">
        <v>52863793.569999993</v>
      </c>
      <c r="C41" s="421">
        <v>23770</v>
      </c>
      <c r="D41" s="476">
        <f t="shared" si="1"/>
        <v>893476.07499423646</v>
      </c>
      <c r="E41" s="300"/>
      <c r="F41" s="300">
        <v>2391039.06</v>
      </c>
      <c r="G41" s="300"/>
      <c r="H41" s="416">
        <f t="shared" si="0"/>
        <v>51390000.584994227</v>
      </c>
      <c r="I41" s="158"/>
      <c r="J41" s="301">
        <v>783.2</v>
      </c>
      <c r="K41" s="301">
        <v>0</v>
      </c>
      <c r="L41" s="301">
        <v>893476.07499423646</v>
      </c>
      <c r="M41" s="294"/>
      <c r="N41" s="294">
        <v>31</v>
      </c>
      <c r="O41" s="301">
        <v>0</v>
      </c>
      <c r="P41" s="301">
        <v>136.5</v>
      </c>
      <c r="Q41" s="301">
        <v>6.1</v>
      </c>
      <c r="R41" s="301">
        <v>64.400000000000006</v>
      </c>
      <c r="S41" s="301">
        <v>60.4</v>
      </c>
      <c r="T41" s="301">
        <v>82.5</v>
      </c>
      <c r="U41" s="301">
        <v>341.7</v>
      </c>
      <c r="V41" s="301">
        <v>9.1</v>
      </c>
      <c r="W41" s="301">
        <v>61.3</v>
      </c>
      <c r="X41" s="301">
        <v>55.7</v>
      </c>
      <c r="Y41" s="301">
        <v>190.4</v>
      </c>
      <c r="Z41" s="301">
        <v>28748</v>
      </c>
      <c r="AA41" s="301">
        <v>123.3</v>
      </c>
      <c r="AB41" s="301">
        <v>162.4</v>
      </c>
      <c r="AC41" s="301">
        <v>123.7</v>
      </c>
    </row>
    <row r="42" spans="1:29" x14ac:dyDescent="0.3">
      <c r="A42" s="209">
        <v>41671</v>
      </c>
      <c r="B42" s="416">
        <v>46902074.210000008</v>
      </c>
      <c r="C42" s="421">
        <v>32628</v>
      </c>
      <c r="D42" s="476">
        <f t="shared" si="1"/>
        <v>912801.75092422578</v>
      </c>
      <c r="E42" s="300"/>
      <c r="F42" s="300">
        <v>2375222.21</v>
      </c>
      <c r="G42" s="300"/>
      <c r="H42" s="416">
        <f t="shared" si="0"/>
        <v>45472281.75092423</v>
      </c>
      <c r="I42" s="158"/>
      <c r="J42" s="301">
        <v>743.7</v>
      </c>
      <c r="K42" s="301">
        <v>0</v>
      </c>
      <c r="L42" s="301">
        <v>912801.75092422578</v>
      </c>
      <c r="M42" s="294"/>
      <c r="N42" s="294">
        <v>28</v>
      </c>
      <c r="O42" s="301">
        <v>0</v>
      </c>
      <c r="P42" s="301">
        <v>136.6</v>
      </c>
      <c r="Q42" s="301">
        <v>6.3</v>
      </c>
      <c r="R42" s="301">
        <v>64.099999999999994</v>
      </c>
      <c r="S42" s="301">
        <v>60.1</v>
      </c>
      <c r="T42" s="301">
        <v>82.1</v>
      </c>
      <c r="U42" s="301">
        <v>341.7</v>
      </c>
      <c r="V42" s="301">
        <v>9.4</v>
      </c>
      <c r="W42" s="301">
        <v>61.9</v>
      </c>
      <c r="X42" s="301">
        <v>56.1</v>
      </c>
      <c r="Y42" s="301">
        <v>191.6</v>
      </c>
      <c r="Z42" s="301">
        <v>28744</v>
      </c>
      <c r="AA42" s="301">
        <v>124.6</v>
      </c>
      <c r="AB42" s="301">
        <v>165.1</v>
      </c>
      <c r="AC42" s="301">
        <v>125</v>
      </c>
    </row>
    <row r="43" spans="1:29" x14ac:dyDescent="0.3">
      <c r="A43" s="209">
        <v>41699</v>
      </c>
      <c r="B43" s="416">
        <v>49147286.989999995</v>
      </c>
      <c r="C43" s="421">
        <v>42989</v>
      </c>
      <c r="D43" s="476">
        <f t="shared" si="1"/>
        <v>932127.4268542151</v>
      </c>
      <c r="E43" s="300"/>
      <c r="F43" s="300">
        <v>3357295.21</v>
      </c>
      <c r="G43" s="300"/>
      <c r="H43" s="416">
        <f t="shared" si="0"/>
        <v>46765108.206854209</v>
      </c>
      <c r="I43" s="158"/>
      <c r="J43" s="301">
        <v>692.3</v>
      </c>
      <c r="K43" s="301">
        <v>0</v>
      </c>
      <c r="L43" s="301">
        <v>932127.4268542151</v>
      </c>
      <c r="M43" s="294"/>
      <c r="N43" s="294">
        <v>31</v>
      </c>
      <c r="O43" s="301">
        <v>1</v>
      </c>
      <c r="P43" s="301">
        <v>136.69999999999999</v>
      </c>
      <c r="Q43" s="301">
        <v>6.8</v>
      </c>
      <c r="R43" s="301">
        <v>64.2</v>
      </c>
      <c r="S43" s="301">
        <v>59.8</v>
      </c>
      <c r="T43" s="301">
        <v>81.8</v>
      </c>
      <c r="U43" s="301">
        <v>341.8</v>
      </c>
      <c r="V43" s="301">
        <v>9.4</v>
      </c>
      <c r="W43" s="301">
        <v>62.1</v>
      </c>
      <c r="X43" s="301">
        <v>56.2</v>
      </c>
      <c r="Y43" s="301">
        <v>192.2</v>
      </c>
      <c r="Z43" s="301">
        <v>28756</v>
      </c>
      <c r="AA43" s="301">
        <v>125.1</v>
      </c>
      <c r="AB43" s="301">
        <v>165.9</v>
      </c>
      <c r="AC43" s="301">
        <v>125.5</v>
      </c>
    </row>
    <row r="44" spans="1:29" x14ac:dyDescent="0.3">
      <c r="A44" s="209">
        <v>41730</v>
      </c>
      <c r="B44" s="416">
        <v>41905954.449999988</v>
      </c>
      <c r="C44" s="421">
        <v>95708</v>
      </c>
      <c r="D44" s="476">
        <f t="shared" si="1"/>
        <v>951453.10278420441</v>
      </c>
      <c r="E44" s="300"/>
      <c r="F44" s="300">
        <v>3611734.43</v>
      </c>
      <c r="G44" s="300"/>
      <c r="H44" s="416">
        <f t="shared" si="0"/>
        <v>39341381.12278419</v>
      </c>
      <c r="I44" s="158"/>
      <c r="J44" s="301">
        <v>338.4</v>
      </c>
      <c r="K44" s="301">
        <v>0</v>
      </c>
      <c r="L44" s="301">
        <v>951453.10278420441</v>
      </c>
      <c r="M44" s="294"/>
      <c r="N44" s="294">
        <v>30</v>
      </c>
      <c r="O44" s="301">
        <v>1</v>
      </c>
      <c r="P44" s="301">
        <v>136.80000000000001</v>
      </c>
      <c r="Q44" s="301">
        <v>6.9</v>
      </c>
      <c r="R44" s="301">
        <v>64.400000000000006</v>
      </c>
      <c r="S44" s="301">
        <v>59.9</v>
      </c>
      <c r="T44" s="301">
        <v>82</v>
      </c>
      <c r="U44" s="301">
        <v>341.9</v>
      </c>
      <c r="V44" s="301">
        <v>9.1999999999999993</v>
      </c>
      <c r="W44" s="301">
        <v>62.3</v>
      </c>
      <c r="X44" s="301">
        <v>56.6</v>
      </c>
      <c r="Y44" s="301">
        <v>193.4</v>
      </c>
      <c r="Z44" s="301">
        <v>28739</v>
      </c>
      <c r="AA44" s="301">
        <v>125.9</v>
      </c>
      <c r="AB44" s="301">
        <v>176.4</v>
      </c>
      <c r="AC44" s="301">
        <v>126.4</v>
      </c>
    </row>
    <row r="45" spans="1:29" x14ac:dyDescent="0.3">
      <c r="A45" s="209">
        <v>41760</v>
      </c>
      <c r="B45" s="416">
        <v>40009171.760000005</v>
      </c>
      <c r="C45" s="421">
        <v>124993</v>
      </c>
      <c r="D45" s="476">
        <f t="shared" si="1"/>
        <v>970778.77871419373</v>
      </c>
      <c r="E45" s="300"/>
      <c r="F45" s="300">
        <v>3178846.3899999997</v>
      </c>
      <c r="G45" s="300"/>
      <c r="H45" s="416">
        <f t="shared" si="0"/>
        <v>37926097.1487142</v>
      </c>
      <c r="I45" s="158"/>
      <c r="J45" s="301">
        <v>147.69999999999999</v>
      </c>
      <c r="K45" s="301">
        <v>7.3</v>
      </c>
      <c r="L45" s="301">
        <v>970778.77871419373</v>
      </c>
      <c r="M45" s="294"/>
      <c r="N45" s="294">
        <v>31</v>
      </c>
      <c r="O45" s="301">
        <v>1</v>
      </c>
      <c r="P45" s="301">
        <v>136.9</v>
      </c>
      <c r="Q45" s="301">
        <v>7.3</v>
      </c>
      <c r="R45" s="301">
        <v>65.2</v>
      </c>
      <c r="S45" s="301">
        <v>60.5</v>
      </c>
      <c r="T45" s="301">
        <v>82.8</v>
      </c>
      <c r="U45" s="301">
        <v>342</v>
      </c>
      <c r="V45" s="301">
        <v>8.5</v>
      </c>
      <c r="W45" s="301">
        <v>62.5</v>
      </c>
      <c r="X45" s="301">
        <v>57.2</v>
      </c>
      <c r="Y45" s="301">
        <v>195.7</v>
      </c>
      <c r="Z45" s="301">
        <v>28715</v>
      </c>
      <c r="AA45" s="301">
        <v>126.5</v>
      </c>
      <c r="AB45" s="301">
        <v>178.3</v>
      </c>
      <c r="AC45" s="301">
        <v>127</v>
      </c>
    </row>
    <row r="46" spans="1:29" x14ac:dyDescent="0.3">
      <c r="A46" s="209">
        <v>41791</v>
      </c>
      <c r="B46" s="416">
        <v>45061481.739999995</v>
      </c>
      <c r="C46" s="421">
        <v>139742</v>
      </c>
      <c r="D46" s="476">
        <f t="shared" si="1"/>
        <v>990104.45464418305</v>
      </c>
      <c r="E46" s="300"/>
      <c r="F46" s="300">
        <v>4457667.67</v>
      </c>
      <c r="G46" s="300"/>
      <c r="H46" s="416">
        <f t="shared" si="0"/>
        <v>41733660.524644174</v>
      </c>
      <c r="I46" s="158"/>
      <c r="J46" s="301">
        <v>21.3</v>
      </c>
      <c r="K46" s="301">
        <v>69</v>
      </c>
      <c r="L46" s="301">
        <v>990104.45464418305</v>
      </c>
      <c r="M46" s="294"/>
      <c r="N46" s="294">
        <v>30</v>
      </c>
      <c r="O46" s="301">
        <v>0</v>
      </c>
      <c r="P46" s="301">
        <v>137.1</v>
      </c>
      <c r="Q46" s="301">
        <v>6.8</v>
      </c>
      <c r="R46" s="301">
        <v>65.3</v>
      </c>
      <c r="S46" s="301">
        <v>60.8</v>
      </c>
      <c r="T46" s="301">
        <v>83.4</v>
      </c>
      <c r="U46" s="301">
        <v>342.1</v>
      </c>
      <c r="V46" s="301">
        <v>7.6</v>
      </c>
      <c r="W46" s="301">
        <v>62.3</v>
      </c>
      <c r="X46" s="301">
        <v>57.6</v>
      </c>
      <c r="Y46" s="301">
        <v>197.1</v>
      </c>
      <c r="Z46" s="301">
        <v>28716</v>
      </c>
      <c r="AA46" s="301">
        <v>126.9</v>
      </c>
      <c r="AB46" s="301">
        <v>181</v>
      </c>
      <c r="AC46" s="301">
        <v>127.4</v>
      </c>
    </row>
    <row r="47" spans="1:29" x14ac:dyDescent="0.3">
      <c r="A47" s="209">
        <v>41821</v>
      </c>
      <c r="B47" s="416">
        <v>46747535.099999979</v>
      </c>
      <c r="C47" s="421">
        <v>176593</v>
      </c>
      <c r="D47" s="476">
        <f t="shared" si="1"/>
        <v>1009430.1305741724</v>
      </c>
      <c r="E47" s="300"/>
      <c r="F47" s="300">
        <v>2783074.3600000003</v>
      </c>
      <c r="G47" s="300"/>
      <c r="H47" s="416">
        <f t="shared" si="0"/>
        <v>45150483.870574154</v>
      </c>
      <c r="I47" s="158"/>
      <c r="J47" s="301">
        <v>13.7</v>
      </c>
      <c r="K47" s="301">
        <v>51</v>
      </c>
      <c r="L47" s="301">
        <v>1009430.1305741724</v>
      </c>
      <c r="M47" s="294"/>
      <c r="N47" s="294">
        <v>31</v>
      </c>
      <c r="O47" s="301">
        <v>0</v>
      </c>
      <c r="P47" s="301">
        <v>137.30000000000001</v>
      </c>
      <c r="Q47" s="301">
        <v>7</v>
      </c>
      <c r="R47" s="301">
        <v>65.3</v>
      </c>
      <c r="S47" s="301">
        <v>60.7</v>
      </c>
      <c r="T47" s="301">
        <v>83.4</v>
      </c>
      <c r="U47" s="301">
        <v>342.2</v>
      </c>
      <c r="V47" s="301">
        <v>7.4</v>
      </c>
      <c r="W47" s="301">
        <v>62.4</v>
      </c>
      <c r="X47" s="301">
        <v>57.8</v>
      </c>
      <c r="Y47" s="301">
        <v>197.9</v>
      </c>
      <c r="Z47" s="301">
        <v>28720</v>
      </c>
      <c r="AA47" s="301">
        <v>126.5</v>
      </c>
      <c r="AB47" s="301">
        <v>176.9</v>
      </c>
      <c r="AC47" s="301">
        <v>126.9</v>
      </c>
    </row>
    <row r="48" spans="1:29" x14ac:dyDescent="0.3">
      <c r="A48" s="209">
        <v>41852</v>
      </c>
      <c r="B48" s="416">
        <v>44915574.590000011</v>
      </c>
      <c r="C48" s="421">
        <v>151746</v>
      </c>
      <c r="D48" s="476">
        <f t="shared" si="1"/>
        <v>1028755.8065041617</v>
      </c>
      <c r="E48" s="300"/>
      <c r="F48" s="300">
        <v>1958968.9200000002</v>
      </c>
      <c r="G48" s="300"/>
      <c r="H48" s="416">
        <f t="shared" si="0"/>
        <v>44137107.476504169</v>
      </c>
      <c r="I48" s="158"/>
      <c r="J48" s="301">
        <v>12</v>
      </c>
      <c r="K48" s="301">
        <v>59</v>
      </c>
      <c r="L48" s="301">
        <v>1028755.8065041617</v>
      </c>
      <c r="M48" s="294"/>
      <c r="N48" s="294">
        <v>31</v>
      </c>
      <c r="O48" s="301">
        <v>0</v>
      </c>
      <c r="P48" s="301">
        <v>137.5</v>
      </c>
      <c r="Q48" s="301">
        <v>7.5</v>
      </c>
      <c r="R48" s="301">
        <v>64.599999999999994</v>
      </c>
      <c r="S48" s="301">
        <v>59.8</v>
      </c>
      <c r="T48" s="301">
        <v>82.2</v>
      </c>
      <c r="U48" s="301">
        <v>342.4</v>
      </c>
      <c r="V48" s="301">
        <v>7.6</v>
      </c>
      <c r="W48" s="301">
        <v>62.1</v>
      </c>
      <c r="X48" s="301">
        <v>57.4</v>
      </c>
      <c r="Y48" s="301">
        <v>196.7</v>
      </c>
      <c r="Z48" s="301">
        <v>28724</v>
      </c>
      <c r="AA48" s="301">
        <v>126.5</v>
      </c>
      <c r="AB48" s="301">
        <v>173.2</v>
      </c>
      <c r="AC48" s="301">
        <v>126.9</v>
      </c>
    </row>
    <row r="49" spans="1:29" x14ac:dyDescent="0.3">
      <c r="A49" s="209">
        <v>41883</v>
      </c>
      <c r="B49" s="416">
        <v>39557943.620000012</v>
      </c>
      <c r="C49" s="421">
        <v>151604</v>
      </c>
      <c r="D49" s="476">
        <f t="shared" si="1"/>
        <v>1048081.482434151</v>
      </c>
      <c r="E49" s="300"/>
      <c r="F49" s="300">
        <v>1237230.8900000001</v>
      </c>
      <c r="G49" s="300"/>
      <c r="H49" s="416">
        <f t="shared" si="0"/>
        <v>39520398.212434165</v>
      </c>
      <c r="I49" s="158"/>
      <c r="J49" s="301">
        <v>85.3</v>
      </c>
      <c r="K49" s="301">
        <v>27.5</v>
      </c>
      <c r="L49" s="301">
        <v>1048081.482434151</v>
      </c>
      <c r="M49" s="294"/>
      <c r="N49" s="294">
        <v>30</v>
      </c>
      <c r="O49" s="301">
        <v>1</v>
      </c>
      <c r="P49" s="301">
        <v>137.5</v>
      </c>
      <c r="Q49" s="301">
        <v>7.7</v>
      </c>
      <c r="R49" s="301">
        <v>64</v>
      </c>
      <c r="S49" s="301">
        <v>59.1</v>
      </c>
      <c r="T49" s="301">
        <v>81.3</v>
      </c>
      <c r="U49" s="301">
        <v>342.5</v>
      </c>
      <c r="V49" s="301">
        <v>7.3</v>
      </c>
      <c r="W49" s="301">
        <v>61.8</v>
      </c>
      <c r="X49" s="301">
        <v>57.3</v>
      </c>
      <c r="Y49" s="301">
        <v>196.3</v>
      </c>
      <c r="Z49" s="301">
        <v>28750</v>
      </c>
      <c r="AA49" s="301">
        <v>126.7</v>
      </c>
      <c r="AB49" s="301">
        <v>171.8</v>
      </c>
      <c r="AC49" s="301">
        <v>127.2</v>
      </c>
    </row>
    <row r="50" spans="1:29" x14ac:dyDescent="0.3">
      <c r="A50" s="209">
        <v>41913</v>
      </c>
      <c r="B50" s="416">
        <v>39850442.429999992</v>
      </c>
      <c r="C50" s="421">
        <v>203900.84</v>
      </c>
      <c r="D50" s="476">
        <f t="shared" si="1"/>
        <v>1067407.1583641404</v>
      </c>
      <c r="E50" s="300"/>
      <c r="F50" s="300">
        <v>1857846.61</v>
      </c>
      <c r="G50" s="300"/>
      <c r="H50" s="416">
        <f t="shared" si="0"/>
        <v>39263903.818364136</v>
      </c>
      <c r="I50" s="158"/>
      <c r="J50" s="301">
        <v>225.1</v>
      </c>
      <c r="K50" s="301">
        <v>5.9</v>
      </c>
      <c r="L50" s="301">
        <v>1067407.1583641404</v>
      </c>
      <c r="M50" s="294"/>
      <c r="N50" s="294">
        <v>31</v>
      </c>
      <c r="O50" s="301">
        <v>1</v>
      </c>
      <c r="P50" s="301">
        <v>137.5</v>
      </c>
      <c r="Q50" s="301">
        <v>7.2</v>
      </c>
      <c r="R50" s="301">
        <v>62.8</v>
      </c>
      <c r="S50" s="301">
        <v>58.3</v>
      </c>
      <c r="T50" s="301">
        <v>80.099999999999994</v>
      </c>
      <c r="U50" s="301">
        <v>342.6</v>
      </c>
      <c r="V50" s="301">
        <v>6.5</v>
      </c>
      <c r="W50" s="301">
        <v>61.5</v>
      </c>
      <c r="X50" s="301">
        <v>57.5</v>
      </c>
      <c r="Y50" s="301">
        <v>197.1</v>
      </c>
      <c r="Z50" s="301">
        <v>28746</v>
      </c>
      <c r="AA50" s="301">
        <v>126.8</v>
      </c>
      <c r="AB50" s="301">
        <v>166.8</v>
      </c>
      <c r="AC50" s="301">
        <v>127.4</v>
      </c>
    </row>
    <row r="51" spans="1:29" x14ac:dyDescent="0.3">
      <c r="A51" s="209">
        <v>41944</v>
      </c>
      <c r="B51" s="416">
        <v>43491696.789999977</v>
      </c>
      <c r="C51" s="421">
        <v>141701.9</v>
      </c>
      <c r="D51" s="476">
        <f t="shared" si="1"/>
        <v>1086732.8342941299</v>
      </c>
      <c r="E51" s="300"/>
      <c r="F51" s="300">
        <v>2975014.2399999998</v>
      </c>
      <c r="G51" s="300"/>
      <c r="H51" s="416">
        <f t="shared" si="0"/>
        <v>41745117.284294106</v>
      </c>
      <c r="I51" s="158"/>
      <c r="J51" s="301">
        <v>465.7</v>
      </c>
      <c r="K51" s="301">
        <v>0</v>
      </c>
      <c r="L51" s="301">
        <v>1086732.8342941299</v>
      </c>
      <c r="M51" s="294"/>
      <c r="N51" s="294">
        <v>30</v>
      </c>
      <c r="O51" s="301">
        <v>1</v>
      </c>
      <c r="P51" s="301">
        <v>137.5</v>
      </c>
      <c r="Q51" s="301">
        <v>6.3</v>
      </c>
      <c r="R51" s="301">
        <v>61.4</v>
      </c>
      <c r="S51" s="301">
        <v>57.5</v>
      </c>
      <c r="T51" s="301">
        <v>79.099999999999994</v>
      </c>
      <c r="U51" s="301">
        <v>342.6</v>
      </c>
      <c r="V51" s="301">
        <v>5.8</v>
      </c>
      <c r="W51" s="301">
        <v>61.1</v>
      </c>
      <c r="X51" s="301">
        <v>57.6</v>
      </c>
      <c r="Y51" s="301">
        <v>197.2</v>
      </c>
      <c r="Z51" s="301">
        <v>28745</v>
      </c>
      <c r="AA51" s="301">
        <v>126.3</v>
      </c>
      <c r="AB51" s="301">
        <v>161.30000000000001</v>
      </c>
      <c r="AC51" s="301">
        <v>126.9</v>
      </c>
    </row>
    <row r="52" spans="1:29" x14ac:dyDescent="0.3">
      <c r="A52" s="209">
        <v>41974</v>
      </c>
      <c r="B52" s="416">
        <v>44870993.049999982</v>
      </c>
      <c r="C52" s="421">
        <v>98972</v>
      </c>
      <c r="D52" s="476">
        <f t="shared" si="1"/>
        <v>1106058.5102241193</v>
      </c>
      <c r="E52" s="300"/>
      <c r="F52" s="300">
        <v>1596430.3099999998</v>
      </c>
      <c r="G52" s="300"/>
      <c r="H52" s="416">
        <f t="shared" si="0"/>
        <v>44479593.250224099</v>
      </c>
      <c r="I52" s="158"/>
      <c r="J52" s="301">
        <v>540.79999999999995</v>
      </c>
      <c r="K52" s="301">
        <v>0</v>
      </c>
      <c r="L52" s="301">
        <v>1106058.5102241193</v>
      </c>
      <c r="M52" s="294"/>
      <c r="N52" s="294">
        <v>31</v>
      </c>
      <c r="O52" s="301">
        <v>0</v>
      </c>
      <c r="P52" s="301">
        <v>137.6</v>
      </c>
      <c r="Q52" s="301">
        <v>6</v>
      </c>
      <c r="R52" s="301">
        <v>61</v>
      </c>
      <c r="S52" s="301">
        <v>57.4</v>
      </c>
      <c r="T52" s="301">
        <v>79</v>
      </c>
      <c r="U52" s="301">
        <v>342.6</v>
      </c>
      <c r="V52" s="301">
        <v>6.4</v>
      </c>
      <c r="W52" s="301">
        <v>61.2</v>
      </c>
      <c r="X52" s="301">
        <v>57.2</v>
      </c>
      <c r="Y52" s="301">
        <v>196</v>
      </c>
      <c r="Z52" s="301">
        <v>28755</v>
      </c>
      <c r="AA52" s="301">
        <v>125.4</v>
      </c>
      <c r="AB52" s="301">
        <v>153.30000000000001</v>
      </c>
      <c r="AC52" s="301">
        <v>126.2</v>
      </c>
    </row>
    <row r="53" spans="1:29" x14ac:dyDescent="0.3">
      <c r="A53" s="209">
        <v>42005</v>
      </c>
      <c r="B53" s="416">
        <v>50100445.24000001</v>
      </c>
      <c r="C53" s="421">
        <v>79337.899999999994</v>
      </c>
      <c r="D53" s="476">
        <f t="shared" si="1"/>
        <v>1159263.6597949404</v>
      </c>
      <c r="E53" s="300"/>
      <c r="F53" s="300">
        <v>1842799.25</v>
      </c>
      <c r="G53" s="300"/>
      <c r="H53" s="416">
        <f t="shared" si="0"/>
        <v>49496247.54979495</v>
      </c>
      <c r="I53" s="158"/>
      <c r="J53" s="301">
        <v>771.7</v>
      </c>
      <c r="K53" s="301">
        <v>0</v>
      </c>
      <c r="L53" s="301">
        <v>1159263.6597949404</v>
      </c>
      <c r="M53" s="294"/>
      <c r="N53" s="294">
        <v>31</v>
      </c>
      <c r="O53" s="301">
        <v>0</v>
      </c>
      <c r="P53" s="301">
        <v>137.69999999999999</v>
      </c>
      <c r="Q53" s="301">
        <v>6</v>
      </c>
      <c r="R53" s="301">
        <v>61.6</v>
      </c>
      <c r="S53" s="301">
        <v>57.9</v>
      </c>
      <c r="T53" s="301">
        <v>79.7</v>
      </c>
      <c r="U53" s="301">
        <v>342.7</v>
      </c>
      <c r="V53" s="301">
        <v>7</v>
      </c>
      <c r="W53" s="301">
        <v>60.7</v>
      </c>
      <c r="X53" s="301">
        <v>56.5</v>
      </c>
      <c r="Y53" s="301">
        <v>193.5</v>
      </c>
      <c r="Z53" s="301">
        <v>28776</v>
      </c>
      <c r="AA53" s="301">
        <v>125.3</v>
      </c>
      <c r="AB53" s="301">
        <v>145</v>
      </c>
      <c r="AC53" s="301">
        <v>126.3</v>
      </c>
    </row>
    <row r="54" spans="1:29" x14ac:dyDescent="0.3">
      <c r="A54" s="209">
        <v>42036</v>
      </c>
      <c r="B54" s="416">
        <v>46271066.69000002</v>
      </c>
      <c r="C54" s="421">
        <v>87201.44</v>
      </c>
      <c r="D54" s="476">
        <f t="shared" si="1"/>
        <v>1212468.8093657615</v>
      </c>
      <c r="E54" s="300"/>
      <c r="F54" s="300">
        <v>552187.86</v>
      </c>
      <c r="G54" s="300"/>
      <c r="H54" s="416">
        <f t="shared" si="0"/>
        <v>47018549.079365782</v>
      </c>
      <c r="I54" s="158"/>
      <c r="J54" s="301">
        <v>871.9</v>
      </c>
      <c r="K54" s="301">
        <v>0</v>
      </c>
      <c r="L54" s="301">
        <v>1212468.8093657615</v>
      </c>
      <c r="M54" s="294"/>
      <c r="N54" s="294">
        <v>28</v>
      </c>
      <c r="O54" s="301">
        <v>0</v>
      </c>
      <c r="P54" s="301">
        <v>137.80000000000001</v>
      </c>
      <c r="Q54" s="301">
        <v>6.3</v>
      </c>
      <c r="R54" s="301">
        <v>61.8</v>
      </c>
      <c r="S54" s="301">
        <v>57.8</v>
      </c>
      <c r="T54" s="301">
        <v>79.599999999999994</v>
      </c>
      <c r="U54" s="301">
        <v>342.7</v>
      </c>
      <c r="V54" s="301">
        <v>7.6</v>
      </c>
      <c r="W54" s="301">
        <v>60.9</v>
      </c>
      <c r="X54" s="301">
        <v>56.3</v>
      </c>
      <c r="Y54" s="301">
        <v>192.8</v>
      </c>
      <c r="Z54" s="301">
        <v>28756</v>
      </c>
      <c r="AA54" s="301">
        <v>126.2</v>
      </c>
      <c r="AB54" s="301">
        <v>151.6</v>
      </c>
      <c r="AC54" s="301">
        <v>127.2</v>
      </c>
    </row>
    <row r="55" spans="1:29" x14ac:dyDescent="0.3">
      <c r="A55" s="209">
        <v>42064</v>
      </c>
      <c r="B55" s="416">
        <v>44501238.159999989</v>
      </c>
      <c r="C55" s="421">
        <v>36036.6</v>
      </c>
      <c r="D55" s="476">
        <f t="shared" si="1"/>
        <v>1265673.9589365826</v>
      </c>
      <c r="E55" s="300"/>
      <c r="F55" s="300">
        <v>70023.920000000013</v>
      </c>
      <c r="G55" s="300"/>
      <c r="H55" s="416">
        <f t="shared" si="0"/>
        <v>45732924.798936568</v>
      </c>
      <c r="I55" s="158"/>
      <c r="J55" s="301">
        <v>637</v>
      </c>
      <c r="K55" s="301">
        <v>0</v>
      </c>
      <c r="L55" s="301">
        <v>1265673.9589365826</v>
      </c>
      <c r="M55" s="294"/>
      <c r="N55" s="294">
        <v>31</v>
      </c>
      <c r="O55" s="301">
        <v>1</v>
      </c>
      <c r="P55" s="301">
        <v>137.9</v>
      </c>
      <c r="Q55" s="301">
        <v>6.7</v>
      </c>
      <c r="R55" s="301">
        <v>61.9</v>
      </c>
      <c r="S55" s="301">
        <v>57.8</v>
      </c>
      <c r="T55" s="301">
        <v>79.7</v>
      </c>
      <c r="U55" s="301">
        <v>342.8</v>
      </c>
      <c r="V55" s="301">
        <v>7.6</v>
      </c>
      <c r="W55" s="301">
        <v>61.6</v>
      </c>
      <c r="X55" s="301">
        <v>56.9</v>
      </c>
      <c r="Y55" s="301">
        <v>195</v>
      </c>
      <c r="Z55" s="301">
        <v>28748</v>
      </c>
      <c r="AA55" s="301">
        <v>127.1</v>
      </c>
      <c r="AB55" s="301">
        <v>155.9</v>
      </c>
      <c r="AC55" s="301">
        <v>127.9</v>
      </c>
    </row>
    <row r="56" spans="1:29" x14ac:dyDescent="0.3">
      <c r="A56" s="209">
        <v>42095</v>
      </c>
      <c r="B56" s="416">
        <v>37785791.490000002</v>
      </c>
      <c r="C56" s="421">
        <v>239731</v>
      </c>
      <c r="D56" s="476">
        <f t="shared" si="1"/>
        <v>1318879.1085074036</v>
      </c>
      <c r="E56" s="300"/>
      <c r="F56" s="300">
        <v>959193.41</v>
      </c>
      <c r="G56" s="300"/>
      <c r="H56" s="416">
        <f t="shared" si="0"/>
        <v>38385208.188507408</v>
      </c>
      <c r="I56" s="158"/>
      <c r="J56" s="301">
        <v>330</v>
      </c>
      <c r="K56" s="301">
        <v>0</v>
      </c>
      <c r="L56" s="301">
        <v>1318879.1085074036</v>
      </c>
      <c r="M56" s="294"/>
      <c r="N56" s="294">
        <v>30</v>
      </c>
      <c r="O56" s="301">
        <v>1</v>
      </c>
      <c r="P56" s="301">
        <v>138</v>
      </c>
      <c r="Q56" s="301">
        <v>7.2</v>
      </c>
      <c r="R56" s="301">
        <v>62.4</v>
      </c>
      <c r="S56" s="301">
        <v>57.9</v>
      </c>
      <c r="T56" s="301">
        <v>79.900000000000006</v>
      </c>
      <c r="U56" s="301">
        <v>342.8</v>
      </c>
      <c r="V56" s="301">
        <v>7.2</v>
      </c>
      <c r="W56" s="301">
        <v>62.3</v>
      </c>
      <c r="X56" s="301">
        <v>57.8</v>
      </c>
      <c r="Y56" s="301">
        <v>198.1</v>
      </c>
      <c r="Z56" s="301">
        <v>28733</v>
      </c>
      <c r="AA56" s="301">
        <v>126.9</v>
      </c>
      <c r="AB56" s="301">
        <v>152.5</v>
      </c>
      <c r="AC56" s="301">
        <v>127.7</v>
      </c>
    </row>
    <row r="57" spans="1:29" x14ac:dyDescent="0.3">
      <c r="A57" s="209">
        <v>42125</v>
      </c>
      <c r="B57" s="416">
        <v>36307057.780000001</v>
      </c>
      <c r="C57" s="421">
        <v>302185.09999999998</v>
      </c>
      <c r="D57" s="476">
        <f t="shared" si="1"/>
        <v>1372084.2580782247</v>
      </c>
      <c r="E57" s="300"/>
      <c r="F57" s="300">
        <v>48097.29</v>
      </c>
      <c r="G57" s="300"/>
      <c r="H57" s="416">
        <f t="shared" si="0"/>
        <v>37933229.848078229</v>
      </c>
      <c r="I57" s="158"/>
      <c r="J57" s="301">
        <v>102.7</v>
      </c>
      <c r="K57" s="301">
        <v>34.200000000000003</v>
      </c>
      <c r="L57" s="301">
        <v>1372084.2580782247</v>
      </c>
      <c r="M57" s="294"/>
      <c r="N57" s="294">
        <v>31</v>
      </c>
      <c r="O57" s="301">
        <v>1</v>
      </c>
      <c r="P57" s="301">
        <v>138</v>
      </c>
      <c r="Q57" s="301">
        <v>7</v>
      </c>
      <c r="R57" s="301">
        <v>63.9</v>
      </c>
      <c r="S57" s="301">
        <v>59.4</v>
      </c>
      <c r="T57" s="301">
        <v>82</v>
      </c>
      <c r="U57" s="301">
        <v>342.9</v>
      </c>
      <c r="V57" s="301">
        <v>6.6</v>
      </c>
      <c r="W57" s="301">
        <v>62.6</v>
      </c>
      <c r="X57" s="301">
        <v>58.5</v>
      </c>
      <c r="Y57" s="301">
        <v>200.6</v>
      </c>
      <c r="Z57" s="301">
        <v>28701</v>
      </c>
      <c r="AA57" s="301">
        <v>127.7</v>
      </c>
      <c r="AB57" s="301">
        <v>159.19999999999999</v>
      </c>
      <c r="AC57" s="301">
        <v>128.5</v>
      </c>
    </row>
    <row r="58" spans="1:29" x14ac:dyDescent="0.3">
      <c r="A58" s="209">
        <v>42156</v>
      </c>
      <c r="B58" s="416">
        <v>37811947.970000021</v>
      </c>
      <c r="C58" s="421">
        <v>384174.2</v>
      </c>
      <c r="D58" s="476">
        <f t="shared" si="1"/>
        <v>1425289.4076490458</v>
      </c>
      <c r="E58" s="300"/>
      <c r="F58" s="300">
        <v>39843</v>
      </c>
      <c r="G58" s="300"/>
      <c r="H58" s="416">
        <f t="shared" ref="H58:H121" si="2">B58+SUM(C58:E58)-SUM(F58:G58)</f>
        <v>39581568.577649064</v>
      </c>
      <c r="I58" s="158"/>
      <c r="J58" s="301">
        <v>35.9</v>
      </c>
      <c r="K58" s="301">
        <v>28.6</v>
      </c>
      <c r="L58" s="301">
        <v>1425289.4076490458</v>
      </c>
      <c r="M58" s="294"/>
      <c r="N58" s="294">
        <v>30</v>
      </c>
      <c r="O58" s="301">
        <v>0</v>
      </c>
      <c r="P58" s="301">
        <v>138.1</v>
      </c>
      <c r="Q58" s="301">
        <v>7.1</v>
      </c>
      <c r="R58" s="301">
        <v>65.2</v>
      </c>
      <c r="S58" s="301">
        <v>60.5</v>
      </c>
      <c r="T58" s="301">
        <v>83.6</v>
      </c>
      <c r="U58" s="301">
        <v>343</v>
      </c>
      <c r="V58" s="301">
        <v>5.8</v>
      </c>
      <c r="W58" s="301">
        <v>63.3</v>
      </c>
      <c r="X58" s="301">
        <v>59.6</v>
      </c>
      <c r="Y58" s="301">
        <v>204.5</v>
      </c>
      <c r="Z58" s="301">
        <v>28699</v>
      </c>
      <c r="AA58" s="301">
        <v>128.19999999999999</v>
      </c>
      <c r="AB58" s="301">
        <v>163.9</v>
      </c>
      <c r="AC58" s="301">
        <v>128.80000000000001</v>
      </c>
    </row>
    <row r="59" spans="1:29" x14ac:dyDescent="0.3">
      <c r="A59" s="209">
        <v>42186</v>
      </c>
      <c r="B59" s="416">
        <v>44310484.200000025</v>
      </c>
      <c r="C59" s="421">
        <v>322061.09999999998</v>
      </c>
      <c r="D59" s="476">
        <f t="shared" si="1"/>
        <v>1478494.5572198669</v>
      </c>
      <c r="E59" s="300"/>
      <c r="F59" s="300">
        <v>24418.15</v>
      </c>
      <c r="G59" s="300"/>
      <c r="H59" s="416">
        <f t="shared" si="2"/>
        <v>46086621.707219891</v>
      </c>
      <c r="I59" s="158"/>
      <c r="J59" s="301">
        <v>7.6</v>
      </c>
      <c r="K59" s="301">
        <v>79.099999999999994</v>
      </c>
      <c r="L59" s="301">
        <v>1478494.5572198669</v>
      </c>
      <c r="M59" s="294"/>
      <c r="N59" s="294">
        <v>31</v>
      </c>
      <c r="O59" s="301">
        <v>0</v>
      </c>
      <c r="P59" s="301">
        <v>138.30000000000001</v>
      </c>
      <c r="Q59" s="301">
        <v>7</v>
      </c>
      <c r="R59" s="301">
        <v>65.7</v>
      </c>
      <c r="S59" s="301">
        <v>61</v>
      </c>
      <c r="T59" s="301">
        <v>84.4</v>
      </c>
      <c r="U59" s="301">
        <v>343.1</v>
      </c>
      <c r="V59" s="301">
        <v>6</v>
      </c>
      <c r="W59" s="301">
        <v>65</v>
      </c>
      <c r="X59" s="301">
        <v>61.1</v>
      </c>
      <c r="Y59" s="301">
        <v>209.6</v>
      </c>
      <c r="Z59" s="301">
        <v>28743</v>
      </c>
      <c r="AA59" s="301">
        <v>128.4</v>
      </c>
      <c r="AB59" s="301">
        <v>167.7</v>
      </c>
      <c r="AC59" s="301">
        <v>129.19999999999999</v>
      </c>
    </row>
    <row r="60" spans="1:29" x14ac:dyDescent="0.3">
      <c r="A60" s="209">
        <v>42217</v>
      </c>
      <c r="B60" s="416">
        <v>43495493.139999993</v>
      </c>
      <c r="C60" s="421">
        <v>389722.1</v>
      </c>
      <c r="D60" s="476">
        <f t="shared" si="1"/>
        <v>1531699.706790688</v>
      </c>
      <c r="E60" s="300"/>
      <c r="F60" s="300">
        <v>25350.880000000001</v>
      </c>
      <c r="G60" s="300"/>
      <c r="H60" s="416">
        <f t="shared" si="2"/>
        <v>45391564.066790678</v>
      </c>
      <c r="I60" s="158"/>
      <c r="J60" s="301">
        <v>12</v>
      </c>
      <c r="K60" s="301">
        <v>59</v>
      </c>
      <c r="L60" s="301">
        <v>1531699.706790688</v>
      </c>
      <c r="M60" s="294"/>
      <c r="N60" s="294">
        <v>31</v>
      </c>
      <c r="O60" s="301">
        <v>0</v>
      </c>
      <c r="P60" s="301">
        <v>138.5</v>
      </c>
      <c r="Q60" s="301">
        <v>7.4</v>
      </c>
      <c r="R60" s="301">
        <v>66.3</v>
      </c>
      <c r="S60" s="301">
        <v>61.4</v>
      </c>
      <c r="T60" s="301">
        <v>85</v>
      </c>
      <c r="U60" s="301">
        <v>343.3</v>
      </c>
      <c r="V60" s="301">
        <v>6.4</v>
      </c>
      <c r="W60" s="301">
        <v>65.7</v>
      </c>
      <c r="X60" s="301">
        <v>61.6</v>
      </c>
      <c r="Y60" s="301">
        <v>211.4</v>
      </c>
      <c r="Z60" s="301">
        <v>28760</v>
      </c>
      <c r="AA60" s="301">
        <v>128</v>
      </c>
      <c r="AB60" s="301">
        <v>161.80000000000001</v>
      </c>
      <c r="AC60" s="301">
        <v>128.69999999999999</v>
      </c>
    </row>
    <row r="61" spans="1:29" x14ac:dyDescent="0.3">
      <c r="A61" s="209">
        <v>42248</v>
      </c>
      <c r="B61" s="416">
        <v>41484817.669999972</v>
      </c>
      <c r="C61" s="421">
        <v>360690</v>
      </c>
      <c r="D61" s="476">
        <f t="shared" si="1"/>
        <v>1584904.8563615091</v>
      </c>
      <c r="E61" s="300"/>
      <c r="F61" s="300">
        <v>97516.58</v>
      </c>
      <c r="G61" s="300"/>
      <c r="H61" s="416">
        <f t="shared" si="2"/>
        <v>43332895.946361482</v>
      </c>
      <c r="I61" s="158"/>
      <c r="J61" s="301">
        <v>37</v>
      </c>
      <c r="K61" s="301">
        <v>54.4</v>
      </c>
      <c r="L61" s="301">
        <v>1584904.8563615091</v>
      </c>
      <c r="M61" s="294"/>
      <c r="N61" s="294">
        <v>30</v>
      </c>
      <c r="O61" s="301">
        <v>1</v>
      </c>
      <c r="P61" s="301">
        <v>138.6</v>
      </c>
      <c r="Q61" s="301">
        <v>7.3</v>
      </c>
      <c r="R61" s="301">
        <v>65.900000000000006</v>
      </c>
      <c r="S61" s="301">
        <v>61</v>
      </c>
      <c r="T61" s="301">
        <v>84.6</v>
      </c>
      <c r="U61" s="301">
        <v>343.4</v>
      </c>
      <c r="V61" s="301">
        <v>6.9</v>
      </c>
      <c r="W61" s="301">
        <v>65.8</v>
      </c>
      <c r="X61" s="301">
        <v>61.3</v>
      </c>
      <c r="Y61" s="301">
        <v>210.4</v>
      </c>
      <c r="Z61" s="301">
        <v>28792</v>
      </c>
      <c r="AA61" s="301">
        <v>127.8</v>
      </c>
      <c r="AB61" s="301">
        <v>155.19999999999999</v>
      </c>
      <c r="AC61" s="301">
        <v>129</v>
      </c>
    </row>
    <row r="62" spans="1:29" x14ac:dyDescent="0.3">
      <c r="A62" s="209">
        <v>42278</v>
      </c>
      <c r="B62" s="416">
        <v>38178097.399999984</v>
      </c>
      <c r="C62" s="421">
        <v>318799.09999999998</v>
      </c>
      <c r="D62" s="476">
        <f t="shared" si="1"/>
        <v>1638110.0059323302</v>
      </c>
      <c r="E62" s="300"/>
      <c r="F62" s="300">
        <v>1710463.4100000001</v>
      </c>
      <c r="G62" s="300"/>
      <c r="H62" s="416">
        <f t="shared" si="2"/>
        <v>38424543.09593232</v>
      </c>
      <c r="I62" s="158"/>
      <c r="J62" s="301">
        <v>252.3</v>
      </c>
      <c r="K62" s="301">
        <v>0.9</v>
      </c>
      <c r="L62" s="301">
        <v>1638110.0059323302</v>
      </c>
      <c r="M62" s="294"/>
      <c r="N62" s="294">
        <v>31</v>
      </c>
      <c r="O62" s="301">
        <v>1</v>
      </c>
      <c r="P62" s="301">
        <v>138.6</v>
      </c>
      <c r="Q62" s="301">
        <v>6.5</v>
      </c>
      <c r="R62" s="301">
        <v>65.7</v>
      </c>
      <c r="S62" s="301">
        <v>61.4</v>
      </c>
      <c r="T62" s="301">
        <v>85.1</v>
      </c>
      <c r="U62" s="301">
        <v>343.5</v>
      </c>
      <c r="V62" s="301">
        <v>6.8</v>
      </c>
      <c r="W62" s="301">
        <v>65.2</v>
      </c>
      <c r="X62" s="301">
        <v>60.7</v>
      </c>
      <c r="Y62" s="301">
        <v>208.5</v>
      </c>
      <c r="Z62" s="301">
        <v>28795</v>
      </c>
      <c r="AA62" s="301">
        <v>127.9</v>
      </c>
      <c r="AB62" s="301">
        <v>149.4</v>
      </c>
      <c r="AC62" s="301">
        <v>129</v>
      </c>
    </row>
    <row r="63" spans="1:29" x14ac:dyDescent="0.3">
      <c r="A63" s="209">
        <v>42309</v>
      </c>
      <c r="B63" s="416">
        <v>36946837.530000001</v>
      </c>
      <c r="C63" s="421">
        <v>226119.2</v>
      </c>
      <c r="D63" s="476">
        <f t="shared" si="1"/>
        <v>1691315.1555031512</v>
      </c>
      <c r="E63" s="300"/>
      <c r="F63" s="300">
        <v>14378.89</v>
      </c>
      <c r="G63" s="300"/>
      <c r="H63" s="416">
        <f t="shared" si="2"/>
        <v>38849892.99550315</v>
      </c>
      <c r="I63" s="158"/>
      <c r="J63" s="301">
        <v>341.4</v>
      </c>
      <c r="K63" s="301">
        <v>0</v>
      </c>
      <c r="L63" s="301">
        <v>1691315.1555031512</v>
      </c>
      <c r="M63" s="294"/>
      <c r="N63" s="294">
        <v>30</v>
      </c>
      <c r="O63" s="301">
        <v>1</v>
      </c>
      <c r="P63" s="301">
        <v>138.6</v>
      </c>
      <c r="Q63" s="301">
        <v>5.9</v>
      </c>
      <c r="R63" s="301">
        <v>64.599999999999994</v>
      </c>
      <c r="S63" s="301">
        <v>60.7</v>
      </c>
      <c r="T63" s="301">
        <v>84.1</v>
      </c>
      <c r="U63" s="301">
        <v>343.7</v>
      </c>
      <c r="V63" s="301">
        <v>7.1</v>
      </c>
      <c r="W63" s="301">
        <v>65</v>
      </c>
      <c r="X63" s="301">
        <v>60.4</v>
      </c>
      <c r="Y63" s="301">
        <v>207.7</v>
      </c>
      <c r="Z63" s="301">
        <v>28801</v>
      </c>
      <c r="AA63" s="301">
        <v>127.9</v>
      </c>
      <c r="AB63" s="301">
        <v>151.19999999999999</v>
      </c>
      <c r="AC63" s="301">
        <v>129.1</v>
      </c>
    </row>
    <row r="64" spans="1:29" x14ac:dyDescent="0.3">
      <c r="A64" s="209">
        <v>42339</v>
      </c>
      <c r="B64" s="416">
        <v>39604094.129999995</v>
      </c>
      <c r="C64" s="421">
        <v>179150.2</v>
      </c>
      <c r="D64" s="476">
        <f t="shared" si="1"/>
        <v>1744520.3050739723</v>
      </c>
      <c r="E64" s="300"/>
      <c r="F64" s="300">
        <v>13364.88</v>
      </c>
      <c r="G64" s="300"/>
      <c r="H64" s="416">
        <f t="shared" si="2"/>
        <v>41514399.755073965</v>
      </c>
      <c r="I64" s="158"/>
      <c r="J64" s="301">
        <v>418</v>
      </c>
      <c r="K64" s="301">
        <v>0</v>
      </c>
      <c r="L64" s="301">
        <v>1744520.3050739723</v>
      </c>
      <c r="M64" s="294"/>
      <c r="N64" s="294">
        <v>31</v>
      </c>
      <c r="O64" s="301">
        <v>0</v>
      </c>
      <c r="P64" s="301">
        <v>138.69999999999999</v>
      </c>
      <c r="Q64" s="301">
        <v>5.5</v>
      </c>
      <c r="R64" s="301">
        <v>64</v>
      </c>
      <c r="S64" s="301">
        <v>60.4</v>
      </c>
      <c r="T64" s="301">
        <v>83.8</v>
      </c>
      <c r="U64" s="301">
        <v>343.8</v>
      </c>
      <c r="V64" s="301">
        <v>7.7</v>
      </c>
      <c r="W64" s="301">
        <v>65</v>
      </c>
      <c r="X64" s="301">
        <v>60</v>
      </c>
      <c r="Y64" s="301">
        <v>206.4</v>
      </c>
      <c r="Z64" s="301">
        <v>28826</v>
      </c>
      <c r="AA64" s="301">
        <v>127.5</v>
      </c>
      <c r="AB64" s="301">
        <v>149.6</v>
      </c>
      <c r="AC64" s="301">
        <v>128.69999999999999</v>
      </c>
    </row>
    <row r="65" spans="1:29" x14ac:dyDescent="0.3">
      <c r="A65" s="209">
        <v>42370</v>
      </c>
      <c r="B65" s="416">
        <v>44500830.719999984</v>
      </c>
      <c r="C65" s="421">
        <v>79611.8</v>
      </c>
      <c r="D65" s="476">
        <f t="shared" si="1"/>
        <v>1798539.3135523656</v>
      </c>
      <c r="E65" s="300"/>
      <c r="F65" s="300">
        <v>32172.43</v>
      </c>
      <c r="G65" s="300"/>
      <c r="H65" s="416">
        <f t="shared" si="2"/>
        <v>46346809.403552353</v>
      </c>
      <c r="I65" s="158"/>
      <c r="J65" s="301">
        <v>657.2</v>
      </c>
      <c r="K65" s="301">
        <v>0</v>
      </c>
      <c r="L65" s="301">
        <v>1798539.3135523656</v>
      </c>
      <c r="M65" s="294"/>
      <c r="N65" s="294">
        <v>31</v>
      </c>
      <c r="O65" s="301">
        <v>0</v>
      </c>
      <c r="P65" s="301">
        <v>138.80000000000001</v>
      </c>
      <c r="Q65" s="301">
        <v>5.8</v>
      </c>
      <c r="R65" s="301">
        <v>63.7</v>
      </c>
      <c r="S65" s="301">
        <v>60</v>
      </c>
      <c r="T65" s="301">
        <v>83.3</v>
      </c>
      <c r="U65" s="301">
        <v>343.9</v>
      </c>
      <c r="V65" s="301">
        <v>9</v>
      </c>
      <c r="W65" s="301">
        <v>64.599999999999994</v>
      </c>
      <c r="X65" s="301">
        <v>58.8</v>
      </c>
      <c r="Y65" s="301">
        <v>202.3</v>
      </c>
      <c r="Z65" s="301">
        <v>28830</v>
      </c>
      <c r="AA65" s="301">
        <v>127.8</v>
      </c>
      <c r="AB65" s="301">
        <v>147</v>
      </c>
      <c r="AC65" s="301">
        <v>129</v>
      </c>
    </row>
    <row r="66" spans="1:29" x14ac:dyDescent="0.3">
      <c r="A66" s="209">
        <v>42401</v>
      </c>
      <c r="B66" s="416">
        <v>40982390.300000004</v>
      </c>
      <c r="C66" s="421">
        <v>188200.2</v>
      </c>
      <c r="D66" s="476">
        <f t="shared" si="1"/>
        <v>1852558.322030759</v>
      </c>
      <c r="E66" s="300"/>
      <c r="F66" s="300">
        <v>12425.369999999999</v>
      </c>
      <c r="G66" s="300"/>
      <c r="H66" s="416">
        <f t="shared" si="2"/>
        <v>43010723.452030763</v>
      </c>
      <c r="I66" s="158"/>
      <c r="J66" s="301">
        <v>587.1</v>
      </c>
      <c r="K66" s="301">
        <v>0</v>
      </c>
      <c r="L66" s="301">
        <v>1852558.322030759</v>
      </c>
      <c r="M66" s="294"/>
      <c r="N66" s="294">
        <v>28</v>
      </c>
      <c r="O66" s="301">
        <v>0</v>
      </c>
      <c r="P66" s="301">
        <v>138.9</v>
      </c>
      <c r="Q66" s="301">
        <v>5.6</v>
      </c>
      <c r="R66" s="301">
        <v>63.4</v>
      </c>
      <c r="S66" s="301">
        <v>59.9</v>
      </c>
      <c r="T66" s="301">
        <v>83.2</v>
      </c>
      <c r="U66" s="301">
        <v>344</v>
      </c>
      <c r="V66" s="301">
        <v>9.3000000000000007</v>
      </c>
      <c r="W66" s="301">
        <v>64.599999999999994</v>
      </c>
      <c r="X66" s="301">
        <v>58.6</v>
      </c>
      <c r="Y66" s="301">
        <v>201.5</v>
      </c>
      <c r="Z66" s="301">
        <v>28843</v>
      </c>
      <c r="AA66" s="301">
        <v>128.19999999999999</v>
      </c>
      <c r="AB66" s="301">
        <v>143</v>
      </c>
      <c r="AC66" s="301">
        <v>129.4</v>
      </c>
    </row>
    <row r="67" spans="1:29" x14ac:dyDescent="0.3">
      <c r="A67" s="209">
        <v>42430</v>
      </c>
      <c r="B67" s="416">
        <v>39758543.469999999</v>
      </c>
      <c r="C67" s="421">
        <v>162435.20000000001</v>
      </c>
      <c r="D67" s="476">
        <f t="shared" si="1"/>
        <v>1906577.3305091523</v>
      </c>
      <c r="E67" s="300"/>
      <c r="F67" s="300">
        <v>111832.75</v>
      </c>
      <c r="G67" s="300"/>
      <c r="H67" s="416">
        <f t="shared" si="2"/>
        <v>41715723.25050915</v>
      </c>
      <c r="I67" s="158"/>
      <c r="J67" s="301">
        <v>448.8</v>
      </c>
      <c r="K67" s="301">
        <v>0</v>
      </c>
      <c r="L67" s="301">
        <v>1906577.3305091523</v>
      </c>
      <c r="M67" s="294"/>
      <c r="N67" s="294">
        <v>31</v>
      </c>
      <c r="O67" s="301">
        <v>1</v>
      </c>
      <c r="P67" s="301">
        <v>139</v>
      </c>
      <c r="Q67" s="301">
        <v>6</v>
      </c>
      <c r="R67" s="301">
        <v>63.5</v>
      </c>
      <c r="S67" s="301">
        <v>59.6</v>
      </c>
      <c r="T67" s="301">
        <v>82.9</v>
      </c>
      <c r="U67" s="301">
        <v>344.1</v>
      </c>
      <c r="V67" s="301">
        <v>9.3000000000000007</v>
      </c>
      <c r="W67" s="301">
        <v>63.6</v>
      </c>
      <c r="X67" s="301">
        <v>57.7</v>
      </c>
      <c r="Y67" s="301">
        <v>198.5</v>
      </c>
      <c r="Z67" s="301">
        <v>28835</v>
      </c>
      <c r="AA67" s="301">
        <v>129</v>
      </c>
      <c r="AB67" s="301">
        <v>145.80000000000001</v>
      </c>
      <c r="AC67" s="301">
        <v>130.30000000000001</v>
      </c>
    </row>
    <row r="68" spans="1:29" x14ac:dyDescent="0.3">
      <c r="A68" s="209">
        <v>42461</v>
      </c>
      <c r="B68" s="416">
        <v>36143916.349999994</v>
      </c>
      <c r="C68" s="421">
        <v>260329.09999999998</v>
      </c>
      <c r="D68" s="476">
        <f t="shared" si="1"/>
        <v>1960596.3389875456</v>
      </c>
      <c r="E68" s="300"/>
      <c r="F68" s="300">
        <v>181447.87</v>
      </c>
      <c r="G68" s="300"/>
      <c r="H68" s="416">
        <f t="shared" si="2"/>
        <v>38183393.918987542</v>
      </c>
      <c r="I68" s="158"/>
      <c r="J68" s="301">
        <v>384.1</v>
      </c>
      <c r="K68" s="301">
        <v>0</v>
      </c>
      <c r="L68" s="301">
        <v>1960596.3389875456</v>
      </c>
      <c r="M68" s="294"/>
      <c r="N68" s="294">
        <v>30</v>
      </c>
      <c r="O68" s="301">
        <v>1</v>
      </c>
      <c r="P68" s="301">
        <v>139.1</v>
      </c>
      <c r="Q68" s="301">
        <v>6.4</v>
      </c>
      <c r="R68" s="301">
        <v>63</v>
      </c>
      <c r="S68" s="301">
        <v>59</v>
      </c>
      <c r="T68" s="301">
        <v>82.1</v>
      </c>
      <c r="U68" s="301">
        <v>344.3</v>
      </c>
      <c r="V68" s="301">
        <v>8.3000000000000007</v>
      </c>
      <c r="W68" s="301">
        <v>62.3</v>
      </c>
      <c r="X68" s="301">
        <v>57.1</v>
      </c>
      <c r="Y68" s="301">
        <v>196.6</v>
      </c>
      <c r="Z68" s="301">
        <v>28853</v>
      </c>
      <c r="AA68" s="301">
        <v>129.6</v>
      </c>
      <c r="AB68" s="301">
        <v>153.5</v>
      </c>
      <c r="AC68" s="301">
        <v>130.69999999999999</v>
      </c>
    </row>
    <row r="69" spans="1:29" x14ac:dyDescent="0.3">
      <c r="A69" s="209">
        <v>42491</v>
      </c>
      <c r="B69" s="416">
        <v>35571116.150000006</v>
      </c>
      <c r="C69" s="421">
        <v>347914.9</v>
      </c>
      <c r="D69" s="476">
        <f t="shared" si="1"/>
        <v>2014615.3474659389</v>
      </c>
      <c r="E69" s="300"/>
      <c r="F69" s="300">
        <v>28639.439999999999</v>
      </c>
      <c r="G69" s="300"/>
      <c r="H69" s="416">
        <f t="shared" si="2"/>
        <v>37905006.957465947</v>
      </c>
      <c r="I69" s="158"/>
      <c r="J69" s="301">
        <v>153.1</v>
      </c>
      <c r="K69" s="301">
        <v>24.4</v>
      </c>
      <c r="L69" s="301">
        <v>2014615.3474659389</v>
      </c>
      <c r="M69" s="294"/>
      <c r="N69" s="294">
        <v>31</v>
      </c>
      <c r="O69" s="301">
        <v>1</v>
      </c>
      <c r="P69" s="301">
        <v>139.19999999999999</v>
      </c>
      <c r="Q69" s="301">
        <v>6.6</v>
      </c>
      <c r="R69" s="301">
        <v>63.4</v>
      </c>
      <c r="S69" s="301">
        <v>59.3</v>
      </c>
      <c r="T69" s="301">
        <v>82.5</v>
      </c>
      <c r="U69" s="301">
        <v>344.5</v>
      </c>
      <c r="V69" s="301">
        <v>8.1</v>
      </c>
      <c r="W69" s="301">
        <v>62</v>
      </c>
      <c r="X69" s="301">
        <v>57</v>
      </c>
      <c r="Y69" s="301">
        <v>196.3</v>
      </c>
      <c r="Z69" s="301">
        <v>28859</v>
      </c>
      <c r="AA69" s="301">
        <v>130.1</v>
      </c>
      <c r="AB69" s="301">
        <v>158.1</v>
      </c>
      <c r="AC69" s="301">
        <v>131.19999999999999</v>
      </c>
    </row>
    <row r="70" spans="1:29" x14ac:dyDescent="0.3">
      <c r="A70" s="209">
        <v>42522</v>
      </c>
      <c r="B70" s="416">
        <v>39220373.289999992</v>
      </c>
      <c r="C70" s="421">
        <v>456460.1</v>
      </c>
      <c r="D70" s="476">
        <f t="shared" ref="D70:D124" si="3">L70</f>
        <v>2068634.3559443322</v>
      </c>
      <c r="E70" s="300"/>
      <c r="F70" s="300">
        <v>13984.39</v>
      </c>
      <c r="G70" s="300"/>
      <c r="H70" s="416">
        <f t="shared" si="2"/>
        <v>41731483.355944321</v>
      </c>
      <c r="I70" s="158"/>
      <c r="J70" s="301">
        <v>29.2</v>
      </c>
      <c r="K70" s="301">
        <v>51.7</v>
      </c>
      <c r="L70" s="301">
        <v>2068634.3559443322</v>
      </c>
      <c r="M70" s="294"/>
      <c r="N70" s="294">
        <v>30</v>
      </c>
      <c r="O70" s="301">
        <v>0</v>
      </c>
      <c r="P70" s="301">
        <v>139.30000000000001</v>
      </c>
      <c r="Q70" s="301">
        <v>6.2</v>
      </c>
      <c r="R70" s="301">
        <v>63.9</v>
      </c>
      <c r="S70" s="301">
        <v>59.9</v>
      </c>
      <c r="T70" s="301">
        <v>83.5</v>
      </c>
      <c r="U70" s="301">
        <v>344.7</v>
      </c>
      <c r="V70" s="301">
        <v>7.7</v>
      </c>
      <c r="W70" s="301">
        <v>62.7</v>
      </c>
      <c r="X70" s="301">
        <v>57.9</v>
      </c>
      <c r="Y70" s="301">
        <v>199.5</v>
      </c>
      <c r="Z70" s="301">
        <v>28872</v>
      </c>
      <c r="AA70" s="301">
        <v>130.4</v>
      </c>
      <c r="AB70" s="301">
        <v>159.1</v>
      </c>
      <c r="AC70" s="301">
        <v>131.5</v>
      </c>
    </row>
    <row r="71" spans="1:29" x14ac:dyDescent="0.3">
      <c r="A71" s="209">
        <v>42552</v>
      </c>
      <c r="B71" s="416">
        <v>47066419.799999982</v>
      </c>
      <c r="C71" s="421">
        <v>478420.2</v>
      </c>
      <c r="D71" s="476">
        <f t="shared" si="3"/>
        <v>2122653.3644227255</v>
      </c>
      <c r="E71" s="300"/>
      <c r="F71" s="300">
        <v>15948.130000000001</v>
      </c>
      <c r="G71" s="300"/>
      <c r="H71" s="416">
        <f t="shared" si="2"/>
        <v>49651545.234422706</v>
      </c>
      <c r="I71" s="158"/>
      <c r="J71" s="301">
        <v>0</v>
      </c>
      <c r="K71" s="301">
        <v>140.69999999999999</v>
      </c>
      <c r="L71" s="301">
        <v>2122653.3644227255</v>
      </c>
      <c r="M71" s="294"/>
      <c r="N71" s="294">
        <v>31</v>
      </c>
      <c r="O71" s="301">
        <v>0</v>
      </c>
      <c r="P71" s="301">
        <v>139.6</v>
      </c>
      <c r="Q71" s="301">
        <v>5.9</v>
      </c>
      <c r="R71" s="301">
        <v>64.599999999999994</v>
      </c>
      <c r="S71" s="301">
        <v>60.8</v>
      </c>
      <c r="T71" s="301">
        <v>84.9</v>
      </c>
      <c r="U71" s="301">
        <v>345</v>
      </c>
      <c r="V71" s="301">
        <v>7.1</v>
      </c>
      <c r="W71" s="301">
        <v>63.6</v>
      </c>
      <c r="X71" s="301">
        <v>59.1</v>
      </c>
      <c r="Y71" s="301">
        <v>204</v>
      </c>
      <c r="Z71" s="301">
        <v>28792</v>
      </c>
      <c r="AA71" s="301">
        <v>130.30000000000001</v>
      </c>
      <c r="AB71" s="301">
        <v>157.4</v>
      </c>
      <c r="AC71" s="301">
        <v>131.4</v>
      </c>
    </row>
    <row r="72" spans="1:29" x14ac:dyDescent="0.3">
      <c r="A72" s="209">
        <v>42583</v>
      </c>
      <c r="B72" s="416">
        <v>50793950.229999974</v>
      </c>
      <c r="C72" s="421">
        <v>467442.5</v>
      </c>
      <c r="D72" s="476">
        <f t="shared" si="3"/>
        <v>2176672.3729011188</v>
      </c>
      <c r="E72" s="300"/>
      <c r="F72" s="300">
        <v>18063.84</v>
      </c>
      <c r="G72" s="300"/>
      <c r="H72" s="416">
        <f t="shared" si="2"/>
        <v>53420001.26290109</v>
      </c>
      <c r="I72" s="158"/>
      <c r="J72" s="301">
        <v>0.1</v>
      </c>
      <c r="K72" s="301">
        <v>159.30000000000001</v>
      </c>
      <c r="L72" s="301">
        <v>2176672.3729011188</v>
      </c>
      <c r="M72" s="294"/>
      <c r="N72" s="294">
        <v>31</v>
      </c>
      <c r="O72" s="301">
        <v>0</v>
      </c>
      <c r="P72" s="301">
        <v>139.80000000000001</v>
      </c>
      <c r="Q72" s="301">
        <v>6.1</v>
      </c>
      <c r="R72" s="301">
        <v>64.8</v>
      </c>
      <c r="S72" s="301">
        <v>60.9</v>
      </c>
      <c r="T72" s="301">
        <v>85.1</v>
      </c>
      <c r="U72" s="301">
        <v>345.2</v>
      </c>
      <c r="V72" s="301">
        <v>6.4</v>
      </c>
      <c r="W72" s="301">
        <v>63.9</v>
      </c>
      <c r="X72" s="301">
        <v>59.8</v>
      </c>
      <c r="Y72" s="301">
        <v>206.4</v>
      </c>
      <c r="Z72" s="301">
        <v>28833</v>
      </c>
      <c r="AA72" s="301">
        <v>129.9</v>
      </c>
      <c r="AB72" s="301">
        <v>155.80000000000001</v>
      </c>
      <c r="AC72" s="301">
        <v>131.1</v>
      </c>
    </row>
    <row r="73" spans="1:29" x14ac:dyDescent="0.3">
      <c r="A73" s="209">
        <v>42614</v>
      </c>
      <c r="B73" s="416">
        <v>39568638.049999982</v>
      </c>
      <c r="C73" s="421">
        <v>445687.2</v>
      </c>
      <c r="D73" s="476">
        <f t="shared" si="3"/>
        <v>2230691.3813795121</v>
      </c>
      <c r="E73" s="300"/>
      <c r="F73" s="300">
        <v>20093.34</v>
      </c>
      <c r="G73" s="300"/>
      <c r="H73" s="416">
        <f t="shared" si="2"/>
        <v>42224923.291379489</v>
      </c>
      <c r="I73" s="158"/>
      <c r="J73" s="301">
        <v>34.299999999999997</v>
      </c>
      <c r="K73" s="301">
        <v>48.1</v>
      </c>
      <c r="L73" s="301">
        <v>2230691.3813795121</v>
      </c>
      <c r="M73" s="294"/>
      <c r="N73" s="294">
        <v>30</v>
      </c>
      <c r="O73" s="301">
        <v>1</v>
      </c>
      <c r="P73" s="301">
        <v>139.9</v>
      </c>
      <c r="Q73" s="301">
        <v>6.1</v>
      </c>
      <c r="R73" s="301">
        <v>64</v>
      </c>
      <c r="S73" s="301">
        <v>60.1</v>
      </c>
      <c r="T73" s="301">
        <v>84.1</v>
      </c>
      <c r="U73" s="301">
        <v>345.5</v>
      </c>
      <c r="V73" s="301">
        <v>5.6</v>
      </c>
      <c r="W73" s="301">
        <v>63.6</v>
      </c>
      <c r="X73" s="301">
        <v>60.1</v>
      </c>
      <c r="Y73" s="301">
        <v>207.5</v>
      </c>
      <c r="Z73" s="301">
        <v>28864</v>
      </c>
      <c r="AA73" s="301">
        <v>130.1</v>
      </c>
      <c r="AB73" s="301">
        <v>155.4</v>
      </c>
      <c r="AC73" s="301">
        <v>131.69999999999999</v>
      </c>
    </row>
    <row r="74" spans="1:29" x14ac:dyDescent="0.3">
      <c r="A74" s="209">
        <v>42644</v>
      </c>
      <c r="B74" s="416">
        <v>35855555.68999996</v>
      </c>
      <c r="C74" s="421">
        <v>367829.6</v>
      </c>
      <c r="D74" s="476">
        <f t="shared" si="3"/>
        <v>2284710.3898579055</v>
      </c>
      <c r="E74" s="300"/>
      <c r="F74" s="300">
        <v>13242.140000000001</v>
      </c>
      <c r="G74" s="300"/>
      <c r="H74" s="416">
        <f t="shared" si="2"/>
        <v>38494853.539857864</v>
      </c>
      <c r="I74" s="158"/>
      <c r="J74" s="301">
        <v>198.7</v>
      </c>
      <c r="K74" s="301">
        <v>5.0999999999999996</v>
      </c>
      <c r="L74" s="301">
        <v>2284710.3898579055</v>
      </c>
      <c r="M74" s="294"/>
      <c r="N74" s="294">
        <v>31</v>
      </c>
      <c r="O74" s="301">
        <v>1</v>
      </c>
      <c r="P74" s="301">
        <v>139.9</v>
      </c>
      <c r="Q74" s="301">
        <v>5.6</v>
      </c>
      <c r="R74" s="301">
        <v>63.5</v>
      </c>
      <c r="S74" s="301">
        <v>60</v>
      </c>
      <c r="T74" s="301">
        <v>83.9</v>
      </c>
      <c r="U74" s="301">
        <v>345.8</v>
      </c>
      <c r="V74" s="301">
        <v>5.3</v>
      </c>
      <c r="W74" s="301">
        <v>64.2</v>
      </c>
      <c r="X74" s="301">
        <v>60.8</v>
      </c>
      <c r="Y74" s="301">
        <v>210.2</v>
      </c>
      <c r="Z74" s="301">
        <v>28858</v>
      </c>
      <c r="AA74" s="301">
        <v>130.6</v>
      </c>
      <c r="AB74" s="301">
        <v>157.80000000000001</v>
      </c>
      <c r="AC74" s="301">
        <v>132</v>
      </c>
    </row>
    <row r="75" spans="1:29" x14ac:dyDescent="0.3">
      <c r="A75" s="209">
        <v>42675</v>
      </c>
      <c r="B75" s="416">
        <v>36559281.450000003</v>
      </c>
      <c r="C75" s="421">
        <v>260374.9</v>
      </c>
      <c r="D75" s="476">
        <f t="shared" si="3"/>
        <v>2338729.3983362988</v>
      </c>
      <c r="E75" s="300"/>
      <c r="F75" s="300">
        <v>29919.379999999997</v>
      </c>
      <c r="G75" s="300"/>
      <c r="H75" s="416">
        <f t="shared" si="2"/>
        <v>39128466.368336298</v>
      </c>
      <c r="I75" s="158"/>
      <c r="J75" s="301">
        <v>356.7</v>
      </c>
      <c r="K75" s="301">
        <v>0</v>
      </c>
      <c r="L75" s="301">
        <v>2338729.3983362988</v>
      </c>
      <c r="M75" s="294"/>
      <c r="N75" s="294">
        <v>30</v>
      </c>
      <c r="O75" s="301">
        <v>1</v>
      </c>
      <c r="P75" s="301">
        <v>139.9</v>
      </c>
      <c r="Q75" s="301">
        <v>4.8</v>
      </c>
      <c r="R75" s="301">
        <v>62.5</v>
      </c>
      <c r="S75" s="301">
        <v>59.6</v>
      </c>
      <c r="T75" s="301">
        <v>83.4</v>
      </c>
      <c r="U75" s="301">
        <v>346</v>
      </c>
      <c r="V75" s="301">
        <v>5.3</v>
      </c>
      <c r="W75" s="301">
        <v>63.8</v>
      </c>
      <c r="X75" s="301">
        <v>60.4</v>
      </c>
      <c r="Y75" s="301">
        <v>209</v>
      </c>
      <c r="Z75" s="301">
        <v>28896</v>
      </c>
      <c r="AA75" s="301">
        <v>130.19999999999999</v>
      </c>
      <c r="AB75" s="301">
        <v>155.19999999999999</v>
      </c>
      <c r="AC75" s="301">
        <v>131.69999999999999</v>
      </c>
    </row>
    <row r="76" spans="1:29" x14ac:dyDescent="0.3">
      <c r="A76" s="209">
        <v>42705</v>
      </c>
      <c r="B76" s="416">
        <v>42534516.759999998</v>
      </c>
      <c r="C76" s="421">
        <v>192825.2</v>
      </c>
      <c r="D76" s="476">
        <f t="shared" si="3"/>
        <v>2392748.4068146921</v>
      </c>
      <c r="E76" s="300"/>
      <c r="F76" s="300">
        <v>152017.98000000001</v>
      </c>
      <c r="G76" s="300"/>
      <c r="H76" s="416">
        <f t="shared" si="2"/>
        <v>44968072.386814691</v>
      </c>
      <c r="I76" s="158"/>
      <c r="J76" s="301">
        <v>581.20000000000005</v>
      </c>
      <c r="K76" s="301">
        <v>0</v>
      </c>
      <c r="L76" s="301">
        <v>2392748.4068146921</v>
      </c>
      <c r="M76" s="294"/>
      <c r="N76" s="294">
        <v>31</v>
      </c>
      <c r="O76" s="301">
        <v>0</v>
      </c>
      <c r="P76" s="301">
        <v>140.1</v>
      </c>
      <c r="Q76" s="301">
        <v>4.7</v>
      </c>
      <c r="R76" s="301">
        <v>62.7</v>
      </c>
      <c r="S76" s="301">
        <v>59.7</v>
      </c>
      <c r="T76" s="301">
        <v>83.7</v>
      </c>
      <c r="U76" s="301">
        <v>346.1</v>
      </c>
      <c r="V76" s="301">
        <v>5.8</v>
      </c>
      <c r="W76" s="301">
        <v>63.4</v>
      </c>
      <c r="X76" s="301">
        <v>59.8</v>
      </c>
      <c r="Y76" s="301">
        <v>206.8</v>
      </c>
      <c r="Z76" s="301">
        <v>28913</v>
      </c>
      <c r="AA76" s="301">
        <v>130</v>
      </c>
      <c r="AB76" s="301">
        <v>158.1</v>
      </c>
      <c r="AC76" s="301">
        <v>131.5</v>
      </c>
    </row>
    <row r="77" spans="1:29" x14ac:dyDescent="0.3">
      <c r="A77" s="209">
        <v>42736</v>
      </c>
      <c r="B77" s="416">
        <v>43062641.590000018</v>
      </c>
      <c r="C77" s="421">
        <v>84547.299999999988</v>
      </c>
      <c r="D77" s="476">
        <f t="shared" si="3"/>
        <v>2432562.491074306</v>
      </c>
      <c r="E77" s="300"/>
      <c r="F77" s="300">
        <v>15766.96</v>
      </c>
      <c r="G77" s="300"/>
      <c r="H77" s="416">
        <f t="shared" si="2"/>
        <v>45563984.421074323</v>
      </c>
      <c r="I77" s="158"/>
      <c r="J77" s="301">
        <v>593.9</v>
      </c>
      <c r="K77" s="301">
        <v>0</v>
      </c>
      <c r="L77" s="301">
        <v>2432562.491074306</v>
      </c>
      <c r="M77" s="294"/>
      <c r="N77" s="294">
        <v>31</v>
      </c>
      <c r="O77" s="301">
        <v>0</v>
      </c>
      <c r="P77" s="301">
        <v>140.19999999999999</v>
      </c>
      <c r="Q77" s="301">
        <v>5</v>
      </c>
      <c r="R77" s="301">
        <v>62.8</v>
      </c>
      <c r="S77" s="301">
        <v>59.6</v>
      </c>
      <c r="T77" s="301">
        <v>83.6</v>
      </c>
      <c r="U77" s="301">
        <v>346.3</v>
      </c>
      <c r="V77" s="301">
        <v>6.7</v>
      </c>
      <c r="W77" s="301">
        <v>61.7</v>
      </c>
      <c r="X77" s="301">
        <v>57.6</v>
      </c>
      <c r="Y77" s="301">
        <v>199.4</v>
      </c>
      <c r="Z77" s="301">
        <v>28933</v>
      </c>
      <c r="AA77" s="301">
        <v>130.80000000000001</v>
      </c>
      <c r="AB77" s="301">
        <v>162.9</v>
      </c>
      <c r="AC77" s="301">
        <v>132.1</v>
      </c>
    </row>
    <row r="78" spans="1:29" x14ac:dyDescent="0.3">
      <c r="A78" s="444">
        <v>42767</v>
      </c>
      <c r="B78" s="416">
        <v>37522207.099999994</v>
      </c>
      <c r="C78" s="421">
        <v>97386.700000000012</v>
      </c>
      <c r="D78" s="476">
        <f t="shared" si="3"/>
        <v>2472376.5753339198</v>
      </c>
      <c r="E78" s="300"/>
      <c r="F78" s="300">
        <v>85703.53</v>
      </c>
      <c r="G78" s="300"/>
      <c r="H78" s="416">
        <f t="shared" si="2"/>
        <v>40006266.845333911</v>
      </c>
      <c r="I78" s="158"/>
      <c r="J78" s="301">
        <v>487.8</v>
      </c>
      <c r="K78" s="301">
        <v>0</v>
      </c>
      <c r="L78" s="301">
        <v>2472376.5753339198</v>
      </c>
      <c r="M78" s="294"/>
      <c r="N78" s="294">
        <v>29</v>
      </c>
      <c r="O78" s="301">
        <v>0</v>
      </c>
      <c r="P78" s="301">
        <v>140.30000000000001</v>
      </c>
      <c r="Q78" s="301">
        <v>5.8</v>
      </c>
      <c r="R78" s="301">
        <v>63.7</v>
      </c>
      <c r="S78" s="301">
        <v>60</v>
      </c>
      <c r="T78" s="301">
        <v>84.2</v>
      </c>
      <c r="U78" s="301">
        <v>346.4</v>
      </c>
      <c r="V78" s="301">
        <v>7.2</v>
      </c>
      <c r="W78" s="301">
        <v>60.4</v>
      </c>
      <c r="X78" s="301">
        <v>56</v>
      </c>
      <c r="Y78" s="301">
        <v>194.1</v>
      </c>
      <c r="Z78" s="301">
        <v>28960</v>
      </c>
      <c r="AA78" s="301">
        <v>131.19999999999999</v>
      </c>
      <c r="AB78" s="301">
        <v>159.19999999999999</v>
      </c>
      <c r="AC78" s="301">
        <v>132.5</v>
      </c>
    </row>
    <row r="79" spans="1:29" x14ac:dyDescent="0.3">
      <c r="A79" s="209">
        <v>42795</v>
      </c>
      <c r="B79" s="416">
        <v>41370878.749999993</v>
      </c>
      <c r="C79" s="421">
        <v>206276.9</v>
      </c>
      <c r="D79" s="476">
        <f t="shared" si="3"/>
        <v>2512190.6595935337</v>
      </c>
      <c r="E79" s="300"/>
      <c r="F79" s="300">
        <v>13738.92</v>
      </c>
      <c r="G79" s="300"/>
      <c r="H79" s="416">
        <f t="shared" si="2"/>
        <v>44075607.389593527</v>
      </c>
      <c r="I79" s="158"/>
      <c r="J79" s="301">
        <v>555.29999999999995</v>
      </c>
      <c r="K79" s="301">
        <v>0</v>
      </c>
      <c r="L79" s="301">
        <v>2512190.6595935337</v>
      </c>
      <c r="M79" s="294"/>
      <c r="N79" s="294">
        <v>31</v>
      </c>
      <c r="O79" s="301">
        <v>1</v>
      </c>
      <c r="P79" s="301">
        <v>140.5</v>
      </c>
      <c r="Q79" s="301">
        <v>6.2</v>
      </c>
      <c r="R79" s="301">
        <v>64.599999999999994</v>
      </c>
      <c r="S79" s="301">
        <v>60.5</v>
      </c>
      <c r="T79" s="301">
        <v>85</v>
      </c>
      <c r="U79" s="301">
        <v>346.6</v>
      </c>
      <c r="V79" s="301">
        <v>7.7</v>
      </c>
      <c r="W79" s="301">
        <v>59.7</v>
      </c>
      <c r="X79" s="301">
        <v>55.1</v>
      </c>
      <c r="Y79" s="301">
        <v>191</v>
      </c>
      <c r="Z79" s="301">
        <v>28960</v>
      </c>
      <c r="AA79" s="301">
        <v>131.4</v>
      </c>
      <c r="AB79" s="301">
        <v>156.9</v>
      </c>
      <c r="AC79" s="301">
        <v>133</v>
      </c>
    </row>
    <row r="80" spans="1:29" x14ac:dyDescent="0.3">
      <c r="A80" s="209">
        <v>42826</v>
      </c>
      <c r="B80" s="416">
        <v>35639117.619999968</v>
      </c>
      <c r="C80" s="421">
        <v>255473.9</v>
      </c>
      <c r="D80" s="476">
        <f t="shared" si="3"/>
        <v>2552004.7438531476</v>
      </c>
      <c r="E80" s="300"/>
      <c r="F80" s="300">
        <v>947126.52</v>
      </c>
      <c r="G80" s="300"/>
      <c r="H80" s="416">
        <f t="shared" si="2"/>
        <v>37499469.743853115</v>
      </c>
      <c r="I80" s="158"/>
      <c r="J80" s="301">
        <v>261.8</v>
      </c>
      <c r="K80" s="301">
        <v>0.5</v>
      </c>
      <c r="L80" s="301">
        <v>2552004.7438531476</v>
      </c>
      <c r="M80" s="294"/>
      <c r="N80" s="294">
        <v>30</v>
      </c>
      <c r="O80" s="301">
        <v>1</v>
      </c>
      <c r="P80" s="301">
        <v>140.6</v>
      </c>
      <c r="Q80" s="301">
        <v>6</v>
      </c>
      <c r="R80" s="301">
        <v>65.099999999999994</v>
      </c>
      <c r="S80" s="301">
        <v>61.2</v>
      </c>
      <c r="T80" s="301">
        <v>86.1</v>
      </c>
      <c r="U80" s="301">
        <v>346.9</v>
      </c>
      <c r="V80" s="301">
        <v>7.9</v>
      </c>
      <c r="W80" s="301">
        <v>59.8</v>
      </c>
      <c r="X80" s="301">
        <v>55.1</v>
      </c>
      <c r="Y80" s="301">
        <v>191</v>
      </c>
      <c r="Z80" s="301">
        <v>28969</v>
      </c>
      <c r="AA80" s="301">
        <v>132</v>
      </c>
      <c r="AB80" s="301">
        <v>165.3</v>
      </c>
      <c r="AC80" s="301">
        <v>133.6</v>
      </c>
    </row>
    <row r="81" spans="1:29" x14ac:dyDescent="0.3">
      <c r="A81" s="209">
        <v>42856</v>
      </c>
      <c r="B81" s="416">
        <v>36632679.980000012</v>
      </c>
      <c r="C81" s="421">
        <v>322809.59999999998</v>
      </c>
      <c r="D81" s="476">
        <f t="shared" si="3"/>
        <v>2591818.8281127615</v>
      </c>
      <c r="E81" s="300"/>
      <c r="F81" s="300">
        <v>1322365.27</v>
      </c>
      <c r="G81" s="300"/>
      <c r="H81" s="416">
        <f t="shared" si="2"/>
        <v>38224943.138112769</v>
      </c>
      <c r="I81" s="158"/>
      <c r="J81" s="301">
        <v>168.3</v>
      </c>
      <c r="K81" s="301">
        <v>6.5</v>
      </c>
      <c r="L81" s="301">
        <v>2591818.8281127615</v>
      </c>
      <c r="M81" s="294"/>
      <c r="N81" s="294">
        <v>31</v>
      </c>
      <c r="O81" s="301">
        <v>1</v>
      </c>
      <c r="P81" s="301">
        <v>140.80000000000001</v>
      </c>
      <c r="Q81" s="301">
        <v>5.7</v>
      </c>
      <c r="R81" s="301">
        <v>66.099999999999994</v>
      </c>
      <c r="S81" s="301">
        <v>62.4</v>
      </c>
      <c r="T81" s="301">
        <v>87.8</v>
      </c>
      <c r="U81" s="301">
        <v>347.1</v>
      </c>
      <c r="V81" s="301">
        <v>7.4</v>
      </c>
      <c r="W81" s="301">
        <v>60.7</v>
      </c>
      <c r="X81" s="301">
        <v>56.2</v>
      </c>
      <c r="Y81" s="301">
        <v>195.1</v>
      </c>
      <c r="Z81" s="301">
        <v>29025</v>
      </c>
      <c r="AA81" s="301">
        <v>131.9</v>
      </c>
      <c r="AB81" s="301">
        <v>158.19999999999999</v>
      </c>
      <c r="AC81" s="301">
        <v>133.69999999999999</v>
      </c>
    </row>
    <row r="82" spans="1:29" x14ac:dyDescent="0.3">
      <c r="A82" s="209">
        <v>42887</v>
      </c>
      <c r="B82" s="416">
        <v>38109511.749999993</v>
      </c>
      <c r="C82" s="421">
        <v>361078.1</v>
      </c>
      <c r="D82" s="476">
        <f t="shared" si="3"/>
        <v>2631632.9123723754</v>
      </c>
      <c r="E82" s="300"/>
      <c r="F82" s="300">
        <v>314805.08999999997</v>
      </c>
      <c r="G82" s="300"/>
      <c r="H82" s="416">
        <f t="shared" si="2"/>
        <v>40787417.672372364</v>
      </c>
      <c r="I82" s="158"/>
      <c r="J82" s="301">
        <v>32.6</v>
      </c>
      <c r="K82" s="301">
        <v>62.2</v>
      </c>
      <c r="L82" s="301">
        <v>2631632.9123723754</v>
      </c>
      <c r="M82" s="294"/>
      <c r="N82" s="294">
        <v>30</v>
      </c>
      <c r="O82" s="301">
        <v>0</v>
      </c>
      <c r="P82" s="301">
        <v>141</v>
      </c>
      <c r="Q82" s="301">
        <v>5.3</v>
      </c>
      <c r="R82" s="301">
        <v>66.400000000000006</v>
      </c>
      <c r="S82" s="301">
        <v>62.8</v>
      </c>
      <c r="T82" s="301">
        <v>88.6</v>
      </c>
      <c r="U82" s="301">
        <v>347.5</v>
      </c>
      <c r="V82" s="301">
        <v>6.7</v>
      </c>
      <c r="W82" s="301">
        <v>61.3</v>
      </c>
      <c r="X82" s="301">
        <v>57.2</v>
      </c>
      <c r="Y82" s="301">
        <v>198.8</v>
      </c>
      <c r="Z82" s="301">
        <v>29019</v>
      </c>
      <c r="AA82" s="301">
        <v>132.1</v>
      </c>
      <c r="AB82" s="301">
        <v>154.69999999999999</v>
      </c>
      <c r="AC82" s="301">
        <v>134.19999999999999</v>
      </c>
    </row>
    <row r="83" spans="1:29" x14ac:dyDescent="0.3">
      <c r="A83" s="209">
        <v>42917</v>
      </c>
      <c r="B83" s="416">
        <v>43845120.699999988</v>
      </c>
      <c r="C83" s="421">
        <v>443172.4</v>
      </c>
      <c r="D83" s="476">
        <f t="shared" si="3"/>
        <v>2671446.9966319893</v>
      </c>
      <c r="E83" s="300"/>
      <c r="F83" s="300">
        <v>14305.609999999999</v>
      </c>
      <c r="G83" s="300"/>
      <c r="H83" s="416">
        <f t="shared" si="2"/>
        <v>46945434.486631975</v>
      </c>
      <c r="I83" s="158"/>
      <c r="J83" s="301">
        <v>2.2000000000000002</v>
      </c>
      <c r="K83" s="301">
        <v>88.1</v>
      </c>
      <c r="L83" s="301">
        <v>2671446.9966319893</v>
      </c>
      <c r="M83" s="294"/>
      <c r="N83" s="294">
        <v>31</v>
      </c>
      <c r="O83" s="301">
        <v>0</v>
      </c>
      <c r="P83" s="301">
        <v>141.30000000000001</v>
      </c>
      <c r="Q83" s="301">
        <v>5.8</v>
      </c>
      <c r="R83" s="301">
        <v>66.7</v>
      </c>
      <c r="S83" s="301">
        <v>62.9</v>
      </c>
      <c r="T83" s="301">
        <v>88.9</v>
      </c>
      <c r="U83" s="301">
        <v>347.8</v>
      </c>
      <c r="V83" s="301">
        <v>5.8</v>
      </c>
      <c r="W83" s="301">
        <v>62.4</v>
      </c>
      <c r="X83" s="301">
        <v>58.8</v>
      </c>
      <c r="Y83" s="301">
        <v>204.6</v>
      </c>
      <c r="Z83" s="301">
        <v>29037</v>
      </c>
      <c r="AA83" s="301">
        <v>131.9</v>
      </c>
      <c r="AB83" s="301">
        <v>151.6</v>
      </c>
      <c r="AC83" s="301">
        <v>134</v>
      </c>
    </row>
    <row r="84" spans="1:29" x14ac:dyDescent="0.3">
      <c r="A84" s="209">
        <v>42948</v>
      </c>
      <c r="B84" s="416">
        <v>43171748.199999966</v>
      </c>
      <c r="C84" s="421">
        <v>421413.8</v>
      </c>
      <c r="D84" s="476">
        <f t="shared" si="3"/>
        <v>2711261.0808916031</v>
      </c>
      <c r="E84" s="300"/>
      <c r="F84" s="300">
        <v>13205.18</v>
      </c>
      <c r="G84" s="300"/>
      <c r="H84" s="416">
        <f t="shared" si="2"/>
        <v>46291217.900891572</v>
      </c>
      <c r="I84" s="158"/>
      <c r="J84" s="301">
        <v>19.2</v>
      </c>
      <c r="K84" s="301">
        <v>50.8</v>
      </c>
      <c r="L84" s="301">
        <v>2711261.0808916031</v>
      </c>
      <c r="M84" s="294"/>
      <c r="N84" s="294">
        <v>31</v>
      </c>
      <c r="O84" s="301">
        <v>0</v>
      </c>
      <c r="P84" s="301">
        <v>141.6</v>
      </c>
      <c r="Q84" s="301">
        <v>6</v>
      </c>
      <c r="R84" s="301">
        <v>66.2</v>
      </c>
      <c r="S84" s="301">
        <v>62.2</v>
      </c>
      <c r="T84" s="301">
        <v>88.1</v>
      </c>
      <c r="U84" s="301">
        <v>348.2</v>
      </c>
      <c r="V84" s="301">
        <v>5.9</v>
      </c>
      <c r="W84" s="301">
        <v>62.6</v>
      </c>
      <c r="X84" s="301">
        <v>58.8</v>
      </c>
      <c r="Y84" s="301">
        <v>204.9</v>
      </c>
      <c r="Z84" s="301">
        <v>29054</v>
      </c>
      <c r="AA84" s="301">
        <v>131.80000000000001</v>
      </c>
      <c r="AB84" s="301">
        <v>152.9</v>
      </c>
      <c r="AC84" s="301">
        <v>133.80000000000001</v>
      </c>
    </row>
    <row r="85" spans="1:29" x14ac:dyDescent="0.3">
      <c r="A85" s="209">
        <v>42979</v>
      </c>
      <c r="B85" s="416">
        <v>38578980.680000037</v>
      </c>
      <c r="C85" s="421">
        <v>418377.68</v>
      </c>
      <c r="D85" s="476">
        <f t="shared" si="3"/>
        <v>2751075.165151217</v>
      </c>
      <c r="E85" s="300"/>
      <c r="F85" s="300">
        <v>24372.95</v>
      </c>
      <c r="G85" s="300"/>
      <c r="H85" s="416">
        <f t="shared" si="2"/>
        <v>41724060.57515125</v>
      </c>
      <c r="I85" s="158"/>
      <c r="J85" s="301">
        <v>66.5</v>
      </c>
      <c r="K85" s="301">
        <v>49.3</v>
      </c>
      <c r="L85" s="301">
        <v>2751075.165151217</v>
      </c>
      <c r="M85" s="294"/>
      <c r="N85" s="294">
        <v>30</v>
      </c>
      <c r="O85" s="301">
        <v>1</v>
      </c>
      <c r="P85" s="301">
        <v>141.6</v>
      </c>
      <c r="Q85" s="301">
        <v>6.1</v>
      </c>
      <c r="R85" s="301">
        <v>65.7</v>
      </c>
      <c r="S85" s="301">
        <v>61.7</v>
      </c>
      <c r="T85" s="301">
        <v>87.4</v>
      </c>
      <c r="U85" s="301">
        <v>348.5</v>
      </c>
      <c r="V85" s="301">
        <v>5.7</v>
      </c>
      <c r="W85" s="301">
        <v>61.5</v>
      </c>
      <c r="X85" s="301">
        <v>58</v>
      </c>
      <c r="Y85" s="301">
        <v>202.2</v>
      </c>
      <c r="Z85" s="301">
        <v>29085</v>
      </c>
      <c r="AA85" s="301">
        <v>132.30000000000001</v>
      </c>
      <c r="AB85" s="301">
        <v>158.5</v>
      </c>
      <c r="AC85" s="301">
        <v>134.4</v>
      </c>
    </row>
    <row r="86" spans="1:29" x14ac:dyDescent="0.3">
      <c r="A86" s="209">
        <v>43009</v>
      </c>
      <c r="B86" s="416">
        <v>35892870.779999956</v>
      </c>
      <c r="C86" s="421">
        <v>372024.06</v>
      </c>
      <c r="D86" s="476">
        <f t="shared" si="3"/>
        <v>2790889.2494108309</v>
      </c>
      <c r="E86" s="300"/>
      <c r="F86" s="300">
        <v>8114.58</v>
      </c>
      <c r="G86" s="300"/>
      <c r="H86" s="416">
        <f t="shared" si="2"/>
        <v>39047669.509410791</v>
      </c>
      <c r="I86" s="158"/>
      <c r="J86" s="301">
        <v>152</v>
      </c>
      <c r="K86" s="301">
        <v>6.4</v>
      </c>
      <c r="L86" s="301">
        <v>2790889.2494108309</v>
      </c>
      <c r="M86" s="294"/>
      <c r="N86" s="294">
        <v>31</v>
      </c>
      <c r="O86" s="301">
        <v>1</v>
      </c>
      <c r="P86" s="301">
        <v>141.69999999999999</v>
      </c>
      <c r="Q86" s="301">
        <v>5.6</v>
      </c>
      <c r="R86" s="301">
        <v>65</v>
      </c>
      <c r="S86" s="301">
        <v>61.3</v>
      </c>
      <c r="T86" s="301">
        <v>86.9</v>
      </c>
      <c r="U86" s="301">
        <v>348.9</v>
      </c>
      <c r="V86" s="301">
        <v>6.1</v>
      </c>
      <c r="W86" s="301">
        <v>60.7</v>
      </c>
      <c r="X86" s="301">
        <v>57</v>
      </c>
      <c r="Y86" s="301">
        <v>198.9</v>
      </c>
      <c r="Z86" s="301">
        <v>29091</v>
      </c>
      <c r="AA86" s="301">
        <v>132.30000000000001</v>
      </c>
      <c r="AB86" s="301">
        <v>154.69999999999999</v>
      </c>
      <c r="AC86" s="301">
        <v>134.30000000000001</v>
      </c>
    </row>
    <row r="87" spans="1:29" x14ac:dyDescent="0.3">
      <c r="A87" s="209">
        <v>43040</v>
      </c>
      <c r="B87" s="416">
        <v>38713504.909999996</v>
      </c>
      <c r="C87" s="421">
        <v>247238.7</v>
      </c>
      <c r="D87" s="476">
        <f t="shared" si="3"/>
        <v>2830703.3336704448</v>
      </c>
      <c r="E87" s="300"/>
      <c r="F87" s="300">
        <v>11792.42</v>
      </c>
      <c r="G87" s="300"/>
      <c r="H87" s="416">
        <f t="shared" si="2"/>
        <v>41779654.523670442</v>
      </c>
      <c r="I87" s="158"/>
      <c r="J87" s="301">
        <v>426.4</v>
      </c>
      <c r="K87" s="301">
        <v>0</v>
      </c>
      <c r="L87" s="301">
        <v>2830703.3336704448</v>
      </c>
      <c r="M87" s="294"/>
      <c r="N87" s="294">
        <v>30</v>
      </c>
      <c r="O87" s="301">
        <v>1</v>
      </c>
      <c r="P87" s="301">
        <v>141.80000000000001</v>
      </c>
      <c r="Q87" s="301">
        <v>5</v>
      </c>
      <c r="R87" s="301">
        <v>64.599999999999994</v>
      </c>
      <c r="S87" s="301">
        <v>61.4</v>
      </c>
      <c r="T87" s="301">
        <v>87</v>
      </c>
      <c r="U87" s="301">
        <v>349.2</v>
      </c>
      <c r="V87" s="301">
        <v>6</v>
      </c>
      <c r="W87" s="301">
        <v>60.1</v>
      </c>
      <c r="X87" s="301">
        <v>56.5</v>
      </c>
      <c r="Y87" s="301">
        <v>197.4</v>
      </c>
      <c r="Z87" s="301">
        <v>29149</v>
      </c>
      <c r="AA87" s="301">
        <v>132.69999999999999</v>
      </c>
      <c r="AB87" s="301">
        <v>160.1</v>
      </c>
      <c r="AC87" s="301">
        <v>134.6</v>
      </c>
    </row>
    <row r="88" spans="1:29" x14ac:dyDescent="0.3">
      <c r="A88" s="209">
        <v>43070</v>
      </c>
      <c r="B88" s="416">
        <v>43791007.450000025</v>
      </c>
      <c r="C88" s="421">
        <v>133312</v>
      </c>
      <c r="D88" s="476">
        <f t="shared" si="3"/>
        <v>2870517.4179300587</v>
      </c>
      <c r="E88" s="300"/>
      <c r="F88" s="300">
        <v>13076.74</v>
      </c>
      <c r="G88" s="300"/>
      <c r="H88" s="416">
        <f t="shared" si="2"/>
        <v>46781760.127930082</v>
      </c>
      <c r="I88" s="158"/>
      <c r="J88" s="301">
        <v>711.3</v>
      </c>
      <c r="K88" s="301">
        <v>0</v>
      </c>
      <c r="L88" s="301">
        <v>2870517.4179300587</v>
      </c>
      <c r="M88" s="294"/>
      <c r="N88" s="294">
        <v>31</v>
      </c>
      <c r="O88" s="301">
        <v>0</v>
      </c>
      <c r="P88" s="301">
        <v>142</v>
      </c>
      <c r="Q88" s="301">
        <v>4.5999999999999996</v>
      </c>
      <c r="R88" s="301">
        <v>64.900000000000006</v>
      </c>
      <c r="S88" s="301">
        <v>62</v>
      </c>
      <c r="T88" s="301">
        <v>88</v>
      </c>
      <c r="U88" s="301">
        <v>349.5</v>
      </c>
      <c r="V88" s="301">
        <v>6.1</v>
      </c>
      <c r="W88" s="301">
        <v>60.5</v>
      </c>
      <c r="X88" s="301">
        <v>56.8</v>
      </c>
      <c r="Y88" s="301">
        <v>198.5</v>
      </c>
      <c r="Z88" s="301">
        <v>29158</v>
      </c>
      <c r="AA88" s="301">
        <v>132</v>
      </c>
      <c r="AB88" s="301">
        <v>159.30000000000001</v>
      </c>
      <c r="AC88" s="301">
        <v>134</v>
      </c>
    </row>
    <row r="89" spans="1:29" x14ac:dyDescent="0.3">
      <c r="A89" s="209">
        <v>43101</v>
      </c>
      <c r="B89" s="416">
        <v>47052385.459999971</v>
      </c>
      <c r="C89" s="421">
        <v>52819.100000000006</v>
      </c>
      <c r="D89" s="476">
        <f t="shared" si="3"/>
        <v>2889719.2868504198</v>
      </c>
      <c r="E89" s="300"/>
      <c r="F89" s="300">
        <v>10484.75</v>
      </c>
      <c r="G89" s="300"/>
      <c r="H89" s="416">
        <f t="shared" si="2"/>
        <v>49984439.096850388</v>
      </c>
      <c r="I89" s="158"/>
      <c r="J89" s="301">
        <v>731</v>
      </c>
      <c r="K89" s="301">
        <v>0</v>
      </c>
      <c r="L89" s="301">
        <v>2889719.2868504198</v>
      </c>
      <c r="M89" s="294"/>
      <c r="N89" s="294">
        <v>31</v>
      </c>
      <c r="O89" s="301">
        <v>0</v>
      </c>
      <c r="P89" s="301">
        <v>142.19999999999999</v>
      </c>
      <c r="Q89" s="301">
        <v>4.8</v>
      </c>
      <c r="R89" s="301">
        <v>64.5</v>
      </c>
      <c r="S89" s="301">
        <v>61.3</v>
      </c>
      <c r="T89" s="301">
        <v>87.2</v>
      </c>
      <c r="U89" s="301">
        <v>349.8</v>
      </c>
      <c r="V89" s="301">
        <v>5.8</v>
      </c>
      <c r="W89" s="301">
        <v>60</v>
      </c>
      <c r="X89" s="301">
        <v>56.5</v>
      </c>
      <c r="Y89" s="301">
        <v>197.8</v>
      </c>
      <c r="Z89" s="301">
        <v>29201</v>
      </c>
      <c r="AA89" s="301">
        <v>133.19999999999999</v>
      </c>
      <c r="AB89" s="301">
        <v>163.19999999999999</v>
      </c>
      <c r="AC89" s="301">
        <v>135.30000000000001</v>
      </c>
    </row>
    <row r="90" spans="1:29" x14ac:dyDescent="0.3">
      <c r="A90" s="209">
        <v>43132</v>
      </c>
      <c r="B90" s="416">
        <v>39540897.230000019</v>
      </c>
      <c r="C90" s="421">
        <v>102538</v>
      </c>
      <c r="D90" s="476">
        <f t="shared" si="3"/>
        <v>2908921.155770781</v>
      </c>
      <c r="E90" s="300"/>
      <c r="F90" s="300">
        <v>11833.29</v>
      </c>
      <c r="G90" s="300"/>
      <c r="H90" s="416">
        <f t="shared" si="2"/>
        <v>42540523.095770799</v>
      </c>
      <c r="I90" s="158"/>
      <c r="J90" s="301">
        <v>540.29999999999995</v>
      </c>
      <c r="K90" s="301">
        <v>0</v>
      </c>
      <c r="L90" s="301">
        <v>2908921.155770781</v>
      </c>
      <c r="M90" s="294"/>
      <c r="N90" s="294">
        <v>28</v>
      </c>
      <c r="O90" s="301">
        <v>0</v>
      </c>
      <c r="P90" s="301">
        <v>142.4</v>
      </c>
      <c r="Q90" s="301">
        <v>5.2</v>
      </c>
      <c r="R90" s="301">
        <v>64</v>
      </c>
      <c r="S90" s="301">
        <v>60.7</v>
      </c>
      <c r="T90" s="301">
        <v>86.5</v>
      </c>
      <c r="U90" s="301">
        <v>350.2</v>
      </c>
      <c r="V90" s="301">
        <v>5.6</v>
      </c>
      <c r="W90" s="301">
        <v>59.5</v>
      </c>
      <c r="X90" s="301">
        <v>56.2</v>
      </c>
      <c r="Y90" s="301">
        <v>196.8</v>
      </c>
      <c r="Z90" s="301">
        <v>29208</v>
      </c>
      <c r="AA90" s="301">
        <v>134</v>
      </c>
      <c r="AB90" s="301">
        <v>162.30000000000001</v>
      </c>
      <c r="AC90" s="301">
        <v>136</v>
      </c>
    </row>
    <row r="91" spans="1:29" x14ac:dyDescent="0.3">
      <c r="A91" s="209">
        <v>43160</v>
      </c>
      <c r="B91" s="416">
        <v>41548740.249999993</v>
      </c>
      <c r="C91" s="421">
        <v>121362.9</v>
      </c>
      <c r="D91" s="476">
        <f t="shared" si="3"/>
        <v>2928123.0246911421</v>
      </c>
      <c r="E91" s="300"/>
      <c r="F91" s="300">
        <v>13193.5</v>
      </c>
      <c r="G91" s="300"/>
      <c r="H91" s="416">
        <f t="shared" si="2"/>
        <v>44585032.674691133</v>
      </c>
      <c r="I91" s="158"/>
      <c r="J91" s="301">
        <v>577.70000000000005</v>
      </c>
      <c r="K91" s="301">
        <v>0</v>
      </c>
      <c r="L91" s="301">
        <v>2928123.0246911421</v>
      </c>
      <c r="M91" s="294"/>
      <c r="N91" s="294">
        <v>31</v>
      </c>
      <c r="O91" s="301">
        <v>1</v>
      </c>
      <c r="P91" s="301">
        <v>142.6</v>
      </c>
      <c r="Q91" s="301">
        <v>5.5</v>
      </c>
      <c r="R91" s="301">
        <v>63.5</v>
      </c>
      <c r="S91" s="301">
        <v>60</v>
      </c>
      <c r="T91" s="301">
        <v>85.5</v>
      </c>
      <c r="U91" s="301">
        <v>350.6</v>
      </c>
      <c r="V91" s="301">
        <v>6.6</v>
      </c>
      <c r="W91" s="301">
        <v>59.7</v>
      </c>
      <c r="X91" s="301">
        <v>55.7</v>
      </c>
      <c r="Y91" s="301">
        <v>195.4</v>
      </c>
      <c r="Z91" s="301">
        <v>29230</v>
      </c>
      <c r="AA91" s="301">
        <v>134.6</v>
      </c>
      <c r="AB91" s="301">
        <v>164.1</v>
      </c>
      <c r="AC91" s="301">
        <v>136.69999999999999</v>
      </c>
    </row>
    <row r="92" spans="1:29" x14ac:dyDescent="0.3">
      <c r="A92" s="209">
        <v>43191</v>
      </c>
      <c r="B92" s="416">
        <v>38285930.12999998</v>
      </c>
      <c r="C92" s="421">
        <v>337549.30000000005</v>
      </c>
      <c r="D92" s="476">
        <f t="shared" si="3"/>
        <v>2947324.8936115033</v>
      </c>
      <c r="E92" s="300"/>
      <c r="F92" s="300">
        <v>8710.0499999999993</v>
      </c>
      <c r="G92" s="300"/>
      <c r="H92" s="416">
        <f t="shared" si="2"/>
        <v>41562094.273611486</v>
      </c>
      <c r="I92" s="158"/>
      <c r="J92" s="301">
        <v>438.3</v>
      </c>
      <c r="K92" s="301">
        <v>0</v>
      </c>
      <c r="L92" s="301">
        <v>2947324.8936115033</v>
      </c>
      <c r="M92" s="294"/>
      <c r="N92" s="294">
        <v>30</v>
      </c>
      <c r="O92" s="301">
        <v>1</v>
      </c>
      <c r="P92" s="301">
        <v>142.80000000000001</v>
      </c>
      <c r="Q92" s="301">
        <v>5.4</v>
      </c>
      <c r="R92" s="301">
        <v>64</v>
      </c>
      <c r="S92" s="301">
        <v>60.6</v>
      </c>
      <c r="T92" s="301">
        <v>86.5</v>
      </c>
      <c r="U92" s="301">
        <v>351</v>
      </c>
      <c r="V92" s="301">
        <v>6.7</v>
      </c>
      <c r="W92" s="301">
        <v>60.2</v>
      </c>
      <c r="X92" s="301">
        <v>56.2</v>
      </c>
      <c r="Y92" s="301">
        <v>197.1</v>
      </c>
      <c r="Z92" s="301">
        <v>29230</v>
      </c>
      <c r="AA92" s="301">
        <v>134.80000000000001</v>
      </c>
      <c r="AB92" s="301">
        <v>168.2</v>
      </c>
      <c r="AC92" s="301">
        <v>136.80000000000001</v>
      </c>
    </row>
    <row r="93" spans="1:29" x14ac:dyDescent="0.3">
      <c r="A93" s="209">
        <v>43221</v>
      </c>
      <c r="B93" s="416">
        <v>36063657.63000001</v>
      </c>
      <c r="C93" s="421">
        <v>306211.69999999995</v>
      </c>
      <c r="D93" s="476">
        <f t="shared" si="3"/>
        <v>2966526.7625318645</v>
      </c>
      <c r="E93" s="300"/>
      <c r="F93" s="300">
        <v>307995.26</v>
      </c>
      <c r="G93" s="300"/>
      <c r="H93" s="416">
        <f t="shared" si="2"/>
        <v>39028400.832531877</v>
      </c>
      <c r="I93" s="158"/>
      <c r="J93" s="301">
        <v>83.6</v>
      </c>
      <c r="K93" s="301">
        <v>30</v>
      </c>
      <c r="L93" s="301">
        <v>2966526.7625318645</v>
      </c>
      <c r="M93" s="294"/>
      <c r="N93" s="294">
        <v>31</v>
      </c>
      <c r="O93" s="301">
        <v>1</v>
      </c>
      <c r="P93" s="301">
        <v>143</v>
      </c>
      <c r="Q93" s="301">
        <v>5.7</v>
      </c>
      <c r="R93" s="301">
        <v>64.5</v>
      </c>
      <c r="S93" s="301">
        <v>60.8</v>
      </c>
      <c r="T93" s="301">
        <v>87</v>
      </c>
      <c r="U93" s="301">
        <v>351.5</v>
      </c>
      <c r="V93" s="301">
        <v>6.9</v>
      </c>
      <c r="W93" s="301">
        <v>61.3</v>
      </c>
      <c r="X93" s="301">
        <v>57.2</v>
      </c>
      <c r="Y93" s="301">
        <v>200.9</v>
      </c>
      <c r="Z93" s="301">
        <v>29232</v>
      </c>
      <c r="AA93" s="301">
        <v>134.9</v>
      </c>
      <c r="AB93" s="301">
        <v>170.5</v>
      </c>
      <c r="AC93" s="301">
        <v>136.69999999999999</v>
      </c>
    </row>
    <row r="94" spans="1:29" x14ac:dyDescent="0.3">
      <c r="A94" s="209">
        <v>43252</v>
      </c>
      <c r="B94" s="416">
        <v>38564071.070000008</v>
      </c>
      <c r="C94" s="421">
        <v>483883.5</v>
      </c>
      <c r="D94" s="476">
        <f t="shared" si="3"/>
        <v>2985728.6314522256</v>
      </c>
      <c r="E94" s="300"/>
      <c r="F94" s="300">
        <v>47587.08</v>
      </c>
      <c r="G94" s="300"/>
      <c r="H94" s="416">
        <f t="shared" si="2"/>
        <v>41986096.121452235</v>
      </c>
      <c r="I94" s="158"/>
      <c r="J94" s="301">
        <v>21.2</v>
      </c>
      <c r="K94" s="301">
        <v>47.8</v>
      </c>
      <c r="L94" s="301">
        <v>2985728.6314522256</v>
      </c>
      <c r="M94" s="294"/>
      <c r="N94" s="294">
        <v>30</v>
      </c>
      <c r="O94" s="301">
        <v>0</v>
      </c>
      <c r="P94" s="301">
        <v>143.19999999999999</v>
      </c>
      <c r="Q94" s="301">
        <v>5.9</v>
      </c>
      <c r="R94" s="301">
        <v>64.8</v>
      </c>
      <c r="S94" s="301">
        <v>61</v>
      </c>
      <c r="T94" s="301">
        <v>87.3</v>
      </c>
      <c r="U94" s="301">
        <v>351.9</v>
      </c>
      <c r="V94" s="301">
        <v>6.2</v>
      </c>
      <c r="W94" s="301">
        <v>61.9</v>
      </c>
      <c r="X94" s="301">
        <v>58.1</v>
      </c>
      <c r="Y94" s="301">
        <v>204.4</v>
      </c>
      <c r="Z94" s="301">
        <v>29229</v>
      </c>
      <c r="AA94" s="301">
        <v>135.30000000000001</v>
      </c>
      <c r="AB94" s="301">
        <v>168</v>
      </c>
      <c r="AC94" s="301">
        <v>137.5</v>
      </c>
    </row>
    <row r="95" spans="1:29" x14ac:dyDescent="0.3">
      <c r="A95" s="209">
        <v>43282</v>
      </c>
      <c r="B95" s="416">
        <v>49628857.740000024</v>
      </c>
      <c r="C95" s="421">
        <v>460359.30000000005</v>
      </c>
      <c r="D95" s="476">
        <f t="shared" si="3"/>
        <v>3004930.5003725868</v>
      </c>
      <c r="E95" s="300"/>
      <c r="F95" s="300">
        <v>12901.61</v>
      </c>
      <c r="G95" s="300"/>
      <c r="H95" s="416">
        <f t="shared" si="2"/>
        <v>53081245.930372611</v>
      </c>
      <c r="I95" s="158"/>
      <c r="J95" s="301">
        <v>0</v>
      </c>
      <c r="K95" s="301">
        <v>137.5</v>
      </c>
      <c r="L95" s="301">
        <v>3004930.5003725868</v>
      </c>
      <c r="M95" s="294"/>
      <c r="N95" s="294">
        <v>31</v>
      </c>
      <c r="O95" s="301">
        <v>0</v>
      </c>
      <c r="P95" s="301">
        <v>143.5</v>
      </c>
      <c r="Q95" s="301">
        <v>5.9</v>
      </c>
      <c r="R95" s="301">
        <v>65.2</v>
      </c>
      <c r="S95" s="301">
        <v>61.3</v>
      </c>
      <c r="T95" s="301">
        <v>88</v>
      </c>
      <c r="U95" s="301">
        <v>352.3</v>
      </c>
      <c r="V95" s="301">
        <v>6.9</v>
      </c>
      <c r="W95" s="301">
        <v>62.8</v>
      </c>
      <c r="X95" s="301">
        <v>58.5</v>
      </c>
      <c r="Y95" s="301">
        <v>206.1</v>
      </c>
      <c r="Z95" s="301">
        <v>29248</v>
      </c>
      <c r="AA95" s="301">
        <v>136</v>
      </c>
      <c r="AB95" s="301">
        <v>168.6</v>
      </c>
      <c r="AC95" s="301">
        <v>138</v>
      </c>
    </row>
    <row r="96" spans="1:29" x14ac:dyDescent="0.3">
      <c r="A96" s="209">
        <v>43313</v>
      </c>
      <c r="B96" s="416">
        <v>48629695.239999965</v>
      </c>
      <c r="C96" s="421">
        <v>541090.4</v>
      </c>
      <c r="D96" s="476">
        <f t="shared" si="3"/>
        <v>3024132.3692929479</v>
      </c>
      <c r="E96" s="300"/>
      <c r="F96" s="300">
        <v>12697.28</v>
      </c>
      <c r="G96" s="300"/>
      <c r="H96" s="416">
        <f t="shared" si="2"/>
        <v>52182220.729292914</v>
      </c>
      <c r="I96" s="158"/>
      <c r="J96" s="301">
        <v>1.6</v>
      </c>
      <c r="K96" s="301">
        <v>124</v>
      </c>
      <c r="L96" s="301">
        <v>3024132.3692929479</v>
      </c>
      <c r="M96" s="294"/>
      <c r="N96" s="294">
        <v>31</v>
      </c>
      <c r="O96" s="301">
        <v>0</v>
      </c>
      <c r="P96" s="301">
        <v>143.80000000000001</v>
      </c>
      <c r="Q96" s="301">
        <v>6.2</v>
      </c>
      <c r="R96" s="301">
        <v>65.099999999999994</v>
      </c>
      <c r="S96" s="301">
        <v>61.1</v>
      </c>
      <c r="T96" s="301">
        <v>87.9</v>
      </c>
      <c r="U96" s="301">
        <v>352.8</v>
      </c>
      <c r="V96" s="301">
        <v>7.3</v>
      </c>
      <c r="W96" s="301">
        <v>62.8</v>
      </c>
      <c r="X96" s="301">
        <v>58.2</v>
      </c>
      <c r="Y96" s="301">
        <v>205.4</v>
      </c>
      <c r="Z96" s="301">
        <v>29265</v>
      </c>
      <c r="AA96" s="301">
        <v>135.9</v>
      </c>
      <c r="AB96" s="301">
        <v>167.1</v>
      </c>
      <c r="AC96" s="301">
        <v>137.9</v>
      </c>
    </row>
    <row r="97" spans="1:29" x14ac:dyDescent="0.3">
      <c r="A97" s="209">
        <v>43344</v>
      </c>
      <c r="B97" s="416">
        <v>41064153.550000027</v>
      </c>
      <c r="C97" s="421">
        <v>445219.2</v>
      </c>
      <c r="D97" s="476">
        <f t="shared" si="3"/>
        <v>3043334.2382133091</v>
      </c>
      <c r="E97" s="300"/>
      <c r="F97" s="300">
        <v>12831.55</v>
      </c>
      <c r="G97" s="300"/>
      <c r="H97" s="416">
        <f t="shared" si="2"/>
        <v>44539875.438213341</v>
      </c>
      <c r="I97" s="158"/>
      <c r="J97" s="301">
        <v>57.9</v>
      </c>
      <c r="K97" s="301">
        <v>69.3</v>
      </c>
      <c r="L97" s="301">
        <v>3043334.2382133091</v>
      </c>
      <c r="M97" s="294"/>
      <c r="N97" s="294">
        <v>30</v>
      </c>
      <c r="O97" s="301">
        <v>1</v>
      </c>
      <c r="P97" s="301">
        <v>144</v>
      </c>
      <c r="Q97" s="301">
        <v>5.7</v>
      </c>
      <c r="R97" s="301">
        <v>64.7</v>
      </c>
      <c r="S97" s="301">
        <v>61</v>
      </c>
      <c r="T97" s="301">
        <v>87.9</v>
      </c>
      <c r="U97" s="301">
        <v>353.2</v>
      </c>
      <c r="V97" s="301">
        <v>7.1</v>
      </c>
      <c r="W97" s="301">
        <v>62.5</v>
      </c>
      <c r="X97" s="301">
        <v>58.1</v>
      </c>
      <c r="Y97" s="301">
        <v>205.1</v>
      </c>
      <c r="Z97" s="301">
        <v>29273</v>
      </c>
      <c r="AA97" s="301">
        <v>135.19999999999999</v>
      </c>
      <c r="AB97" s="301">
        <v>164.6</v>
      </c>
      <c r="AC97" s="301">
        <v>137.4</v>
      </c>
    </row>
    <row r="98" spans="1:29" x14ac:dyDescent="0.3">
      <c r="A98" s="209">
        <v>43374</v>
      </c>
      <c r="B98" s="416">
        <v>37443471.689999975</v>
      </c>
      <c r="C98" s="421">
        <v>336027.3</v>
      </c>
      <c r="D98" s="476">
        <f t="shared" si="3"/>
        <v>3062536.1071336702</v>
      </c>
      <c r="E98" s="300"/>
      <c r="F98" s="300">
        <v>16147.44</v>
      </c>
      <c r="G98" s="300"/>
      <c r="H98" s="416">
        <f t="shared" si="2"/>
        <v>40825887.657133646</v>
      </c>
      <c r="I98" s="158"/>
      <c r="J98" s="301">
        <v>258.2</v>
      </c>
      <c r="K98" s="301">
        <v>11.1</v>
      </c>
      <c r="L98" s="301">
        <v>3062536.1071336702</v>
      </c>
      <c r="M98" s="294"/>
      <c r="N98" s="294">
        <v>31</v>
      </c>
      <c r="O98" s="301">
        <v>1</v>
      </c>
      <c r="P98" s="301">
        <v>144.19999999999999</v>
      </c>
      <c r="Q98" s="301">
        <v>5.3</v>
      </c>
      <c r="R98" s="301">
        <v>63.3</v>
      </c>
      <c r="S98" s="301">
        <v>60</v>
      </c>
      <c r="T98" s="301">
        <v>86.5</v>
      </c>
      <c r="U98" s="301">
        <v>353.6</v>
      </c>
      <c r="V98" s="301">
        <v>6.5</v>
      </c>
      <c r="W98" s="301">
        <v>62</v>
      </c>
      <c r="X98" s="301">
        <v>57.9</v>
      </c>
      <c r="Y98" s="301">
        <v>204.7</v>
      </c>
      <c r="Z98" s="301">
        <v>29290</v>
      </c>
      <c r="AA98" s="301">
        <v>135.6</v>
      </c>
      <c r="AB98" s="301">
        <v>160.69999999999999</v>
      </c>
      <c r="AC98" s="301">
        <v>137.9</v>
      </c>
    </row>
    <row r="99" spans="1:29" x14ac:dyDescent="0.3">
      <c r="A99" s="209">
        <v>43405</v>
      </c>
      <c r="B99" s="416">
        <v>39843675.400000006</v>
      </c>
      <c r="C99" s="421">
        <v>220943.8</v>
      </c>
      <c r="D99" s="476">
        <f t="shared" si="3"/>
        <v>3081737.9760540314</v>
      </c>
      <c r="E99" s="300"/>
      <c r="F99" s="300">
        <v>13164.31</v>
      </c>
      <c r="G99" s="300"/>
      <c r="H99" s="416">
        <f t="shared" si="2"/>
        <v>43133192.866054036</v>
      </c>
      <c r="I99" s="158"/>
      <c r="J99" s="301">
        <v>479.8</v>
      </c>
      <c r="K99" s="301">
        <v>0</v>
      </c>
      <c r="L99" s="301">
        <v>3081737.9760540314</v>
      </c>
      <c r="M99" s="294"/>
      <c r="N99" s="294">
        <v>30</v>
      </c>
      <c r="O99" s="301">
        <v>1</v>
      </c>
      <c r="P99" s="301">
        <v>144.30000000000001</v>
      </c>
      <c r="Q99" s="301">
        <v>4.7</v>
      </c>
      <c r="R99" s="301">
        <v>62.4</v>
      </c>
      <c r="S99" s="301">
        <v>59.5</v>
      </c>
      <c r="T99" s="301">
        <v>85.8</v>
      </c>
      <c r="U99" s="301">
        <v>353.9</v>
      </c>
      <c r="V99" s="301">
        <v>6.1</v>
      </c>
      <c r="W99" s="301">
        <v>60.9</v>
      </c>
      <c r="X99" s="301">
        <v>57.2</v>
      </c>
      <c r="Y99" s="301">
        <v>202.6</v>
      </c>
      <c r="Z99" s="301">
        <v>29307</v>
      </c>
      <c r="AA99" s="301">
        <v>135.1</v>
      </c>
      <c r="AB99" s="301">
        <v>152.4</v>
      </c>
      <c r="AC99" s="301">
        <v>137.4</v>
      </c>
    </row>
    <row r="100" spans="1:29" x14ac:dyDescent="0.3">
      <c r="A100" s="209">
        <v>43435</v>
      </c>
      <c r="B100" s="416">
        <v>41914947.409999989</v>
      </c>
      <c r="C100" s="421">
        <v>119224.4</v>
      </c>
      <c r="D100" s="476">
        <f t="shared" si="3"/>
        <v>3100939.8449743926</v>
      </c>
      <c r="E100" s="300"/>
      <c r="F100" s="300">
        <v>13613.82</v>
      </c>
      <c r="G100" s="300">
        <v>1283.8</v>
      </c>
      <c r="H100" s="416">
        <f t="shared" si="2"/>
        <v>45120214.034974381</v>
      </c>
      <c r="I100" s="158"/>
      <c r="J100" s="301">
        <v>550.4</v>
      </c>
      <c r="K100" s="301">
        <v>0</v>
      </c>
      <c r="L100" s="301">
        <v>3100939.8449743926</v>
      </c>
      <c r="M100" s="294"/>
      <c r="N100" s="294">
        <v>31</v>
      </c>
      <c r="O100" s="301">
        <v>0</v>
      </c>
      <c r="P100" s="301">
        <v>144.4</v>
      </c>
      <c r="Q100" s="301">
        <v>4.9000000000000004</v>
      </c>
      <c r="R100" s="301">
        <v>62</v>
      </c>
      <c r="S100" s="301">
        <v>58.9</v>
      </c>
      <c r="T100" s="301">
        <v>85.1</v>
      </c>
      <c r="U100" s="301">
        <v>354.3</v>
      </c>
      <c r="V100" s="301">
        <v>6.3</v>
      </c>
      <c r="W100" s="301">
        <v>60.8</v>
      </c>
      <c r="X100" s="301">
        <v>57</v>
      </c>
      <c r="Y100" s="301">
        <v>201.8</v>
      </c>
      <c r="Z100" s="301">
        <v>29323</v>
      </c>
      <c r="AA100" s="301">
        <v>135</v>
      </c>
      <c r="AB100" s="301">
        <v>147.4</v>
      </c>
      <c r="AC100" s="301">
        <v>137.5</v>
      </c>
    </row>
    <row r="101" spans="1:29" x14ac:dyDescent="0.3">
      <c r="A101" s="209">
        <v>43466</v>
      </c>
      <c r="B101" s="416">
        <v>46622026.859999999</v>
      </c>
      <c r="C101" s="421">
        <v>74462.720000000001</v>
      </c>
      <c r="D101" s="476">
        <f t="shared" si="3"/>
        <v>3103377.6068723211</v>
      </c>
      <c r="E101" s="300"/>
      <c r="F101" s="300">
        <v>13421.18</v>
      </c>
      <c r="G101" s="300">
        <v>4484.0387591999997</v>
      </c>
      <c r="H101" s="416">
        <f t="shared" si="2"/>
        <v>49781961.968113117</v>
      </c>
      <c r="I101" s="158"/>
      <c r="J101" s="301">
        <v>726.3</v>
      </c>
      <c r="K101" s="301">
        <v>0</v>
      </c>
      <c r="L101" s="301">
        <v>3103377.6068723211</v>
      </c>
      <c r="M101" s="294"/>
      <c r="N101" s="294">
        <v>31</v>
      </c>
      <c r="O101" s="301">
        <v>0</v>
      </c>
      <c r="P101" s="301">
        <v>144.5</v>
      </c>
      <c r="Q101" s="301">
        <v>5.0999999999999996</v>
      </c>
      <c r="R101" s="301">
        <v>62</v>
      </c>
      <c r="S101" s="301">
        <v>58.8</v>
      </c>
      <c r="T101" s="301">
        <v>85</v>
      </c>
      <c r="U101" s="301">
        <v>354.7</v>
      </c>
      <c r="V101" s="301">
        <v>6.5</v>
      </c>
      <c r="W101" s="301">
        <v>60.1</v>
      </c>
      <c r="X101" s="301">
        <v>56.1</v>
      </c>
      <c r="Y101" s="301">
        <v>199.1</v>
      </c>
      <c r="Z101" s="301">
        <v>29344</v>
      </c>
      <c r="AA101" s="301">
        <v>135.19999999999999</v>
      </c>
      <c r="AB101" s="301">
        <v>146.19999999999999</v>
      </c>
      <c r="AC101" s="301">
        <v>137.69999999999999</v>
      </c>
    </row>
    <row r="102" spans="1:29" x14ac:dyDescent="0.3">
      <c r="A102" s="209">
        <v>43497</v>
      </c>
      <c r="B102" s="416">
        <v>41188691.579999998</v>
      </c>
      <c r="C102" s="421">
        <v>101188.9</v>
      </c>
      <c r="D102" s="476">
        <f t="shared" si="3"/>
        <v>3105815.3687702497</v>
      </c>
      <c r="E102" s="300"/>
      <c r="F102" s="300">
        <v>20169.71</v>
      </c>
      <c r="G102" s="300">
        <v>75244.473404100005</v>
      </c>
      <c r="H102" s="416">
        <f t="shared" si="2"/>
        <v>44300281.665366143</v>
      </c>
      <c r="I102" s="158"/>
      <c r="J102" s="301">
        <v>587.79999999999995</v>
      </c>
      <c r="K102" s="301">
        <v>0</v>
      </c>
      <c r="L102" s="301">
        <v>3105815.3687702497</v>
      </c>
      <c r="M102" s="294"/>
      <c r="N102" s="294">
        <v>28</v>
      </c>
      <c r="O102" s="301">
        <v>0</v>
      </c>
      <c r="P102" s="301">
        <v>144.69999999999999</v>
      </c>
      <c r="Q102" s="301">
        <v>4.9000000000000004</v>
      </c>
      <c r="R102" s="301">
        <v>61.9</v>
      </c>
      <c r="S102" s="301">
        <v>58.9</v>
      </c>
      <c r="T102" s="301">
        <v>85.2</v>
      </c>
      <c r="U102" s="301">
        <v>355</v>
      </c>
      <c r="V102" s="301">
        <v>7</v>
      </c>
      <c r="W102" s="301">
        <v>59.8</v>
      </c>
      <c r="X102" s="301">
        <v>55.6</v>
      </c>
      <c r="Y102" s="301">
        <v>197.4</v>
      </c>
      <c r="Z102" s="301">
        <v>29330</v>
      </c>
      <c r="AA102" s="301">
        <v>136</v>
      </c>
      <c r="AB102" s="301">
        <v>145.80000000000001</v>
      </c>
      <c r="AC102" s="301">
        <v>138.6</v>
      </c>
    </row>
    <row r="103" spans="1:29" x14ac:dyDescent="0.3">
      <c r="A103" s="209">
        <v>43525</v>
      </c>
      <c r="B103" s="416">
        <v>42070897.649999976</v>
      </c>
      <c r="C103" s="421">
        <v>143751.79999999999</v>
      </c>
      <c r="D103" s="476">
        <f t="shared" si="3"/>
        <v>3108253.1306681782</v>
      </c>
      <c r="E103" s="300"/>
      <c r="F103" s="300">
        <v>12866.58</v>
      </c>
      <c r="G103" s="300">
        <v>111282.004548</v>
      </c>
      <c r="H103" s="416">
        <f t="shared" si="2"/>
        <v>45198753.996120155</v>
      </c>
      <c r="I103" s="158"/>
      <c r="J103" s="301">
        <v>598</v>
      </c>
      <c r="K103" s="301">
        <v>0</v>
      </c>
      <c r="L103" s="301">
        <v>3108253.1306681782</v>
      </c>
      <c r="M103" s="294"/>
      <c r="N103" s="294">
        <v>31</v>
      </c>
      <c r="O103" s="301">
        <v>1</v>
      </c>
      <c r="P103" s="301">
        <v>144.9</v>
      </c>
      <c r="Q103" s="301">
        <v>4.9000000000000004</v>
      </c>
      <c r="R103" s="301">
        <v>62.5</v>
      </c>
      <c r="S103" s="301">
        <v>59.4</v>
      </c>
      <c r="T103" s="301">
        <v>86.1</v>
      </c>
      <c r="U103" s="301">
        <v>355.4</v>
      </c>
      <c r="V103" s="301">
        <v>7.3</v>
      </c>
      <c r="W103" s="301">
        <v>58.4</v>
      </c>
      <c r="X103" s="301">
        <v>54.1</v>
      </c>
      <c r="Y103" s="301">
        <v>192.4</v>
      </c>
      <c r="Z103" s="301">
        <v>29340</v>
      </c>
      <c r="AA103" s="301">
        <v>137</v>
      </c>
      <c r="AB103" s="301">
        <v>155.4</v>
      </c>
      <c r="AC103" s="301">
        <v>139.5</v>
      </c>
    </row>
    <row r="104" spans="1:29" x14ac:dyDescent="0.3">
      <c r="A104" s="209">
        <v>43556</v>
      </c>
      <c r="B104" s="416">
        <v>36296821.840000033</v>
      </c>
      <c r="C104" s="421">
        <v>327033</v>
      </c>
      <c r="D104" s="476">
        <f t="shared" si="3"/>
        <v>3110690.8925661067</v>
      </c>
      <c r="E104" s="300"/>
      <c r="F104" s="300">
        <v>13041.72</v>
      </c>
      <c r="G104" s="300">
        <v>71062.896890699994</v>
      </c>
      <c r="H104" s="416">
        <f t="shared" si="2"/>
        <v>39650441.115675442</v>
      </c>
      <c r="I104" s="158"/>
      <c r="J104" s="301">
        <v>334.1</v>
      </c>
      <c r="K104" s="301">
        <v>0</v>
      </c>
      <c r="L104" s="301">
        <v>3110690.8925661067</v>
      </c>
      <c r="M104" s="294"/>
      <c r="N104" s="294">
        <v>30</v>
      </c>
      <c r="O104" s="301">
        <v>1</v>
      </c>
      <c r="P104" s="301">
        <v>145.1</v>
      </c>
      <c r="Q104" s="301">
        <v>4.9000000000000004</v>
      </c>
      <c r="R104" s="301">
        <v>63.6</v>
      </c>
      <c r="S104" s="301">
        <v>60.6</v>
      </c>
      <c r="T104" s="301">
        <v>87.9</v>
      </c>
      <c r="U104" s="301">
        <v>355.7</v>
      </c>
      <c r="V104" s="301">
        <v>7.2</v>
      </c>
      <c r="W104" s="301">
        <v>57.6</v>
      </c>
      <c r="X104" s="301">
        <v>53.5</v>
      </c>
      <c r="Y104" s="301">
        <v>190.2</v>
      </c>
      <c r="Z104" s="301">
        <v>29411</v>
      </c>
      <c r="AA104" s="301">
        <v>137.4</v>
      </c>
      <c r="AB104" s="301">
        <v>165.4</v>
      </c>
      <c r="AC104" s="301">
        <v>139.80000000000001</v>
      </c>
    </row>
    <row r="105" spans="1:29" x14ac:dyDescent="0.3">
      <c r="A105" s="209">
        <v>43586</v>
      </c>
      <c r="B105" s="416">
        <v>35335301.459999986</v>
      </c>
      <c r="C105" s="421">
        <v>340531.80000000005</v>
      </c>
      <c r="D105" s="476">
        <f t="shared" si="3"/>
        <v>3113128.6544640353</v>
      </c>
      <c r="E105" s="300"/>
      <c r="F105" s="300">
        <v>13403.66</v>
      </c>
      <c r="G105" s="300">
        <v>130424.53714289999</v>
      </c>
      <c r="H105" s="416">
        <f t="shared" si="2"/>
        <v>38645133.71732112</v>
      </c>
      <c r="I105" s="158"/>
      <c r="J105" s="301">
        <v>173.7</v>
      </c>
      <c r="K105" s="301">
        <v>1.8</v>
      </c>
      <c r="L105" s="301">
        <v>3113128.6544640353</v>
      </c>
      <c r="M105" s="294"/>
      <c r="N105" s="294">
        <v>31</v>
      </c>
      <c r="O105" s="301">
        <v>1</v>
      </c>
      <c r="P105" s="301">
        <v>145.30000000000001</v>
      </c>
      <c r="Q105" s="301">
        <v>4.7</v>
      </c>
      <c r="R105" s="301">
        <v>64.8</v>
      </c>
      <c r="S105" s="301">
        <v>61.7</v>
      </c>
      <c r="T105" s="301">
        <v>89.7</v>
      </c>
      <c r="U105" s="301">
        <v>356.1</v>
      </c>
      <c r="V105" s="301">
        <v>6.2</v>
      </c>
      <c r="W105" s="301">
        <v>57.4</v>
      </c>
      <c r="X105" s="301">
        <v>53.9</v>
      </c>
      <c r="Y105" s="301">
        <v>191.9</v>
      </c>
      <c r="Z105" s="301">
        <v>29394</v>
      </c>
      <c r="AA105" s="301">
        <v>138.1</v>
      </c>
      <c r="AB105" s="301">
        <v>167.1</v>
      </c>
      <c r="AC105" s="301">
        <v>140.30000000000001</v>
      </c>
    </row>
    <row r="106" spans="1:29" x14ac:dyDescent="0.3">
      <c r="A106" s="209">
        <v>43617</v>
      </c>
      <c r="B106" s="416">
        <v>36918421.580000013</v>
      </c>
      <c r="C106" s="421">
        <v>415601.5</v>
      </c>
      <c r="D106" s="476">
        <f t="shared" si="3"/>
        <v>3115566.4163619638</v>
      </c>
      <c r="E106" s="300"/>
      <c r="F106" s="300">
        <v>12317.83</v>
      </c>
      <c r="G106" s="300">
        <v>170812.68131069999</v>
      </c>
      <c r="H106" s="416">
        <f t="shared" si="2"/>
        <v>40266458.985051282</v>
      </c>
      <c r="I106" s="158"/>
      <c r="J106" s="301">
        <v>33.6</v>
      </c>
      <c r="K106" s="301">
        <v>31.8</v>
      </c>
      <c r="L106" s="301">
        <v>3115566.4163619638</v>
      </c>
      <c r="M106" s="294"/>
      <c r="N106" s="294">
        <v>30</v>
      </c>
      <c r="O106" s="301">
        <v>0</v>
      </c>
      <c r="P106" s="301">
        <v>145.6</v>
      </c>
      <c r="Q106" s="301">
        <v>4.7</v>
      </c>
      <c r="R106" s="301">
        <v>65.7</v>
      </c>
      <c r="S106" s="301">
        <v>62.6</v>
      </c>
      <c r="T106" s="301">
        <v>91.2</v>
      </c>
      <c r="U106" s="301">
        <v>356.6</v>
      </c>
      <c r="V106" s="301">
        <v>5.4</v>
      </c>
      <c r="W106" s="301">
        <v>58</v>
      </c>
      <c r="X106" s="301">
        <v>55</v>
      </c>
      <c r="Y106" s="301">
        <v>196</v>
      </c>
      <c r="Z106" s="301">
        <v>29406</v>
      </c>
      <c r="AA106" s="301">
        <v>138</v>
      </c>
      <c r="AB106" s="301">
        <v>161.1</v>
      </c>
      <c r="AC106" s="301">
        <v>140.30000000000001</v>
      </c>
    </row>
    <row r="107" spans="1:29" x14ac:dyDescent="0.3">
      <c r="A107" s="209">
        <v>43647</v>
      </c>
      <c r="B107" s="416">
        <v>48958080.650000021</v>
      </c>
      <c r="C107" s="421">
        <v>492115.4</v>
      </c>
      <c r="D107" s="476">
        <f t="shared" si="3"/>
        <v>3118004.1782598924</v>
      </c>
      <c r="E107" s="300"/>
      <c r="F107" s="300">
        <v>13479.55</v>
      </c>
      <c r="G107" s="300">
        <v>272439.18277289998</v>
      </c>
      <c r="H107" s="416">
        <f t="shared" si="2"/>
        <v>52282281.495487012</v>
      </c>
      <c r="I107" s="158"/>
      <c r="J107" s="301">
        <v>0</v>
      </c>
      <c r="K107" s="301">
        <v>143.80000000000001</v>
      </c>
      <c r="L107" s="301">
        <v>3118004.1782598924</v>
      </c>
      <c r="M107" s="294"/>
      <c r="N107" s="294">
        <v>31</v>
      </c>
      <c r="O107" s="301">
        <v>0</v>
      </c>
      <c r="P107" s="301">
        <v>145.9</v>
      </c>
      <c r="Q107" s="301">
        <v>5</v>
      </c>
      <c r="R107" s="301">
        <v>65.5</v>
      </c>
      <c r="S107" s="301">
        <v>62.2</v>
      </c>
      <c r="T107" s="301">
        <v>90.8</v>
      </c>
      <c r="U107" s="301">
        <v>357.1</v>
      </c>
      <c r="V107" s="301">
        <v>5.4</v>
      </c>
      <c r="W107" s="301">
        <v>59</v>
      </c>
      <c r="X107" s="301">
        <v>55.8</v>
      </c>
      <c r="Y107" s="301">
        <v>199.2</v>
      </c>
      <c r="Z107" s="301">
        <v>29415</v>
      </c>
      <c r="AA107" s="301">
        <v>138.80000000000001</v>
      </c>
      <c r="AB107" s="301">
        <v>165.5</v>
      </c>
      <c r="AC107" s="301">
        <v>141.19999999999999</v>
      </c>
    </row>
    <row r="108" spans="1:29" x14ac:dyDescent="0.3">
      <c r="A108" s="209">
        <v>43678</v>
      </c>
      <c r="B108" s="416">
        <v>45777930.170000002</v>
      </c>
      <c r="C108" s="421">
        <v>490898.1</v>
      </c>
      <c r="D108" s="476">
        <f t="shared" si="3"/>
        <v>3120441.9401578209</v>
      </c>
      <c r="E108" s="300"/>
      <c r="F108" s="300">
        <v>13497.07</v>
      </c>
      <c r="G108" s="300">
        <v>348271.57798290002</v>
      </c>
      <c r="H108" s="416">
        <f t="shared" si="2"/>
        <v>49027501.562174924</v>
      </c>
      <c r="I108" s="158"/>
      <c r="J108" s="301">
        <v>4.5999999999999996</v>
      </c>
      <c r="K108" s="301">
        <v>76</v>
      </c>
      <c r="L108" s="301">
        <v>3120441.9401578209</v>
      </c>
      <c r="M108" s="294"/>
      <c r="N108" s="294">
        <v>31</v>
      </c>
      <c r="O108" s="301">
        <v>0</v>
      </c>
      <c r="P108" s="301">
        <v>146.19999999999999</v>
      </c>
      <c r="Q108" s="301">
        <v>6.1</v>
      </c>
      <c r="R108" s="301">
        <v>65.099999999999994</v>
      </c>
      <c r="S108" s="301">
        <v>61.2</v>
      </c>
      <c r="T108" s="301">
        <v>89.5</v>
      </c>
      <c r="U108" s="301">
        <v>357.6</v>
      </c>
      <c r="V108" s="301">
        <v>5.7</v>
      </c>
      <c r="W108" s="301">
        <v>59.9</v>
      </c>
      <c r="X108" s="301">
        <v>56.5</v>
      </c>
      <c r="Y108" s="301">
        <v>202</v>
      </c>
      <c r="Z108" s="301">
        <v>29440</v>
      </c>
      <c r="AA108" s="301">
        <v>138.5</v>
      </c>
      <c r="AB108" s="301">
        <v>160.69999999999999</v>
      </c>
      <c r="AC108" s="301">
        <v>140.9</v>
      </c>
    </row>
    <row r="109" spans="1:29" x14ac:dyDescent="0.3">
      <c r="A109" s="209">
        <v>43709</v>
      </c>
      <c r="B109" s="416">
        <v>37514501.140000001</v>
      </c>
      <c r="C109" s="421">
        <v>491100.5</v>
      </c>
      <c r="D109" s="476">
        <f t="shared" si="3"/>
        <v>3122879.7020557495</v>
      </c>
      <c r="E109" s="300"/>
      <c r="F109" s="300">
        <v>10210.370000000001</v>
      </c>
      <c r="G109" s="300">
        <v>461243.88508769998</v>
      </c>
      <c r="H109" s="416">
        <f t="shared" si="2"/>
        <v>40657027.086968049</v>
      </c>
      <c r="I109" s="158" t="s">
        <v>57</v>
      </c>
      <c r="J109" s="301">
        <v>32</v>
      </c>
      <c r="K109" s="301">
        <v>11.6</v>
      </c>
      <c r="L109" s="301">
        <v>3122879.7020557495</v>
      </c>
      <c r="M109" s="294"/>
      <c r="N109" s="294">
        <v>30</v>
      </c>
      <c r="O109" s="301">
        <v>1</v>
      </c>
      <c r="P109" s="301">
        <v>146.5</v>
      </c>
      <c r="Q109" s="301">
        <v>6.3</v>
      </c>
      <c r="R109" s="301">
        <v>63.8</v>
      </c>
      <c r="S109" s="301">
        <v>59.7</v>
      </c>
      <c r="T109" s="301">
        <v>87.5</v>
      </c>
      <c r="U109" s="301">
        <v>358.1</v>
      </c>
      <c r="V109" s="301">
        <v>5.7</v>
      </c>
      <c r="W109" s="301">
        <v>60.2</v>
      </c>
      <c r="X109" s="301">
        <v>56.7</v>
      </c>
      <c r="Y109" s="301">
        <v>203.1</v>
      </c>
      <c r="Z109" s="301">
        <v>29481</v>
      </c>
      <c r="AA109" s="301">
        <v>137.5</v>
      </c>
      <c r="AB109" s="301">
        <v>159.5</v>
      </c>
      <c r="AC109" s="301">
        <v>139.69999999999999</v>
      </c>
    </row>
    <row r="110" spans="1:29" x14ac:dyDescent="0.3">
      <c r="A110" s="209">
        <v>43739</v>
      </c>
      <c r="B110" s="416">
        <v>36374484.030000001</v>
      </c>
      <c r="C110" s="421">
        <v>387286.9</v>
      </c>
      <c r="D110" s="476">
        <f t="shared" si="3"/>
        <v>3125317.463953678</v>
      </c>
      <c r="E110" s="300"/>
      <c r="F110" s="300">
        <v>13100.1</v>
      </c>
      <c r="G110" s="300">
        <v>572140.582299</v>
      </c>
      <c r="H110" s="416">
        <f t="shared" si="2"/>
        <v>39301847.711654678</v>
      </c>
      <c r="I110" s="158"/>
      <c r="J110" s="301">
        <v>220.9</v>
      </c>
      <c r="K110" s="301">
        <v>3.9</v>
      </c>
      <c r="L110" s="301">
        <v>3125317.463953678</v>
      </c>
      <c r="M110" s="294"/>
      <c r="N110" s="294">
        <v>31</v>
      </c>
      <c r="O110" s="301">
        <v>1</v>
      </c>
      <c r="P110" s="301">
        <v>146.80000000000001</v>
      </c>
      <c r="Q110" s="301">
        <v>6.1</v>
      </c>
      <c r="R110" s="301">
        <v>62.5</v>
      </c>
      <c r="S110" s="301">
        <v>58.6</v>
      </c>
      <c r="T110" s="301">
        <v>86</v>
      </c>
      <c r="U110" s="301">
        <v>358.6</v>
      </c>
      <c r="V110" s="301">
        <v>5</v>
      </c>
      <c r="W110" s="301">
        <v>60</v>
      </c>
      <c r="X110" s="301">
        <v>57</v>
      </c>
      <c r="Y110" s="301">
        <v>204.3</v>
      </c>
      <c r="Z110" s="301">
        <v>29505</v>
      </c>
      <c r="AA110" s="301">
        <v>137.9</v>
      </c>
      <c r="AB110" s="301">
        <v>158</v>
      </c>
      <c r="AC110" s="301">
        <v>140.30000000000001</v>
      </c>
    </row>
    <row r="111" spans="1:29" x14ac:dyDescent="0.3">
      <c r="A111" s="209">
        <v>43770</v>
      </c>
      <c r="B111" s="416">
        <v>40089238.080000013</v>
      </c>
      <c r="C111" s="421">
        <v>202676.10000000003</v>
      </c>
      <c r="D111" s="476">
        <f t="shared" si="3"/>
        <v>3127755.2258516066</v>
      </c>
      <c r="E111" s="300"/>
      <c r="F111" s="300">
        <v>12802.37</v>
      </c>
      <c r="G111" s="300">
        <v>541670.92512389994</v>
      </c>
      <c r="H111" s="416">
        <f t="shared" si="2"/>
        <v>42865196.11072772</v>
      </c>
      <c r="I111" s="158"/>
      <c r="J111" s="301">
        <v>502.7</v>
      </c>
      <c r="K111" s="301">
        <v>0</v>
      </c>
      <c r="L111" s="301">
        <v>3127755.2258516066</v>
      </c>
      <c r="M111" s="294"/>
      <c r="N111" s="294">
        <v>30</v>
      </c>
      <c r="O111" s="301">
        <v>1</v>
      </c>
      <c r="P111" s="301">
        <v>146.9</v>
      </c>
      <c r="Q111" s="301">
        <v>5.6</v>
      </c>
      <c r="R111" s="301">
        <v>61.7</v>
      </c>
      <c r="S111" s="301">
        <v>58.2</v>
      </c>
      <c r="T111" s="301">
        <v>85.5</v>
      </c>
      <c r="U111" s="301">
        <v>359</v>
      </c>
      <c r="V111" s="301">
        <v>4.9000000000000004</v>
      </c>
      <c r="W111" s="301">
        <v>60.1</v>
      </c>
      <c r="X111" s="301">
        <v>57.2</v>
      </c>
      <c r="Y111" s="301">
        <v>205.2</v>
      </c>
      <c r="Z111" s="301">
        <v>29533</v>
      </c>
      <c r="AA111" s="301">
        <v>137.69999999999999</v>
      </c>
      <c r="AB111" s="301">
        <v>159</v>
      </c>
      <c r="AC111" s="301">
        <v>139.9</v>
      </c>
    </row>
    <row r="112" spans="1:29" x14ac:dyDescent="0.3">
      <c r="A112" s="209">
        <v>43800</v>
      </c>
      <c r="B112" s="416">
        <v>42739198.629999965</v>
      </c>
      <c r="C112" s="421">
        <v>176382.10000000003</v>
      </c>
      <c r="D112" s="476">
        <f t="shared" si="3"/>
        <v>3130192.9877495351</v>
      </c>
      <c r="E112" s="300"/>
      <c r="F112" s="300">
        <v>13467.88</v>
      </c>
      <c r="G112" s="300">
        <v>578267.14721489989</v>
      </c>
      <c r="H112" s="416">
        <f t="shared" si="2"/>
        <v>45454038.690534599</v>
      </c>
      <c r="I112" s="158"/>
      <c r="J112" s="301">
        <v>564.6</v>
      </c>
      <c r="K112" s="301">
        <v>0</v>
      </c>
      <c r="L112" s="301">
        <v>3130192.9877495351</v>
      </c>
      <c r="M112" s="294"/>
      <c r="N112" s="294">
        <v>31</v>
      </c>
      <c r="O112" s="301">
        <v>0</v>
      </c>
      <c r="P112" s="301">
        <v>147.1</v>
      </c>
      <c r="Q112" s="301">
        <v>5.4</v>
      </c>
      <c r="R112" s="301">
        <v>61.3</v>
      </c>
      <c r="S112" s="301">
        <v>58</v>
      </c>
      <c r="T112" s="301">
        <v>85.3</v>
      </c>
      <c r="U112" s="301">
        <v>359.4</v>
      </c>
      <c r="V112" s="301">
        <v>4.7</v>
      </c>
      <c r="W112" s="301">
        <v>60.4</v>
      </c>
      <c r="X112" s="301">
        <v>57.5</v>
      </c>
      <c r="Y112" s="301">
        <v>206.8</v>
      </c>
      <c r="Z112" s="301">
        <v>29573</v>
      </c>
      <c r="AA112" s="301">
        <v>137.80000000000001</v>
      </c>
      <c r="AB112" s="301">
        <v>158.69999999999999</v>
      </c>
      <c r="AC112" s="301">
        <v>140.1</v>
      </c>
    </row>
    <row r="113" spans="1:29" x14ac:dyDescent="0.3">
      <c r="A113" s="209">
        <v>43831</v>
      </c>
      <c r="B113" s="416">
        <v>44000407</v>
      </c>
      <c r="C113" s="421">
        <v>99207</v>
      </c>
      <c r="D113" s="476">
        <f t="shared" si="3"/>
        <v>3128290.8658073363</v>
      </c>
      <c r="E113" s="300"/>
      <c r="F113" s="300">
        <v>13462.040592000001</v>
      </c>
      <c r="G113" s="300">
        <v>587163.51322199998</v>
      </c>
      <c r="H113" s="416">
        <f t="shared" si="2"/>
        <v>46627279.311993338</v>
      </c>
      <c r="I113" s="158"/>
      <c r="J113" s="301">
        <v>566.4</v>
      </c>
      <c r="K113" s="301">
        <v>0</v>
      </c>
      <c r="L113" s="301">
        <v>3128290.8658073363</v>
      </c>
      <c r="M113" s="294"/>
      <c r="N113" s="294">
        <v>31</v>
      </c>
      <c r="O113" s="301">
        <v>0</v>
      </c>
      <c r="P113" s="301"/>
      <c r="Q113" s="301"/>
      <c r="R113" s="301"/>
      <c r="S113" s="301"/>
      <c r="T113" s="301"/>
      <c r="U113" s="301"/>
      <c r="V113" s="301"/>
      <c r="W113" s="301"/>
      <c r="X113" s="301"/>
      <c r="Y113" s="301"/>
      <c r="Z113" s="301">
        <v>29597</v>
      </c>
      <c r="AA113" s="301"/>
      <c r="AB113" s="301">
        <v>158.1</v>
      </c>
      <c r="AC113" s="301"/>
    </row>
    <row r="114" spans="1:29" x14ac:dyDescent="0.3">
      <c r="A114" s="209">
        <v>43862</v>
      </c>
      <c r="B114" s="416">
        <v>41219886</v>
      </c>
      <c r="C114" s="421">
        <v>110566</v>
      </c>
      <c r="D114" s="476">
        <f t="shared" si="3"/>
        <v>3126388.7438651375</v>
      </c>
      <c r="E114" s="300"/>
      <c r="F114" s="300">
        <v>12563.014464000002</v>
      </c>
      <c r="G114" s="300">
        <v>550664.55358199996</v>
      </c>
      <c r="H114" s="416">
        <f t="shared" si="2"/>
        <v>43893613.175819136</v>
      </c>
      <c r="I114" s="158"/>
      <c r="J114" s="301">
        <v>586.90000000000009</v>
      </c>
      <c r="K114" s="301">
        <v>0</v>
      </c>
      <c r="L114" s="301">
        <v>3126388.7438651375</v>
      </c>
      <c r="M114" s="294"/>
      <c r="N114" s="294">
        <v>28</v>
      </c>
      <c r="O114" s="301">
        <v>0</v>
      </c>
      <c r="P114" s="301"/>
      <c r="Q114" s="301"/>
      <c r="R114" s="301"/>
      <c r="S114" s="301"/>
      <c r="T114" s="301"/>
      <c r="U114" s="301"/>
      <c r="V114" s="301"/>
      <c r="W114" s="301"/>
      <c r="X114" s="301"/>
      <c r="Y114" s="301"/>
      <c r="Z114" s="301">
        <v>29634</v>
      </c>
      <c r="AA114" s="301"/>
      <c r="AB114" s="301">
        <v>155.30000000000001</v>
      </c>
      <c r="AC114" s="301"/>
    </row>
    <row r="115" spans="1:29" x14ac:dyDescent="0.3">
      <c r="A115" s="209">
        <v>43891</v>
      </c>
      <c r="B115" s="416">
        <v>39943443</v>
      </c>
      <c r="C115" s="421">
        <v>151929</v>
      </c>
      <c r="D115" s="476">
        <f t="shared" si="3"/>
        <v>3124486.6219229386</v>
      </c>
      <c r="E115" s="300"/>
      <c r="F115" s="300">
        <v>13584.635064</v>
      </c>
      <c r="G115" s="300">
        <v>629142.21641699993</v>
      </c>
      <c r="H115" s="416">
        <f t="shared" si="2"/>
        <v>42577131.770441942</v>
      </c>
      <c r="I115" s="158"/>
      <c r="J115" s="301">
        <v>433.8</v>
      </c>
      <c r="K115" s="301">
        <v>0</v>
      </c>
      <c r="L115" s="301">
        <v>3124486.6219229386</v>
      </c>
      <c r="M115" s="294"/>
      <c r="N115" s="294">
        <v>31</v>
      </c>
      <c r="O115" s="301">
        <v>1</v>
      </c>
      <c r="P115" s="301"/>
      <c r="Q115" s="301"/>
      <c r="R115" s="301"/>
      <c r="S115" s="301"/>
      <c r="T115" s="301"/>
      <c r="U115" s="301"/>
      <c r="V115" s="301"/>
      <c r="W115" s="301"/>
      <c r="X115" s="301"/>
      <c r="Y115" s="301"/>
      <c r="Z115" s="301">
        <v>29659</v>
      </c>
      <c r="AA115" s="301"/>
      <c r="AB115" s="301">
        <v>136.69999999999999</v>
      </c>
      <c r="AC115" s="301"/>
    </row>
    <row r="116" spans="1:29" x14ac:dyDescent="0.3">
      <c r="A116" s="209">
        <v>43922</v>
      </c>
      <c r="B116" s="416">
        <v>34785312</v>
      </c>
      <c r="C116" s="421">
        <v>286156</v>
      </c>
      <c r="D116" s="476">
        <f t="shared" si="3"/>
        <v>3122584.4999807398</v>
      </c>
      <c r="E116" s="300"/>
      <c r="F116" s="300">
        <v>12878.257392000001</v>
      </c>
      <c r="G116" s="300">
        <v>569627.60411700001</v>
      </c>
      <c r="H116" s="416">
        <f t="shared" si="2"/>
        <v>37611546.638471738</v>
      </c>
      <c r="I116" s="158"/>
      <c r="J116" s="301">
        <v>372.9</v>
      </c>
      <c r="K116" s="301">
        <v>0</v>
      </c>
      <c r="L116" s="301">
        <v>3122584.4999807398</v>
      </c>
      <c r="M116" s="294"/>
      <c r="N116" s="294">
        <v>30</v>
      </c>
      <c r="O116" s="301">
        <v>1</v>
      </c>
      <c r="P116" s="301"/>
      <c r="Q116" s="301"/>
      <c r="R116" s="301"/>
      <c r="S116" s="301"/>
      <c r="T116" s="301"/>
      <c r="U116" s="301"/>
      <c r="V116" s="301"/>
      <c r="W116" s="301"/>
      <c r="X116" s="301"/>
      <c r="Y116" s="301"/>
      <c r="Z116" s="301">
        <v>29701</v>
      </c>
      <c r="AA116" s="301"/>
      <c r="AB116" s="301">
        <v>125.6</v>
      </c>
      <c r="AC116" s="301"/>
    </row>
    <row r="117" spans="1:29" x14ac:dyDescent="0.3">
      <c r="A117" s="209">
        <v>43952</v>
      </c>
      <c r="B117" s="416">
        <v>35305256</v>
      </c>
      <c r="C117" s="421">
        <v>365992</v>
      </c>
      <c r="D117" s="476">
        <f t="shared" si="3"/>
        <v>3120682.3780385409</v>
      </c>
      <c r="E117" s="300"/>
      <c r="F117" s="300">
        <v>13275.229968</v>
      </c>
      <c r="G117" s="300">
        <v>647363.54954699997</v>
      </c>
      <c r="H117" s="416">
        <f t="shared" si="2"/>
        <v>38131291.598523542</v>
      </c>
      <c r="I117" s="158"/>
      <c r="J117" s="301">
        <v>207.90000000000003</v>
      </c>
      <c r="K117" s="301">
        <v>22.8</v>
      </c>
      <c r="L117" s="301">
        <v>3120682.3780385409</v>
      </c>
      <c r="M117" s="294"/>
      <c r="N117" s="294">
        <v>31</v>
      </c>
      <c r="O117" s="301">
        <v>1</v>
      </c>
      <c r="P117" s="301"/>
      <c r="Q117" s="301"/>
      <c r="R117" s="301"/>
      <c r="S117" s="301"/>
      <c r="T117" s="301"/>
      <c r="U117" s="301"/>
      <c r="V117" s="301"/>
      <c r="W117" s="301"/>
      <c r="X117" s="301"/>
      <c r="Y117" s="301"/>
      <c r="Z117" s="301">
        <v>29709</v>
      </c>
      <c r="AA117" s="301"/>
      <c r="AB117" s="301">
        <v>133.4</v>
      </c>
      <c r="AC117" s="301"/>
    </row>
    <row r="118" spans="1:29" x14ac:dyDescent="0.3">
      <c r="A118" s="209">
        <v>43983</v>
      </c>
      <c r="B118" s="416">
        <v>39004716</v>
      </c>
      <c r="C118" s="421">
        <v>439107</v>
      </c>
      <c r="D118" s="476">
        <f t="shared" si="3"/>
        <v>3118780.2560963421</v>
      </c>
      <c r="E118" s="300"/>
      <c r="F118" s="300">
        <v>12965.824872000001</v>
      </c>
      <c r="G118" s="300">
        <v>392558.23678500002</v>
      </c>
      <c r="H118" s="416">
        <f t="shared" si="2"/>
        <v>42157079.194439344</v>
      </c>
      <c r="I118" s="158"/>
      <c r="J118" s="301">
        <v>27.5</v>
      </c>
      <c r="K118" s="301">
        <v>73.699999999999989</v>
      </c>
      <c r="L118" s="301">
        <v>3118780.2560963421</v>
      </c>
      <c r="M118" s="294"/>
      <c r="N118" s="294">
        <v>30</v>
      </c>
      <c r="O118" s="301">
        <v>0</v>
      </c>
      <c r="P118" s="301"/>
      <c r="Q118" s="301"/>
      <c r="R118" s="301"/>
      <c r="S118" s="301"/>
      <c r="T118" s="301"/>
      <c r="U118" s="301"/>
      <c r="V118" s="301"/>
      <c r="W118" s="301"/>
      <c r="X118" s="301"/>
      <c r="Y118" s="301"/>
      <c r="Z118" s="301">
        <v>29739</v>
      </c>
      <c r="AA118" s="301"/>
      <c r="AB118" s="301">
        <v>146.30000000000001</v>
      </c>
      <c r="AC118" s="301"/>
    </row>
    <row r="119" spans="1:29" x14ac:dyDescent="0.3">
      <c r="A119" s="209">
        <v>44013</v>
      </c>
      <c r="B119" s="416">
        <v>51209111</v>
      </c>
      <c r="C119" s="421">
        <v>574326</v>
      </c>
      <c r="D119" s="476">
        <f t="shared" si="3"/>
        <v>3116878.1341541433</v>
      </c>
      <c r="E119" s="300"/>
      <c r="F119" s="300">
        <v>12930.79788</v>
      </c>
      <c r="G119" s="300">
        <v>62946.006551999999</v>
      </c>
      <c r="H119" s="416">
        <f t="shared" si="2"/>
        <v>54824438.329722144</v>
      </c>
      <c r="I119" s="158"/>
      <c r="J119" s="301">
        <v>0</v>
      </c>
      <c r="K119" s="301">
        <v>168.5</v>
      </c>
      <c r="L119" s="301">
        <v>3116878.1341541433</v>
      </c>
      <c r="M119" s="294"/>
      <c r="N119" s="294">
        <v>31</v>
      </c>
      <c r="O119" s="301">
        <v>0</v>
      </c>
      <c r="P119" s="301"/>
      <c r="Q119" s="301"/>
      <c r="R119" s="301"/>
      <c r="S119" s="301"/>
      <c r="T119" s="301"/>
      <c r="U119" s="301"/>
      <c r="V119" s="301"/>
      <c r="W119" s="301"/>
      <c r="X119" s="301"/>
      <c r="Y119" s="301"/>
      <c r="Z119" s="301">
        <v>29749</v>
      </c>
      <c r="AA119" s="301"/>
      <c r="AB119" s="301">
        <v>149.6</v>
      </c>
      <c r="AC119" s="301"/>
    </row>
    <row r="120" spans="1:29" x14ac:dyDescent="0.3">
      <c r="A120" s="209">
        <v>44044</v>
      </c>
      <c r="B120" s="416">
        <v>45776807</v>
      </c>
      <c r="C120" s="421">
        <v>522569</v>
      </c>
      <c r="D120" s="476">
        <f t="shared" si="3"/>
        <v>3114976.0122119444</v>
      </c>
      <c r="E120" s="300"/>
      <c r="F120" s="300">
        <v>12965.824872000001</v>
      </c>
      <c r="G120" s="300">
        <v>31484.261951999997</v>
      </c>
      <c r="H120" s="416">
        <f t="shared" si="2"/>
        <v>49369901.925387941</v>
      </c>
      <c r="I120" s="158"/>
      <c r="J120" s="301">
        <v>1.5999999999999999</v>
      </c>
      <c r="K120" s="301">
        <v>95.6</v>
      </c>
      <c r="L120" s="301">
        <v>3114976.0122119444</v>
      </c>
      <c r="M120" s="294"/>
      <c r="N120" s="294">
        <v>31</v>
      </c>
      <c r="O120" s="301">
        <v>0</v>
      </c>
      <c r="P120" s="301"/>
      <c r="Q120" s="301"/>
      <c r="R120" s="301"/>
      <c r="S120" s="301"/>
      <c r="T120" s="301"/>
      <c r="U120" s="301"/>
      <c r="V120" s="301"/>
      <c r="W120" s="301"/>
      <c r="X120" s="301"/>
      <c r="Y120" s="301"/>
      <c r="Z120" s="301">
        <v>29752</v>
      </c>
      <c r="AA120" s="301"/>
      <c r="AB120" s="301">
        <v>149.30000000000001</v>
      </c>
      <c r="AC120" s="301"/>
    </row>
    <row r="121" spans="1:29" x14ac:dyDescent="0.3">
      <c r="A121" s="209">
        <v>44075</v>
      </c>
      <c r="B121" s="416">
        <v>36368524</v>
      </c>
      <c r="C121" s="421">
        <v>471729</v>
      </c>
      <c r="D121" s="476">
        <f t="shared" si="3"/>
        <v>3113073.8902697456</v>
      </c>
      <c r="E121" s="300"/>
      <c r="F121" s="300">
        <v>12422.906496</v>
      </c>
      <c r="G121" s="300">
        <v>119654.393859</v>
      </c>
      <c r="H121" s="416">
        <f t="shared" si="2"/>
        <v>39821249.589914747</v>
      </c>
      <c r="I121" s="158"/>
      <c r="J121" s="301">
        <v>74.999999999999986</v>
      </c>
      <c r="K121" s="301">
        <v>23.399999999999995</v>
      </c>
      <c r="L121" s="301">
        <v>3113073.8902697456</v>
      </c>
      <c r="M121" s="294"/>
      <c r="N121" s="294">
        <v>30</v>
      </c>
      <c r="O121" s="301">
        <v>1</v>
      </c>
      <c r="P121" s="301"/>
      <c r="Q121" s="301"/>
      <c r="R121" s="301"/>
      <c r="S121" s="301"/>
      <c r="T121" s="301"/>
      <c r="U121" s="301"/>
      <c r="V121" s="301"/>
      <c r="W121" s="301"/>
      <c r="X121" s="301"/>
      <c r="Y121" s="301"/>
      <c r="Z121" s="301">
        <v>29726</v>
      </c>
      <c r="AA121" s="301"/>
      <c r="AB121" s="301">
        <v>147.80000000000001</v>
      </c>
      <c r="AC121" s="301"/>
    </row>
    <row r="122" spans="1:29" x14ac:dyDescent="0.3">
      <c r="A122" s="209">
        <v>44105</v>
      </c>
      <c r="B122" s="416">
        <v>35464048</v>
      </c>
      <c r="C122" s="421">
        <v>391430</v>
      </c>
      <c r="D122" s="476">
        <f t="shared" si="3"/>
        <v>3111171.7683275468</v>
      </c>
      <c r="E122" s="300"/>
      <c r="F122" s="300">
        <v>13105.932839999999</v>
      </c>
      <c r="G122" s="300">
        <v>44318.839851000004</v>
      </c>
      <c r="H122" s="416">
        <f>B122+SUM(C122:E122)-SUM(F122:G122)</f>
        <v>38909224.995636553</v>
      </c>
      <c r="I122" s="158"/>
      <c r="J122" s="301">
        <v>252.50000000000006</v>
      </c>
      <c r="K122" s="301">
        <v>0</v>
      </c>
      <c r="L122" s="301">
        <v>3111171.7683275468</v>
      </c>
      <c r="M122" s="294"/>
      <c r="N122" s="294">
        <v>31</v>
      </c>
      <c r="O122" s="301">
        <v>1</v>
      </c>
      <c r="P122" s="301"/>
      <c r="Q122" s="301"/>
      <c r="R122" s="301"/>
      <c r="S122" s="301"/>
      <c r="T122" s="301"/>
      <c r="U122" s="301"/>
      <c r="V122" s="301"/>
      <c r="W122" s="301"/>
      <c r="X122" s="301"/>
      <c r="Y122" s="301"/>
      <c r="Z122" s="301">
        <v>29745</v>
      </c>
      <c r="AA122" s="301"/>
      <c r="AB122" s="301">
        <v>150.5</v>
      </c>
      <c r="AC122" s="301"/>
    </row>
    <row r="123" spans="1:29" x14ac:dyDescent="0.3">
      <c r="A123" s="209">
        <v>44136</v>
      </c>
      <c r="B123" s="416">
        <v>36859381</v>
      </c>
      <c r="C123" s="421">
        <v>244169</v>
      </c>
      <c r="D123" s="476">
        <f t="shared" si="3"/>
        <v>3109269.6463853479</v>
      </c>
      <c r="E123" s="300"/>
      <c r="F123" s="300">
        <v>12586.365792000001</v>
      </c>
      <c r="G123" s="300">
        <v>192618.22437000001</v>
      </c>
      <c r="H123" s="416">
        <f>B123+SUM(C123:E123)-SUM(F123:G123)</f>
        <v>40007615.056223348</v>
      </c>
      <c r="I123" s="158"/>
      <c r="J123" s="301">
        <v>329.20000000000005</v>
      </c>
      <c r="K123" s="301">
        <v>0</v>
      </c>
      <c r="L123" s="301">
        <v>3109269.6463853479</v>
      </c>
      <c r="M123" s="294"/>
      <c r="N123" s="294">
        <v>30</v>
      </c>
      <c r="O123" s="301">
        <v>1</v>
      </c>
      <c r="P123" s="301"/>
      <c r="Q123" s="301"/>
      <c r="R123" s="301"/>
      <c r="S123" s="301"/>
      <c r="T123" s="301"/>
      <c r="U123" s="301"/>
      <c r="V123" s="301"/>
      <c r="W123" s="301"/>
      <c r="X123" s="301"/>
      <c r="Y123" s="301"/>
      <c r="Z123" s="301">
        <v>29783</v>
      </c>
      <c r="AA123" s="301"/>
      <c r="AB123" s="301">
        <v>150</v>
      </c>
      <c r="AC123" s="301"/>
    </row>
    <row r="124" spans="1:29" x14ac:dyDescent="0.3">
      <c r="A124" s="209">
        <v>44166</v>
      </c>
      <c r="B124" s="416">
        <v>42748295</v>
      </c>
      <c r="C124" s="421">
        <v>188968</v>
      </c>
      <c r="D124" s="476">
        <f t="shared" si="3"/>
        <v>3107367.5244431491</v>
      </c>
      <c r="E124" s="300"/>
      <c r="F124" s="300">
        <v>13053.392352000001</v>
      </c>
      <c r="G124" s="300">
        <v>53963.772291000001</v>
      </c>
      <c r="H124" s="416">
        <f>B124+SUM(C124:E124)-SUM(F124:G124)</f>
        <v>45977613.359800152</v>
      </c>
      <c r="I124" s="158"/>
      <c r="J124" s="301">
        <v>540.4</v>
      </c>
      <c r="K124" s="301">
        <v>0</v>
      </c>
      <c r="L124" s="301">
        <v>3107367.5244431491</v>
      </c>
      <c r="M124" s="294"/>
      <c r="N124" s="294">
        <v>31</v>
      </c>
      <c r="O124" s="301">
        <v>0</v>
      </c>
      <c r="P124" s="301"/>
      <c r="Q124" s="301"/>
      <c r="R124" s="301"/>
      <c r="S124" s="301"/>
      <c r="T124" s="301"/>
      <c r="U124" s="301"/>
      <c r="V124" s="301"/>
      <c r="W124" s="301"/>
      <c r="X124" s="301"/>
      <c r="Y124" s="301"/>
      <c r="Z124" s="301">
        <v>29827</v>
      </c>
      <c r="AA124" s="301"/>
      <c r="AB124" s="301">
        <v>153.19999999999999</v>
      </c>
      <c r="AC124" s="301"/>
    </row>
    <row r="125" spans="1:29" x14ac:dyDescent="0.3">
      <c r="A125" s="209"/>
      <c r="B125" s="416"/>
      <c r="C125" s="421"/>
      <c r="D125" s="300"/>
      <c r="E125" s="300"/>
      <c r="F125" s="300"/>
      <c r="G125" s="300"/>
      <c r="H125" s="416"/>
      <c r="I125" s="158"/>
      <c r="J125" s="301"/>
      <c r="K125" s="301"/>
      <c r="L125" s="301"/>
      <c r="M125" s="294"/>
      <c r="N125" s="294"/>
      <c r="O125" s="301"/>
      <c r="P125" s="301"/>
      <c r="Q125" s="301"/>
      <c r="R125" s="301"/>
      <c r="S125" s="301"/>
      <c r="T125" s="301"/>
      <c r="U125" s="301"/>
      <c r="V125" s="301"/>
      <c r="W125" s="301"/>
      <c r="X125" s="301"/>
      <c r="Y125" s="301"/>
      <c r="Z125" s="301"/>
      <c r="AA125" s="301"/>
      <c r="AB125" s="301"/>
      <c r="AC125" s="301"/>
    </row>
    <row r="126" spans="1:29" x14ac:dyDescent="0.3">
      <c r="A126" s="209"/>
      <c r="B126" s="416"/>
      <c r="C126" s="421"/>
      <c r="D126" s="300"/>
      <c r="E126" s="300"/>
      <c r="F126" s="300"/>
      <c r="G126" s="300"/>
      <c r="H126" s="416"/>
      <c r="I126" s="158"/>
      <c r="J126" s="301"/>
      <c r="K126" s="301"/>
      <c r="L126" s="301"/>
      <c r="M126" s="294"/>
      <c r="N126" s="294"/>
      <c r="O126" s="301"/>
      <c r="P126" s="301"/>
      <c r="Q126" s="301"/>
      <c r="R126" s="301"/>
      <c r="S126" s="301"/>
      <c r="T126" s="301"/>
      <c r="U126" s="301"/>
      <c r="V126" s="301"/>
      <c r="W126" s="301"/>
      <c r="X126" s="301"/>
      <c r="Y126" s="301"/>
      <c r="Z126" s="301"/>
      <c r="AA126" s="301"/>
      <c r="AB126" s="301"/>
      <c r="AC126" s="301"/>
    </row>
    <row r="127" spans="1:29" x14ac:dyDescent="0.3">
      <c r="A127" s="209"/>
      <c r="B127" s="416"/>
      <c r="C127" s="421"/>
      <c r="D127" s="300"/>
      <c r="E127" s="300"/>
      <c r="F127" s="300"/>
      <c r="G127" s="300"/>
      <c r="H127" s="416"/>
      <c r="I127" s="158"/>
      <c r="J127" s="301"/>
      <c r="K127" s="301"/>
      <c r="L127" s="301"/>
      <c r="M127" s="294"/>
      <c r="N127" s="294"/>
      <c r="O127" s="301"/>
      <c r="P127" s="301"/>
      <c r="Q127" s="301"/>
      <c r="R127" s="301"/>
      <c r="S127" s="301"/>
      <c r="T127" s="301"/>
      <c r="U127" s="301"/>
      <c r="V127" s="301"/>
      <c r="W127" s="301"/>
      <c r="X127" s="301"/>
      <c r="Y127" s="301"/>
      <c r="Z127" s="301"/>
      <c r="AA127" s="301"/>
      <c r="AB127" s="301"/>
      <c r="AC127" s="301"/>
    </row>
    <row r="128" spans="1:29" x14ac:dyDescent="0.3">
      <c r="A128" s="209"/>
      <c r="B128" s="416"/>
      <c r="C128" s="421"/>
      <c r="D128" s="300"/>
      <c r="E128" s="300"/>
      <c r="F128" s="300"/>
      <c r="G128" s="300"/>
      <c r="H128" s="416"/>
      <c r="I128" s="158"/>
      <c r="J128" s="301"/>
      <c r="K128" s="301"/>
      <c r="L128" s="301"/>
      <c r="M128" s="294"/>
      <c r="N128" s="294"/>
      <c r="O128" s="301"/>
      <c r="P128" s="301"/>
      <c r="Q128" s="301"/>
      <c r="R128" s="301"/>
      <c r="S128" s="301"/>
      <c r="T128" s="301"/>
      <c r="U128" s="301"/>
      <c r="V128" s="301"/>
      <c r="W128" s="301"/>
      <c r="X128" s="301"/>
      <c r="Y128" s="301"/>
      <c r="Z128" s="301"/>
      <c r="AA128" s="301"/>
      <c r="AB128" s="301"/>
      <c r="AC128" s="301"/>
    </row>
    <row r="129" spans="1:29" x14ac:dyDescent="0.3">
      <c r="A129" s="209"/>
      <c r="B129" s="416"/>
      <c r="C129" s="421"/>
      <c r="D129" s="300"/>
      <c r="E129" s="300"/>
      <c r="F129" s="300"/>
      <c r="G129" s="300"/>
      <c r="H129" s="416"/>
      <c r="I129" s="158"/>
      <c r="J129" s="301"/>
      <c r="K129" s="301"/>
      <c r="L129" s="301"/>
      <c r="M129" s="294"/>
      <c r="N129" s="294"/>
      <c r="O129" s="301"/>
      <c r="P129" s="301"/>
      <c r="Q129" s="301"/>
      <c r="R129" s="301"/>
      <c r="S129" s="301"/>
      <c r="T129" s="301"/>
      <c r="U129" s="301"/>
      <c r="V129" s="301"/>
      <c r="W129" s="301"/>
      <c r="X129" s="301"/>
      <c r="Y129" s="301"/>
      <c r="Z129" s="301"/>
      <c r="AA129" s="301"/>
      <c r="AB129" s="301"/>
      <c r="AC129" s="301"/>
    </row>
    <row r="130" spans="1:29" x14ac:dyDescent="0.3">
      <c r="A130" s="209"/>
      <c r="B130" s="416"/>
      <c r="C130" s="421"/>
      <c r="D130" s="300"/>
      <c r="E130" s="300"/>
      <c r="F130" s="300"/>
      <c r="G130" s="300"/>
      <c r="H130" s="416"/>
      <c r="I130" s="158"/>
      <c r="J130" s="301"/>
      <c r="K130" s="301"/>
      <c r="L130" s="301"/>
      <c r="M130" s="294"/>
      <c r="N130" s="294"/>
      <c r="O130" s="301"/>
      <c r="P130" s="301"/>
      <c r="Q130" s="301"/>
      <c r="R130" s="301"/>
      <c r="S130" s="301"/>
      <c r="T130" s="301"/>
      <c r="U130" s="301"/>
      <c r="V130" s="301"/>
      <c r="W130" s="301"/>
      <c r="X130" s="301"/>
      <c r="Y130" s="301"/>
      <c r="Z130" s="301"/>
      <c r="AA130" s="301"/>
      <c r="AB130" s="301"/>
      <c r="AC130" s="301"/>
    </row>
    <row r="131" spans="1:29" x14ac:dyDescent="0.3">
      <c r="A131" s="209"/>
      <c r="B131" s="416"/>
      <c r="C131" s="421"/>
      <c r="D131" s="300"/>
      <c r="E131" s="300"/>
      <c r="F131" s="300"/>
      <c r="G131" s="300"/>
      <c r="H131" s="416"/>
      <c r="I131" s="158"/>
      <c r="J131" s="301"/>
      <c r="K131" s="301"/>
      <c r="L131" s="301"/>
      <c r="M131" s="294"/>
      <c r="N131" s="294"/>
      <c r="O131" s="301"/>
      <c r="P131" s="301"/>
      <c r="Q131" s="301"/>
      <c r="R131" s="301"/>
      <c r="S131" s="301"/>
      <c r="T131" s="301"/>
      <c r="U131" s="301"/>
      <c r="V131" s="301"/>
      <c r="W131" s="301"/>
      <c r="X131" s="301"/>
      <c r="Y131" s="301"/>
      <c r="Z131" s="301"/>
      <c r="AA131" s="301"/>
      <c r="AB131" s="301"/>
      <c r="AC131" s="301"/>
    </row>
    <row r="132" spans="1:29" x14ac:dyDescent="0.3">
      <c r="A132" s="209"/>
      <c r="B132" s="416"/>
      <c r="C132" s="421"/>
      <c r="D132" s="300"/>
      <c r="E132" s="300"/>
      <c r="F132" s="300"/>
      <c r="G132" s="300"/>
      <c r="H132" s="416"/>
      <c r="I132" s="158"/>
      <c r="J132" s="301"/>
      <c r="K132" s="301"/>
      <c r="L132" s="301"/>
      <c r="M132" s="294"/>
      <c r="N132" s="294"/>
      <c r="O132" s="301"/>
      <c r="P132" s="301"/>
      <c r="Q132" s="301"/>
      <c r="R132" s="301"/>
      <c r="S132" s="301"/>
      <c r="T132" s="301"/>
      <c r="U132" s="301"/>
      <c r="V132" s="301"/>
      <c r="W132" s="301"/>
      <c r="X132" s="301"/>
      <c r="Y132" s="301"/>
      <c r="Z132" s="301"/>
      <c r="AA132" s="301"/>
      <c r="AB132" s="301"/>
      <c r="AC132" s="301"/>
    </row>
    <row r="133" spans="1:29" x14ac:dyDescent="0.3">
      <c r="A133" s="209"/>
      <c r="B133" s="416"/>
      <c r="C133" s="421"/>
      <c r="D133" s="300"/>
      <c r="E133" s="300"/>
      <c r="F133" s="300"/>
      <c r="G133" s="300"/>
      <c r="H133" s="416"/>
      <c r="I133" s="158"/>
      <c r="J133" s="301"/>
      <c r="K133" s="301"/>
      <c r="L133" s="301"/>
      <c r="M133" s="294"/>
      <c r="N133" s="294"/>
      <c r="O133" s="301"/>
      <c r="P133" s="301"/>
      <c r="Q133" s="301"/>
      <c r="R133" s="301"/>
      <c r="S133" s="301"/>
      <c r="T133" s="301"/>
      <c r="U133" s="301"/>
      <c r="V133" s="301"/>
      <c r="W133" s="301"/>
      <c r="X133" s="301"/>
      <c r="Y133" s="301"/>
      <c r="Z133" s="301"/>
      <c r="AA133" s="301"/>
      <c r="AB133" s="301"/>
      <c r="AC133" s="301"/>
    </row>
    <row r="134" spans="1:29" x14ac:dyDescent="0.3">
      <c r="A134" s="209"/>
      <c r="B134" s="416"/>
      <c r="C134" s="421"/>
      <c r="D134" s="300"/>
      <c r="E134" s="300"/>
      <c r="F134" s="300"/>
      <c r="G134" s="300"/>
      <c r="H134" s="416"/>
      <c r="I134" s="158"/>
      <c r="J134" s="301"/>
      <c r="K134" s="301"/>
      <c r="L134" s="301"/>
      <c r="M134" s="294"/>
      <c r="N134" s="294"/>
      <c r="O134" s="301"/>
      <c r="P134" s="301"/>
      <c r="Q134" s="301"/>
      <c r="R134" s="301"/>
      <c r="S134" s="301"/>
      <c r="T134" s="301"/>
      <c r="U134" s="301"/>
      <c r="V134" s="301"/>
      <c r="W134" s="301"/>
      <c r="X134" s="301"/>
      <c r="Y134" s="301"/>
      <c r="Z134" s="301"/>
      <c r="AA134" s="301"/>
      <c r="AB134" s="301"/>
      <c r="AC134" s="301"/>
    </row>
    <row r="135" spans="1:29" x14ac:dyDescent="0.3">
      <c r="A135" s="209"/>
      <c r="B135" s="416"/>
      <c r="C135" s="421"/>
      <c r="D135" s="300"/>
      <c r="E135" s="300"/>
      <c r="F135" s="300"/>
      <c r="G135" s="300"/>
      <c r="H135" s="416"/>
      <c r="I135" s="158"/>
      <c r="J135" s="301"/>
      <c r="K135" s="301"/>
      <c r="L135" s="301"/>
      <c r="M135" s="294"/>
      <c r="N135" s="294"/>
      <c r="O135" s="301"/>
      <c r="P135" s="301"/>
      <c r="Q135" s="301"/>
      <c r="R135" s="301"/>
      <c r="S135" s="301"/>
      <c r="T135" s="301"/>
      <c r="U135" s="301"/>
      <c r="V135" s="301"/>
      <c r="W135" s="301"/>
      <c r="X135" s="301"/>
      <c r="Y135" s="301"/>
      <c r="Z135" s="301"/>
      <c r="AA135" s="301"/>
      <c r="AB135" s="301"/>
      <c r="AC135" s="301"/>
    </row>
    <row r="136" spans="1:29" x14ac:dyDescent="0.3">
      <c r="A136" s="209"/>
      <c r="B136" s="416"/>
      <c r="C136" s="421"/>
      <c r="D136" s="300"/>
      <c r="E136" s="300"/>
      <c r="F136" s="300"/>
      <c r="G136" s="300"/>
      <c r="H136" s="416"/>
      <c r="I136" s="158"/>
      <c r="J136" s="301"/>
      <c r="K136" s="301"/>
      <c r="L136" s="301"/>
      <c r="M136" s="294"/>
      <c r="N136" s="294"/>
      <c r="O136" s="301"/>
      <c r="P136" s="301"/>
      <c r="Q136" s="301"/>
      <c r="R136" s="301"/>
      <c r="S136" s="301"/>
      <c r="T136" s="301"/>
      <c r="U136" s="301"/>
      <c r="V136" s="301"/>
      <c r="W136" s="301"/>
      <c r="X136" s="301"/>
      <c r="Y136" s="301"/>
      <c r="Z136" s="301"/>
      <c r="AA136" s="301"/>
      <c r="AB136" s="301"/>
      <c r="AC136" s="301"/>
    </row>
    <row r="137" spans="1:29" x14ac:dyDescent="0.3">
      <c r="J137" s="145" t="s">
        <v>57</v>
      </c>
      <c r="L137" s="145" t="s">
        <v>57</v>
      </c>
    </row>
    <row r="139" spans="1:29" x14ac:dyDescent="0.3">
      <c r="A139" s="302" t="s">
        <v>125</v>
      </c>
      <c r="B139" s="417"/>
      <c r="C139" s="422"/>
      <c r="D139" s="304"/>
      <c r="E139" s="304"/>
      <c r="F139" s="304"/>
      <c r="G139" s="304"/>
      <c r="H139" s="417"/>
      <c r="I139" s="305"/>
      <c r="J139" s="303"/>
      <c r="K139" s="303"/>
      <c r="L139" s="303"/>
      <c r="M139" s="303"/>
      <c r="N139" s="303"/>
      <c r="O139" s="303"/>
      <c r="P139" s="303"/>
      <c r="Q139" s="303"/>
      <c r="R139" s="303"/>
      <c r="S139" s="303"/>
      <c r="T139" s="303"/>
      <c r="U139" s="303"/>
      <c r="V139" s="303"/>
      <c r="W139" s="303"/>
      <c r="X139" s="303"/>
      <c r="Y139" s="303"/>
      <c r="Z139" s="303"/>
      <c r="AA139" s="303"/>
      <c r="AB139" s="303"/>
      <c r="AC139" s="303"/>
    </row>
    <row r="140" spans="1:29" x14ac:dyDescent="0.3">
      <c r="A140" s="306" t="s">
        <v>126</v>
      </c>
      <c r="B140" s="417"/>
      <c r="C140" s="422"/>
      <c r="D140" s="304"/>
      <c r="E140" s="304"/>
      <c r="F140" s="304"/>
      <c r="G140" s="304"/>
      <c r="H140" s="417"/>
      <c r="I140" s="305"/>
      <c r="J140" s="303"/>
      <c r="K140" s="303"/>
      <c r="L140" s="303"/>
      <c r="M140" s="303"/>
      <c r="N140" s="303"/>
      <c r="O140" s="303"/>
      <c r="P140" s="303"/>
      <c r="Q140" s="303"/>
      <c r="R140" s="303"/>
      <c r="S140" s="303"/>
      <c r="T140" s="303"/>
      <c r="U140" s="303"/>
      <c r="V140" s="303"/>
      <c r="W140" s="303"/>
      <c r="X140" s="303"/>
      <c r="Y140" s="303"/>
      <c r="Z140" s="303"/>
      <c r="AA140" s="303"/>
      <c r="AB140" s="303"/>
      <c r="AC140" s="303"/>
    </row>
    <row r="141" spans="1:29" x14ac:dyDescent="0.3">
      <c r="A141" s="306" t="s">
        <v>127</v>
      </c>
      <c r="B141" s="417"/>
      <c r="C141" s="422"/>
      <c r="D141" s="304"/>
      <c r="E141" s="304"/>
      <c r="F141" s="304"/>
      <c r="G141" s="304"/>
      <c r="H141" s="417"/>
      <c r="I141" s="305"/>
      <c r="J141" s="303"/>
      <c r="K141" s="303"/>
      <c r="L141" s="303"/>
      <c r="M141" s="303"/>
      <c r="N141" s="303"/>
      <c r="O141" s="303"/>
      <c r="P141" s="303"/>
      <c r="Q141" s="303"/>
      <c r="R141" s="303"/>
      <c r="S141" s="303"/>
      <c r="T141" s="303"/>
      <c r="U141" s="303"/>
      <c r="V141" s="303"/>
      <c r="W141" s="303"/>
      <c r="X141" s="303"/>
      <c r="Y141" s="303"/>
      <c r="Z141" s="303"/>
      <c r="AA141" s="303"/>
      <c r="AB141" s="303"/>
      <c r="AC141" s="303"/>
    </row>
    <row r="142" spans="1:29" x14ac:dyDescent="0.3">
      <c r="A142" s="306" t="s">
        <v>133</v>
      </c>
      <c r="B142" s="417"/>
      <c r="C142" s="422"/>
      <c r="D142" s="304"/>
      <c r="E142" s="304"/>
      <c r="F142" s="304"/>
      <c r="G142" s="304"/>
      <c r="H142" s="417"/>
      <c r="I142" s="305"/>
      <c r="J142" s="303"/>
      <c r="K142" s="303"/>
      <c r="L142" s="303"/>
      <c r="M142" s="303"/>
      <c r="N142" s="303"/>
      <c r="O142" s="303"/>
      <c r="P142" s="303"/>
      <c r="Q142" s="303"/>
      <c r="R142" s="303"/>
      <c r="S142" s="303"/>
      <c r="T142" s="303"/>
      <c r="U142" s="303"/>
      <c r="V142" s="303"/>
      <c r="W142" s="303"/>
      <c r="X142" s="303"/>
      <c r="Y142" s="303"/>
      <c r="Z142" s="303"/>
      <c r="AA142" s="303"/>
      <c r="AB142" s="303"/>
      <c r="AC142" s="303"/>
    </row>
    <row r="143" spans="1:29" x14ac:dyDescent="0.3">
      <c r="A143" s="306" t="s">
        <v>134</v>
      </c>
      <c r="B143" s="417"/>
      <c r="C143" s="422"/>
      <c r="D143" s="304"/>
      <c r="E143" s="304"/>
      <c r="F143" s="304"/>
      <c r="G143" s="304"/>
      <c r="H143" s="417"/>
      <c r="I143" s="305"/>
      <c r="J143" s="303"/>
      <c r="K143" s="303"/>
      <c r="L143" s="303"/>
      <c r="M143" s="303"/>
      <c r="N143" s="303"/>
      <c r="O143" s="303"/>
      <c r="P143" s="303"/>
      <c r="Q143" s="303"/>
      <c r="R143" s="303"/>
      <c r="S143" s="303"/>
      <c r="T143" s="303"/>
      <c r="U143" s="303"/>
      <c r="V143" s="303"/>
      <c r="W143" s="303"/>
      <c r="X143" s="303"/>
      <c r="Y143" s="303"/>
      <c r="Z143" s="303"/>
      <c r="AA143" s="303"/>
      <c r="AB143" s="303"/>
      <c r="AC143" s="303"/>
    </row>
    <row r="144" spans="1:29" x14ac:dyDescent="0.3">
      <c r="A144" s="306" t="s">
        <v>135</v>
      </c>
      <c r="B144" s="417"/>
      <c r="C144" s="422"/>
      <c r="D144" s="304"/>
      <c r="E144" s="304"/>
      <c r="F144" s="304"/>
      <c r="G144" s="304"/>
      <c r="H144" s="417"/>
      <c r="I144" s="305"/>
      <c r="J144" s="303"/>
      <c r="K144" s="303"/>
      <c r="L144" s="303"/>
      <c r="M144" s="303"/>
      <c r="N144" s="303"/>
      <c r="O144" s="303"/>
      <c r="P144" s="303"/>
      <c r="Q144" s="303"/>
      <c r="R144" s="303"/>
      <c r="S144" s="303"/>
      <c r="T144" s="303"/>
      <c r="U144" s="303"/>
      <c r="V144" s="303"/>
      <c r="W144" s="303"/>
      <c r="X144" s="303"/>
      <c r="Y144" s="303"/>
      <c r="Z144" s="303"/>
      <c r="AA144" s="303"/>
      <c r="AB144" s="303"/>
      <c r="AC144" s="303"/>
    </row>
    <row r="145" spans="1:29" ht="25.5" x14ac:dyDescent="0.3">
      <c r="A145" s="349" t="s">
        <v>145</v>
      </c>
      <c r="B145" s="417"/>
      <c r="C145" s="422"/>
      <c r="D145" s="304"/>
      <c r="E145" s="304"/>
      <c r="F145" s="304"/>
      <c r="G145" s="304"/>
      <c r="H145" s="417"/>
      <c r="I145" s="305"/>
      <c r="J145" s="303"/>
      <c r="K145" s="303"/>
      <c r="L145" s="303"/>
      <c r="M145" s="303"/>
      <c r="N145" s="303"/>
      <c r="O145" s="303"/>
      <c r="P145" s="303"/>
      <c r="Q145" s="303"/>
      <c r="R145" s="303"/>
      <c r="S145" s="303"/>
      <c r="T145" s="303"/>
      <c r="U145" s="303"/>
      <c r="V145" s="303"/>
      <c r="W145" s="303"/>
      <c r="X145" s="303"/>
      <c r="Y145" s="303"/>
      <c r="Z145" s="303"/>
      <c r="AA145" s="303"/>
      <c r="AB145" s="303"/>
      <c r="AC145" s="303"/>
    </row>
    <row r="146" spans="1:29" x14ac:dyDescent="0.3">
      <c r="A146" s="306"/>
      <c r="B146" s="417"/>
      <c r="C146" s="422"/>
      <c r="D146" s="304"/>
      <c r="E146" s="304"/>
      <c r="F146" s="304"/>
      <c r="G146" s="304"/>
      <c r="H146" s="417"/>
      <c r="I146" s="305"/>
      <c r="J146" s="303"/>
      <c r="K146" s="303"/>
      <c r="L146" s="303"/>
      <c r="M146" s="303"/>
      <c r="N146" s="303"/>
      <c r="O146" s="303"/>
      <c r="P146" s="303"/>
      <c r="Q146" s="303"/>
      <c r="R146" s="303"/>
      <c r="S146" s="303"/>
      <c r="T146" s="303"/>
      <c r="U146" s="303"/>
      <c r="V146" s="303"/>
      <c r="W146" s="303"/>
      <c r="X146" s="303"/>
      <c r="Y146" s="303"/>
      <c r="Z146" s="303"/>
      <c r="AA146" s="303"/>
      <c r="AB146" s="303"/>
      <c r="AC146" s="303"/>
    </row>
    <row r="147" spans="1:29" x14ac:dyDescent="0.3">
      <c r="A147" s="306"/>
      <c r="B147" s="417"/>
      <c r="C147" s="422"/>
      <c r="D147" s="304"/>
      <c r="E147" s="304"/>
      <c r="F147" s="304"/>
      <c r="G147" s="304"/>
      <c r="H147" s="417"/>
      <c r="I147" s="305"/>
      <c r="J147" s="303"/>
      <c r="K147" s="303"/>
      <c r="L147" s="303"/>
      <c r="M147" s="303"/>
      <c r="N147" s="303"/>
      <c r="O147" s="303"/>
      <c r="P147" s="303"/>
      <c r="Q147" s="303"/>
      <c r="R147" s="303"/>
      <c r="S147" s="303"/>
      <c r="T147" s="303"/>
      <c r="U147" s="303"/>
      <c r="V147" s="303"/>
      <c r="W147" s="303"/>
      <c r="X147" s="303"/>
      <c r="Y147" s="303"/>
      <c r="Z147" s="303"/>
      <c r="AA147" s="303"/>
      <c r="AB147" s="303"/>
      <c r="AC147" s="303"/>
    </row>
    <row r="148" spans="1:29" x14ac:dyDescent="0.3">
      <c r="A148" s="270"/>
      <c r="B148" s="418"/>
      <c r="C148" s="423"/>
      <c r="D148" s="271"/>
      <c r="E148" s="271"/>
      <c r="F148" s="271"/>
      <c r="G148" s="271"/>
      <c r="H148" s="418"/>
      <c r="J148" s="267"/>
      <c r="K148" s="267"/>
      <c r="L148" s="267"/>
      <c r="M148" s="267"/>
      <c r="N148" s="267"/>
      <c r="O148" s="267"/>
      <c r="P148" s="267"/>
      <c r="Q148" s="267"/>
      <c r="R148" s="267"/>
      <c r="S148" s="267"/>
      <c r="T148" s="267"/>
      <c r="U148" s="267"/>
      <c r="V148" s="267"/>
      <c r="W148" s="267"/>
      <c r="X148" s="267"/>
      <c r="Y148" s="267"/>
      <c r="Z148" s="267"/>
      <c r="AA148" s="267"/>
      <c r="AB148" s="267"/>
      <c r="AC148" s="267"/>
    </row>
    <row r="149" spans="1:29" x14ac:dyDescent="0.3">
      <c r="A149" s="433">
        <v>40179</v>
      </c>
      <c r="B149" s="434">
        <v>51396622.38000004</v>
      </c>
      <c r="C149" s="435">
        <v>0</v>
      </c>
      <c r="D149" s="436"/>
      <c r="E149" s="436"/>
      <c r="F149" s="436">
        <v>846208.3</v>
      </c>
      <c r="G149" s="436"/>
      <c r="H149" s="434">
        <f>B149+SUM(C149:E149)-SUM(F149:G149)</f>
        <v>50550414.080000043</v>
      </c>
      <c r="I149" s="437"/>
      <c r="J149" s="438">
        <v>711.1</v>
      </c>
      <c r="K149" s="438">
        <v>0</v>
      </c>
      <c r="L149" s="438">
        <v>507393.61344157456</v>
      </c>
      <c r="M149" s="439"/>
      <c r="N149" s="439">
        <v>31</v>
      </c>
      <c r="O149" s="438">
        <v>0</v>
      </c>
      <c r="P149" s="438">
        <v>130.19999999999999</v>
      </c>
      <c r="Q149" s="438">
        <v>5.2</v>
      </c>
      <c r="R149" s="438">
        <v>64.7</v>
      </c>
      <c r="S149" s="438">
        <v>61.4</v>
      </c>
      <c r="T149" s="438">
        <v>80</v>
      </c>
      <c r="U149" s="438">
        <v>334.6</v>
      </c>
      <c r="V149" s="438">
        <v>11.3</v>
      </c>
      <c r="W149" s="438">
        <v>62.8</v>
      </c>
      <c r="X149" s="438">
        <v>55.7</v>
      </c>
      <c r="Y149" s="438">
        <v>186.4</v>
      </c>
      <c r="Z149" s="438">
        <v>28542</v>
      </c>
      <c r="AA149" s="438">
        <v>114.5</v>
      </c>
      <c r="AB149" s="438">
        <v>130.5</v>
      </c>
      <c r="AC149" s="438">
        <v>114.5</v>
      </c>
    </row>
    <row r="150" spans="1:29" x14ac:dyDescent="0.3">
      <c r="A150" s="433">
        <v>40210</v>
      </c>
      <c r="B150" s="434">
        <v>46811438.209999993</v>
      </c>
      <c r="C150" s="435">
        <v>0</v>
      </c>
      <c r="D150" s="436"/>
      <c r="E150" s="436"/>
      <c r="F150" s="436">
        <v>1841513.37</v>
      </c>
      <c r="G150" s="436"/>
      <c r="H150" s="434">
        <f t="shared" ref="H150:H160" si="4">B150+SUM(C150:E150)-SUM(F150:G150)</f>
        <v>44969924.839999996</v>
      </c>
      <c r="I150" s="437"/>
      <c r="J150" s="438">
        <v>632.5</v>
      </c>
      <c r="K150" s="438">
        <v>0</v>
      </c>
      <c r="L150" s="438">
        <v>515690.00693749124</v>
      </c>
      <c r="M150" s="439"/>
      <c r="N150" s="439">
        <v>28</v>
      </c>
      <c r="O150" s="438">
        <v>0</v>
      </c>
      <c r="P150" s="438">
        <v>130.30000000000001</v>
      </c>
      <c r="Q150" s="438">
        <v>5.4</v>
      </c>
      <c r="R150" s="438">
        <v>63</v>
      </c>
      <c r="S150" s="438">
        <v>59.6</v>
      </c>
      <c r="T150" s="438">
        <v>77.7</v>
      </c>
      <c r="U150" s="438">
        <v>334.7</v>
      </c>
      <c r="V150" s="438">
        <v>11.7</v>
      </c>
      <c r="W150" s="438">
        <v>62.5</v>
      </c>
      <c r="X150" s="438">
        <v>55.2</v>
      </c>
      <c r="Y150" s="438">
        <v>184.7</v>
      </c>
      <c r="Z150" s="438">
        <v>28454</v>
      </c>
      <c r="AA150" s="438">
        <v>115.1</v>
      </c>
      <c r="AB150" s="438">
        <v>129.19999999999999</v>
      </c>
      <c r="AC150" s="438">
        <v>115.1</v>
      </c>
    </row>
    <row r="151" spans="1:29" x14ac:dyDescent="0.3">
      <c r="A151" s="433">
        <v>40238</v>
      </c>
      <c r="B151" s="434">
        <v>47224368.439999953</v>
      </c>
      <c r="C151" s="435">
        <v>0</v>
      </c>
      <c r="D151" s="436"/>
      <c r="E151" s="436"/>
      <c r="F151" s="436">
        <v>2304087.0900000003</v>
      </c>
      <c r="G151" s="436"/>
      <c r="H151" s="434">
        <f t="shared" si="4"/>
        <v>44920281.349999949</v>
      </c>
      <c r="I151" s="437"/>
      <c r="J151" s="438">
        <v>468</v>
      </c>
      <c r="K151" s="438">
        <v>0</v>
      </c>
      <c r="L151" s="438">
        <v>523986.40043340792</v>
      </c>
      <c r="M151" s="439"/>
      <c r="N151" s="439">
        <v>31</v>
      </c>
      <c r="O151" s="438">
        <v>1</v>
      </c>
      <c r="P151" s="438">
        <v>130.4</v>
      </c>
      <c r="Q151" s="438">
        <v>5.9</v>
      </c>
      <c r="R151" s="438">
        <v>62.3</v>
      </c>
      <c r="S151" s="438">
        <v>58.6</v>
      </c>
      <c r="T151" s="438">
        <v>76.400000000000006</v>
      </c>
      <c r="U151" s="438">
        <v>334.8</v>
      </c>
      <c r="V151" s="438">
        <v>11.5</v>
      </c>
      <c r="W151" s="438">
        <v>62.4</v>
      </c>
      <c r="X151" s="438">
        <v>55.2</v>
      </c>
      <c r="Y151" s="438">
        <v>184.8</v>
      </c>
      <c r="Z151" s="438">
        <v>28464</v>
      </c>
      <c r="AA151" s="438">
        <v>115.3</v>
      </c>
      <c r="AB151" s="438">
        <v>131.80000000000001</v>
      </c>
      <c r="AC151" s="438">
        <v>115.3</v>
      </c>
    </row>
    <row r="152" spans="1:29" x14ac:dyDescent="0.3">
      <c r="A152" s="433">
        <v>40269</v>
      </c>
      <c r="B152" s="434">
        <v>39955840.87000002</v>
      </c>
      <c r="C152" s="435">
        <v>0</v>
      </c>
      <c r="D152" s="436"/>
      <c r="E152" s="436"/>
      <c r="F152" s="436">
        <v>1615459.04</v>
      </c>
      <c r="G152" s="436"/>
      <c r="H152" s="434">
        <f t="shared" si="4"/>
        <v>38340381.830000021</v>
      </c>
      <c r="I152" s="437"/>
      <c r="J152" s="438">
        <v>253.8</v>
      </c>
      <c r="K152" s="438">
        <v>0</v>
      </c>
      <c r="L152" s="438">
        <v>532282.7939293246</v>
      </c>
      <c r="M152" s="439"/>
      <c r="N152" s="439">
        <v>30</v>
      </c>
      <c r="O152" s="438">
        <v>1</v>
      </c>
      <c r="P152" s="438">
        <v>130.5</v>
      </c>
      <c r="Q152" s="438">
        <v>5.9</v>
      </c>
      <c r="R152" s="438">
        <v>62.2</v>
      </c>
      <c r="S152" s="438">
        <v>58.5</v>
      </c>
      <c r="T152" s="438">
        <v>76.400000000000006</v>
      </c>
      <c r="U152" s="438">
        <v>334.9</v>
      </c>
      <c r="V152" s="438">
        <v>10.5</v>
      </c>
      <c r="W152" s="438">
        <v>61.7</v>
      </c>
      <c r="X152" s="438">
        <v>55.2</v>
      </c>
      <c r="Y152" s="438">
        <v>184.9</v>
      </c>
      <c r="Z152" s="438">
        <v>28387</v>
      </c>
      <c r="AA152" s="438">
        <v>115.7</v>
      </c>
      <c r="AB152" s="438">
        <v>135.30000000000001</v>
      </c>
      <c r="AC152" s="438">
        <v>115.8</v>
      </c>
    </row>
    <row r="153" spans="1:29" x14ac:dyDescent="0.3">
      <c r="A153" s="433">
        <v>40299</v>
      </c>
      <c r="B153" s="434">
        <v>42421978.980000004</v>
      </c>
      <c r="C153" s="435">
        <v>0</v>
      </c>
      <c r="D153" s="436"/>
      <c r="E153" s="436"/>
      <c r="F153" s="436">
        <v>1507061.0799999996</v>
      </c>
      <c r="G153" s="436"/>
      <c r="H153" s="434">
        <f t="shared" si="4"/>
        <v>40914917.900000006</v>
      </c>
      <c r="I153" s="437"/>
      <c r="J153" s="438">
        <v>125.4</v>
      </c>
      <c r="K153" s="438">
        <v>27.5</v>
      </c>
      <c r="L153" s="438">
        <v>540579.18742524134</v>
      </c>
      <c r="M153" s="439"/>
      <c r="N153" s="439">
        <v>31</v>
      </c>
      <c r="O153" s="438">
        <v>1</v>
      </c>
      <c r="P153" s="438">
        <v>130.6</v>
      </c>
      <c r="Q153" s="438">
        <v>5.9</v>
      </c>
      <c r="R153" s="438">
        <v>63.2</v>
      </c>
      <c r="S153" s="438">
        <v>59.4</v>
      </c>
      <c r="T153" s="438">
        <v>77.599999999999994</v>
      </c>
      <c r="U153" s="438">
        <v>335</v>
      </c>
      <c r="V153" s="438">
        <v>9.9</v>
      </c>
      <c r="W153" s="438">
        <v>62.4</v>
      </c>
      <c r="X153" s="438">
        <v>56.2</v>
      </c>
      <c r="Y153" s="438">
        <v>188.2</v>
      </c>
      <c r="Z153" s="438">
        <v>28365</v>
      </c>
      <c r="AA153" s="438">
        <v>116.2</v>
      </c>
      <c r="AB153" s="438">
        <v>138.30000000000001</v>
      </c>
      <c r="AC153" s="438">
        <v>116.3</v>
      </c>
    </row>
    <row r="154" spans="1:29" x14ac:dyDescent="0.3">
      <c r="A154" s="433">
        <v>40330</v>
      </c>
      <c r="B154" s="434">
        <v>46215608.019999944</v>
      </c>
      <c r="C154" s="435">
        <v>0</v>
      </c>
      <c r="D154" s="436"/>
      <c r="E154" s="436"/>
      <c r="F154" s="436">
        <v>2493665.83</v>
      </c>
      <c r="G154" s="436"/>
      <c r="H154" s="434">
        <f t="shared" si="4"/>
        <v>43721942.189999945</v>
      </c>
      <c r="I154" s="437"/>
      <c r="J154" s="438">
        <v>23.6</v>
      </c>
      <c r="K154" s="438">
        <v>53.9</v>
      </c>
      <c r="L154" s="438">
        <v>548875.58092115808</v>
      </c>
      <c r="M154" s="439"/>
      <c r="N154" s="439">
        <v>30</v>
      </c>
      <c r="O154" s="438">
        <v>0</v>
      </c>
      <c r="P154" s="438">
        <v>130.80000000000001</v>
      </c>
      <c r="Q154" s="438">
        <v>6.2</v>
      </c>
      <c r="R154" s="438">
        <v>63.3</v>
      </c>
      <c r="S154" s="438">
        <v>59.4</v>
      </c>
      <c r="T154" s="438">
        <v>77.7</v>
      </c>
      <c r="U154" s="438">
        <v>335.2</v>
      </c>
      <c r="V154" s="438">
        <v>8.6</v>
      </c>
      <c r="W154" s="438">
        <v>63.2</v>
      </c>
      <c r="X154" s="438">
        <v>57.7</v>
      </c>
      <c r="Y154" s="438">
        <v>193.5</v>
      </c>
      <c r="Z154" s="438">
        <v>28383</v>
      </c>
      <c r="AA154" s="438">
        <v>116</v>
      </c>
      <c r="AB154" s="438">
        <v>136</v>
      </c>
      <c r="AC154" s="438">
        <v>116.1</v>
      </c>
    </row>
    <row r="155" spans="1:29" x14ac:dyDescent="0.3">
      <c r="A155" s="433">
        <v>40360</v>
      </c>
      <c r="B155" s="434">
        <v>55926190.800000042</v>
      </c>
      <c r="C155" s="435">
        <v>0</v>
      </c>
      <c r="D155" s="436"/>
      <c r="E155" s="436"/>
      <c r="F155" s="436">
        <v>3534009.1000000006</v>
      </c>
      <c r="G155" s="436"/>
      <c r="H155" s="434">
        <f t="shared" si="4"/>
        <v>52392181.70000004</v>
      </c>
      <c r="I155" s="437"/>
      <c r="J155" s="438">
        <v>4.5999999999999996</v>
      </c>
      <c r="K155" s="438">
        <v>124</v>
      </c>
      <c r="L155" s="438">
        <v>557171.97441707482</v>
      </c>
      <c r="M155" s="439"/>
      <c r="N155" s="439">
        <v>31</v>
      </c>
      <c r="O155" s="438">
        <v>0</v>
      </c>
      <c r="P155" s="438">
        <v>130.9</v>
      </c>
      <c r="Q155" s="438">
        <v>6.2</v>
      </c>
      <c r="R155" s="438">
        <v>63.9</v>
      </c>
      <c r="S155" s="438">
        <v>60</v>
      </c>
      <c r="T155" s="438">
        <v>78.5</v>
      </c>
      <c r="U155" s="438">
        <v>335.4</v>
      </c>
      <c r="V155" s="438">
        <v>8.6</v>
      </c>
      <c r="W155" s="438">
        <v>64</v>
      </c>
      <c r="X155" s="438">
        <v>58.5</v>
      </c>
      <c r="Y155" s="438">
        <v>196.1</v>
      </c>
      <c r="Z155" s="438">
        <v>28381</v>
      </c>
      <c r="AA155" s="438">
        <v>117</v>
      </c>
      <c r="AB155" s="438">
        <v>143.6</v>
      </c>
      <c r="AC155" s="438">
        <v>117.1</v>
      </c>
    </row>
    <row r="156" spans="1:29" x14ac:dyDescent="0.3">
      <c r="A156" s="433">
        <v>40391</v>
      </c>
      <c r="B156" s="434">
        <v>54796356.969999917</v>
      </c>
      <c r="C156" s="435">
        <v>0</v>
      </c>
      <c r="D156" s="436"/>
      <c r="E156" s="436"/>
      <c r="F156" s="436">
        <v>4030462.1999999997</v>
      </c>
      <c r="G156" s="436"/>
      <c r="H156" s="434">
        <f t="shared" si="4"/>
        <v>50765894.769999914</v>
      </c>
      <c r="I156" s="437"/>
      <c r="J156" s="438">
        <v>7.7</v>
      </c>
      <c r="K156" s="438">
        <v>103.4</v>
      </c>
      <c r="L156" s="438">
        <v>565468.36791299155</v>
      </c>
      <c r="M156" s="439"/>
      <c r="N156" s="439">
        <v>31</v>
      </c>
      <c r="O156" s="438">
        <v>0</v>
      </c>
      <c r="P156" s="438">
        <v>131.1</v>
      </c>
      <c r="Q156" s="438">
        <v>6.7</v>
      </c>
      <c r="R156" s="438">
        <v>63.9</v>
      </c>
      <c r="S156" s="438">
        <v>59.6</v>
      </c>
      <c r="T156" s="438">
        <v>78.099999999999994</v>
      </c>
      <c r="U156" s="438">
        <v>335.7</v>
      </c>
      <c r="V156" s="438">
        <v>8.6</v>
      </c>
      <c r="W156" s="438">
        <v>63.8</v>
      </c>
      <c r="X156" s="438">
        <v>58.3</v>
      </c>
      <c r="Y156" s="438">
        <v>195.6</v>
      </c>
      <c r="Z156" s="438">
        <v>28341</v>
      </c>
      <c r="AA156" s="438">
        <v>117</v>
      </c>
      <c r="AB156" s="438">
        <v>142.6</v>
      </c>
      <c r="AC156" s="438">
        <v>117.1</v>
      </c>
    </row>
    <row r="157" spans="1:29" x14ac:dyDescent="0.3">
      <c r="A157" s="433">
        <v>40422</v>
      </c>
      <c r="B157" s="434">
        <v>44022864.74999997</v>
      </c>
      <c r="C157" s="435">
        <v>0</v>
      </c>
      <c r="D157" s="436"/>
      <c r="E157" s="436"/>
      <c r="F157" s="436">
        <v>2924436.34</v>
      </c>
      <c r="G157" s="436"/>
      <c r="H157" s="434">
        <f t="shared" si="4"/>
        <v>41098428.409999967</v>
      </c>
      <c r="I157" s="437"/>
      <c r="J157" s="438">
        <v>88.8</v>
      </c>
      <c r="K157" s="438">
        <v>25.5</v>
      </c>
      <c r="L157" s="438">
        <v>573764.76140890829</v>
      </c>
      <c r="M157" s="439"/>
      <c r="N157" s="439">
        <v>30</v>
      </c>
      <c r="O157" s="438">
        <v>1</v>
      </c>
      <c r="P157" s="438">
        <v>131.1</v>
      </c>
      <c r="Q157" s="438">
        <v>6.9</v>
      </c>
      <c r="R157" s="438">
        <v>63.2</v>
      </c>
      <c r="S157" s="438">
        <v>58.9</v>
      </c>
      <c r="T157" s="438">
        <v>77.2</v>
      </c>
      <c r="U157" s="438">
        <v>335.9</v>
      </c>
      <c r="V157" s="438">
        <v>9.1999999999999993</v>
      </c>
      <c r="W157" s="438">
        <v>62.8</v>
      </c>
      <c r="X157" s="438">
        <v>57</v>
      </c>
      <c r="Y157" s="438">
        <v>191.5</v>
      </c>
      <c r="Z157" s="438">
        <v>28354</v>
      </c>
      <c r="AA157" s="438">
        <v>117.1</v>
      </c>
      <c r="AB157" s="438">
        <v>142</v>
      </c>
      <c r="AC157" s="438">
        <v>117.3</v>
      </c>
    </row>
    <row r="158" spans="1:29" x14ac:dyDescent="0.3">
      <c r="A158" s="433">
        <v>40452</v>
      </c>
      <c r="B158" s="434">
        <v>43089704.280000031</v>
      </c>
      <c r="C158" s="435">
        <v>3897</v>
      </c>
      <c r="D158" s="436"/>
      <c r="E158" s="436"/>
      <c r="F158" s="436">
        <v>2432323.65</v>
      </c>
      <c r="G158" s="436"/>
      <c r="H158" s="434">
        <f t="shared" si="4"/>
        <v>40661277.630000032</v>
      </c>
      <c r="I158" s="437"/>
      <c r="J158" s="438">
        <v>256.7</v>
      </c>
      <c r="K158" s="438">
        <v>0.1</v>
      </c>
      <c r="L158" s="438">
        <v>582061.15490482503</v>
      </c>
      <c r="M158" s="439"/>
      <c r="N158" s="439">
        <v>31</v>
      </c>
      <c r="O158" s="438">
        <v>1</v>
      </c>
      <c r="P158" s="438">
        <v>131.1</v>
      </c>
      <c r="Q158" s="438">
        <v>7.3</v>
      </c>
      <c r="R158" s="438">
        <v>61.8</v>
      </c>
      <c r="S158" s="438">
        <v>57.3</v>
      </c>
      <c r="T158" s="438">
        <v>75.099999999999994</v>
      </c>
      <c r="U158" s="438">
        <v>336.1</v>
      </c>
      <c r="V158" s="438">
        <v>8.9</v>
      </c>
      <c r="W158" s="438">
        <v>62.5</v>
      </c>
      <c r="X158" s="438">
        <v>56.9</v>
      </c>
      <c r="Y158" s="438">
        <v>191.4</v>
      </c>
      <c r="Z158" s="438">
        <v>28347</v>
      </c>
      <c r="AA158" s="438">
        <v>117.8</v>
      </c>
      <c r="AB158" s="438">
        <v>144.69999999999999</v>
      </c>
      <c r="AC158" s="438">
        <v>117.7</v>
      </c>
    </row>
    <row r="159" spans="1:29" x14ac:dyDescent="0.3">
      <c r="A159" s="433">
        <v>40483</v>
      </c>
      <c r="B159" s="434">
        <v>43749496.590000004</v>
      </c>
      <c r="C159" s="435">
        <v>2744</v>
      </c>
      <c r="D159" s="436"/>
      <c r="E159" s="436"/>
      <c r="F159" s="436">
        <v>1350947.51</v>
      </c>
      <c r="G159" s="436"/>
      <c r="H159" s="434">
        <f t="shared" si="4"/>
        <v>42401293.080000006</v>
      </c>
      <c r="I159" s="437"/>
      <c r="J159" s="438">
        <v>410.4</v>
      </c>
      <c r="K159" s="438">
        <v>0</v>
      </c>
      <c r="L159" s="438">
        <v>590357.54840074177</v>
      </c>
      <c r="M159" s="439"/>
      <c r="N159" s="439">
        <v>30</v>
      </c>
      <c r="O159" s="438">
        <v>1</v>
      </c>
      <c r="P159" s="438">
        <v>131.19999999999999</v>
      </c>
      <c r="Q159" s="438">
        <v>6.3</v>
      </c>
      <c r="R159" s="438">
        <v>60.6</v>
      </c>
      <c r="S159" s="438">
        <v>56.8</v>
      </c>
      <c r="T159" s="438">
        <v>74.5</v>
      </c>
      <c r="U159" s="438">
        <v>336.2</v>
      </c>
      <c r="V159" s="438">
        <v>8.6999999999999993</v>
      </c>
      <c r="W159" s="438">
        <v>62.4</v>
      </c>
      <c r="X159" s="438">
        <v>57</v>
      </c>
      <c r="Y159" s="438">
        <v>191.5</v>
      </c>
      <c r="Z159" s="438">
        <v>28388</v>
      </c>
      <c r="AA159" s="438">
        <v>118</v>
      </c>
      <c r="AB159" s="438">
        <v>145.69999999999999</v>
      </c>
      <c r="AC159" s="438">
        <v>117.8</v>
      </c>
    </row>
    <row r="160" spans="1:29" x14ac:dyDescent="0.3">
      <c r="A160" s="433">
        <v>40513</v>
      </c>
      <c r="B160" s="434">
        <v>49963488.439999975</v>
      </c>
      <c r="C160" s="435">
        <v>1431</v>
      </c>
      <c r="D160" s="436"/>
      <c r="E160" s="436"/>
      <c r="F160" s="436">
        <v>839487.51</v>
      </c>
      <c r="G160" s="436"/>
      <c r="H160" s="434">
        <f t="shared" si="4"/>
        <v>49125431.929999977</v>
      </c>
      <c r="I160" s="437"/>
      <c r="J160" s="438">
        <v>671.3</v>
      </c>
      <c r="K160" s="438">
        <v>0</v>
      </c>
      <c r="L160" s="438">
        <v>598653.94189665851</v>
      </c>
      <c r="M160" s="439"/>
      <c r="N160" s="439">
        <v>31</v>
      </c>
      <c r="O160" s="438">
        <v>0</v>
      </c>
      <c r="P160" s="438">
        <v>131.30000000000001</v>
      </c>
      <c r="Q160" s="438">
        <v>5.9</v>
      </c>
      <c r="R160" s="438">
        <v>61.1</v>
      </c>
      <c r="S160" s="438">
        <v>57.5</v>
      </c>
      <c r="T160" s="438">
        <v>75.5</v>
      </c>
      <c r="U160" s="438">
        <v>336.3</v>
      </c>
      <c r="V160" s="438">
        <v>8.9</v>
      </c>
      <c r="W160" s="438">
        <v>62.7</v>
      </c>
      <c r="X160" s="438">
        <v>57.1</v>
      </c>
      <c r="Y160" s="438">
        <v>192</v>
      </c>
      <c r="Z160" s="438">
        <v>28404</v>
      </c>
      <c r="AA160" s="438">
        <v>117.9</v>
      </c>
      <c r="AB160" s="438">
        <v>147.30000000000001</v>
      </c>
      <c r="AC160" s="438">
        <v>117.6</v>
      </c>
    </row>
  </sheetData>
  <sheetProtection selectLockedCells="1" selectUnlockedCells="1"/>
  <mergeCells count="2">
    <mergeCell ref="J3:Y3"/>
    <mergeCell ref="A3:H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topLeftCell="A67" workbookViewId="0">
      <selection activeCell="C105" sqref="C105"/>
    </sheetView>
  </sheetViews>
  <sheetFormatPr defaultColWidth="9.296875" defaultRowHeight="12.5" x14ac:dyDescent="0.25"/>
  <cols>
    <col min="1" max="2" width="9.296875" style="144"/>
    <col min="3" max="19" width="12.796875" style="144" customWidth="1"/>
    <col min="20" max="21" width="12" style="144" bestFit="1" customWidth="1"/>
    <col min="22" max="22" width="15.296875" style="144" bestFit="1" customWidth="1"/>
    <col min="23" max="23" width="12" style="144" bestFit="1" customWidth="1"/>
    <col min="24" max="16384" width="9.296875" style="144"/>
  </cols>
  <sheetData>
    <row r="1" spans="1:22" x14ac:dyDescent="0.25">
      <c r="B1" s="491"/>
      <c r="C1" s="492" t="s">
        <v>196</v>
      </c>
      <c r="D1" s="492"/>
      <c r="E1" s="492"/>
      <c r="F1" s="492"/>
      <c r="G1" s="492"/>
      <c r="H1" s="492"/>
      <c r="I1" s="492"/>
      <c r="J1" s="492"/>
      <c r="K1" s="492"/>
      <c r="L1" s="492"/>
      <c r="M1" s="492"/>
      <c r="N1" s="492"/>
      <c r="O1" s="492"/>
      <c r="P1" s="492"/>
      <c r="Q1" s="492"/>
      <c r="R1" s="492"/>
      <c r="S1" s="492"/>
    </row>
    <row r="2" spans="1:22" x14ac:dyDescent="0.25">
      <c r="B2" s="491"/>
      <c r="C2" s="144">
        <v>2006</v>
      </c>
      <c r="D2" s="144">
        <v>2007</v>
      </c>
      <c r="E2" s="144">
        <v>2008</v>
      </c>
      <c r="F2" s="144">
        <v>2009</v>
      </c>
      <c r="G2" s="144">
        <v>2010</v>
      </c>
      <c r="H2" s="144">
        <v>2011</v>
      </c>
      <c r="I2" s="144">
        <v>2012</v>
      </c>
      <c r="J2" s="144">
        <v>2013</v>
      </c>
      <c r="K2" s="144">
        <v>2014</v>
      </c>
      <c r="L2" s="144">
        <v>2015</v>
      </c>
      <c r="M2" s="144">
        <v>2016</v>
      </c>
      <c r="N2" s="144">
        <v>2017</v>
      </c>
      <c r="O2" s="144">
        <v>2018</v>
      </c>
      <c r="P2" s="144">
        <v>2019</v>
      </c>
      <c r="Q2" s="144">
        <v>2020</v>
      </c>
      <c r="R2" s="144">
        <v>2021</v>
      </c>
      <c r="S2" s="144">
        <v>2022</v>
      </c>
    </row>
    <row r="3" spans="1:22" x14ac:dyDescent="0.25">
      <c r="A3" s="493" t="s">
        <v>197</v>
      </c>
      <c r="B3" s="144">
        <v>2006</v>
      </c>
      <c r="C3" s="447">
        <v>1346575.759190094</v>
      </c>
      <c r="D3" s="447">
        <v>1346575.759190094</v>
      </c>
      <c r="E3" s="447">
        <v>1346575.759190094</v>
      </c>
      <c r="F3" s="447">
        <v>1346575.759190094</v>
      </c>
      <c r="G3" s="447">
        <v>233870.39274956362</v>
      </c>
      <c r="H3" s="447">
        <v>233870.39274956362</v>
      </c>
      <c r="I3" s="447">
        <v>213927.73678348644</v>
      </c>
      <c r="J3" s="447">
        <v>213927.73678348644</v>
      </c>
      <c r="K3" s="447">
        <v>201018.06942352472</v>
      </c>
      <c r="L3" s="447">
        <v>201018.06942352472</v>
      </c>
      <c r="M3" s="447">
        <v>189917.73542775618</v>
      </c>
      <c r="N3" s="447">
        <v>189917.73542775618</v>
      </c>
      <c r="O3" s="447">
        <v>189917.73542775618</v>
      </c>
      <c r="P3" s="447">
        <v>189917.73542775618</v>
      </c>
      <c r="Q3" s="447">
        <v>171911.20878431978</v>
      </c>
      <c r="R3" s="447">
        <v>149427.84378962513</v>
      </c>
      <c r="S3" s="447">
        <v>149427.84378962513</v>
      </c>
      <c r="U3" s="144" t="s">
        <v>147</v>
      </c>
      <c r="V3" s="144">
        <v>1</v>
      </c>
    </row>
    <row r="4" spans="1:22" x14ac:dyDescent="0.25">
      <c r="A4" s="493"/>
      <c r="B4" s="144">
        <v>2007</v>
      </c>
      <c r="D4" s="447">
        <v>2774355.8738935241</v>
      </c>
      <c r="E4" s="447">
        <v>2204491.7339191372</v>
      </c>
      <c r="F4" s="447">
        <v>2133401.2120559206</v>
      </c>
      <c r="G4" s="447">
        <v>2133401.2120559206</v>
      </c>
      <c r="H4" s="447">
        <v>762545.940748233</v>
      </c>
      <c r="I4" s="447">
        <v>700823.08772981528</v>
      </c>
      <c r="J4" s="447">
        <v>700823.08772981528</v>
      </c>
      <c r="K4" s="447">
        <v>700823.08772981528</v>
      </c>
      <c r="L4" s="447">
        <v>279181.01480831468</v>
      </c>
      <c r="M4" s="447">
        <v>246139.80096464042</v>
      </c>
      <c r="N4" s="447">
        <v>175716.6588577331</v>
      </c>
      <c r="O4" s="447">
        <v>175716.6588577331</v>
      </c>
      <c r="P4" s="447">
        <v>175716.6588577331</v>
      </c>
      <c r="Q4" s="447">
        <v>175716.6588577331</v>
      </c>
      <c r="R4" s="447">
        <v>80440.524231915915</v>
      </c>
      <c r="S4" s="447">
        <v>12951.075417703969</v>
      </c>
      <c r="U4" s="144" t="s">
        <v>148</v>
      </c>
      <c r="V4" s="144">
        <v>2</v>
      </c>
    </row>
    <row r="5" spans="1:22" x14ac:dyDescent="0.25">
      <c r="A5" s="493"/>
      <c r="B5" s="144">
        <v>2008</v>
      </c>
      <c r="C5" s="447"/>
      <c r="D5" s="447"/>
      <c r="E5" s="447">
        <v>1073898.0549253344</v>
      </c>
      <c r="F5" s="447">
        <v>783731.95939004805</v>
      </c>
      <c r="G5" s="447">
        <v>783731.95939004805</v>
      </c>
      <c r="H5" s="447">
        <v>783731.95939004805</v>
      </c>
      <c r="I5" s="447">
        <v>721537.8979334709</v>
      </c>
      <c r="J5" s="447">
        <v>721431.5179334709</v>
      </c>
      <c r="K5" s="447">
        <v>656778.00533310068</v>
      </c>
      <c r="L5" s="447">
        <v>608476.35656577221</v>
      </c>
      <c r="M5" s="447">
        <v>423418.85433244373</v>
      </c>
      <c r="N5" s="447">
        <v>317944.9175091589</v>
      </c>
      <c r="O5" s="447">
        <v>269912.28357925301</v>
      </c>
      <c r="P5" s="447">
        <v>269912.28357925301</v>
      </c>
      <c r="Q5" s="447">
        <v>263722.56290655449</v>
      </c>
      <c r="R5" s="447">
        <v>255932.22529575517</v>
      </c>
      <c r="S5" s="447">
        <v>252425.64153032494</v>
      </c>
      <c r="U5" s="144" t="s">
        <v>149</v>
      </c>
      <c r="V5" s="144">
        <v>3</v>
      </c>
    </row>
    <row r="6" spans="1:22" x14ac:dyDescent="0.25">
      <c r="A6" s="493"/>
      <c r="B6" s="144">
        <v>2009</v>
      </c>
      <c r="C6" s="447"/>
      <c r="D6" s="447"/>
      <c r="E6" s="447"/>
      <c r="F6" s="447">
        <v>1901148.810360821</v>
      </c>
      <c r="G6" s="447">
        <v>1689114.5663239053</v>
      </c>
      <c r="H6" s="447">
        <v>1689114.5663239053</v>
      </c>
      <c r="I6" s="447">
        <v>1688434.1620206591</v>
      </c>
      <c r="J6" s="447">
        <v>1663488.0954432415</v>
      </c>
      <c r="K6" s="447">
        <v>1583044.5620843829</v>
      </c>
      <c r="L6" s="447">
        <v>1549709.6844928213</v>
      </c>
      <c r="M6" s="447">
        <v>1548982.3413866393</v>
      </c>
      <c r="N6" s="447">
        <v>995372.7465778623</v>
      </c>
      <c r="O6" s="447">
        <v>341678.75449021306</v>
      </c>
      <c r="P6" s="447">
        <v>290833.24714300863</v>
      </c>
      <c r="Q6" s="447">
        <v>180978.17974463443</v>
      </c>
      <c r="R6" s="447">
        <v>163046.69865044559</v>
      </c>
      <c r="S6" s="447">
        <v>163046.69865044559</v>
      </c>
      <c r="U6" s="144" t="s">
        <v>150</v>
      </c>
      <c r="V6" s="144">
        <v>4</v>
      </c>
    </row>
    <row r="7" spans="1:22" x14ac:dyDescent="0.25">
      <c r="A7" s="493"/>
      <c r="B7" s="144">
        <v>2010</v>
      </c>
      <c r="C7" s="447"/>
      <c r="D7" s="447"/>
      <c r="E7" s="447"/>
      <c r="F7" s="447"/>
      <c r="G7" s="447">
        <v>2267594.7925424725</v>
      </c>
      <c r="H7" s="447">
        <v>1896725.5184710093</v>
      </c>
      <c r="I7" s="447">
        <v>1894850.5754228963</v>
      </c>
      <c r="J7" s="447">
        <v>1894177.5197159457</v>
      </c>
      <c r="K7" s="447">
        <v>1844846.1752305815</v>
      </c>
      <c r="L7" s="447">
        <v>1668736.1577916197</v>
      </c>
      <c r="M7" s="447">
        <v>1661793.9237223372</v>
      </c>
      <c r="N7" s="447">
        <v>1517223.3344295414</v>
      </c>
      <c r="O7" s="447">
        <v>1207990.4088999855</v>
      </c>
      <c r="P7" s="447">
        <v>375649.02894375508</v>
      </c>
      <c r="Q7" s="447">
        <v>171259.01188228891</v>
      </c>
      <c r="R7" s="447">
        <v>171259.01188228891</v>
      </c>
      <c r="S7" s="447">
        <v>169414.84136054732</v>
      </c>
      <c r="U7" s="144" t="s">
        <v>69</v>
      </c>
      <c r="V7" s="144">
        <v>5</v>
      </c>
    </row>
    <row r="8" spans="1:22" x14ac:dyDescent="0.25">
      <c r="A8" s="493"/>
      <c r="B8" s="144">
        <v>2011</v>
      </c>
      <c r="C8" s="447"/>
      <c r="D8" s="447"/>
      <c r="E8" s="447"/>
      <c r="F8" s="447"/>
      <c r="G8" s="447"/>
      <c r="H8" s="447">
        <v>1915653.5210567387</v>
      </c>
      <c r="I8" s="447">
        <v>1908233.1560567389</v>
      </c>
      <c r="J8" s="447">
        <v>1908233.1560567389</v>
      </c>
      <c r="K8" s="447">
        <v>1895689.3046039932</v>
      </c>
      <c r="L8" s="447">
        <v>1851185.7073686048</v>
      </c>
      <c r="M8" s="447">
        <v>1756127.0038918422</v>
      </c>
      <c r="N8" s="447">
        <v>1682459.5377406878</v>
      </c>
      <c r="O8" s="447">
        <v>1681719.9209841068</v>
      </c>
      <c r="P8" s="447">
        <v>1678668.5457810522</v>
      </c>
      <c r="Q8" s="447">
        <v>1549281.3874139036</v>
      </c>
      <c r="R8" s="447">
        <v>1463212.6230128207</v>
      </c>
      <c r="S8" s="447">
        <v>1431014.8654721188</v>
      </c>
      <c r="U8" s="144" t="s">
        <v>151</v>
      </c>
      <c r="V8" s="144">
        <v>6</v>
      </c>
    </row>
    <row r="9" spans="1:22" x14ac:dyDescent="0.25">
      <c r="A9" s="493"/>
      <c r="B9" s="144">
        <v>2012</v>
      </c>
      <c r="C9" s="447"/>
      <c r="D9" s="447"/>
      <c r="E9" s="447"/>
      <c r="F9" s="447"/>
      <c r="G9" s="447"/>
      <c r="H9" s="447"/>
      <c r="I9" s="447">
        <v>1274120.0925229061</v>
      </c>
      <c r="J9" s="447">
        <v>1268860.2975076472</v>
      </c>
      <c r="K9" s="447">
        <v>1263462.9171727672</v>
      </c>
      <c r="L9" s="447">
        <v>1198982.5810037379</v>
      </c>
      <c r="M9" s="447">
        <v>983180.31979202293</v>
      </c>
      <c r="N9" s="447">
        <v>557555.23580948391</v>
      </c>
      <c r="O9" s="447">
        <v>511706.18671281292</v>
      </c>
      <c r="P9" s="447">
        <v>511212.5762178505</v>
      </c>
      <c r="Q9" s="447">
        <v>497143.18488350348</v>
      </c>
      <c r="R9" s="447">
        <v>393746.85142963851</v>
      </c>
      <c r="S9" s="447">
        <v>344922.817271112</v>
      </c>
      <c r="U9" s="144" t="s">
        <v>152</v>
      </c>
      <c r="V9" s="144">
        <v>7</v>
      </c>
    </row>
    <row r="10" spans="1:22" x14ac:dyDescent="0.25">
      <c r="A10" s="493"/>
      <c r="B10" s="144">
        <v>2013</v>
      </c>
      <c r="C10" s="447"/>
      <c r="D10" s="447"/>
      <c r="E10" s="447"/>
      <c r="F10" s="447"/>
      <c r="G10" s="447"/>
      <c r="H10" s="447"/>
      <c r="I10" s="447"/>
      <c r="J10" s="447">
        <v>2274204.0744519136</v>
      </c>
      <c r="K10" s="447">
        <v>2245076.8604897987</v>
      </c>
      <c r="L10" s="447">
        <v>2203795.4087574901</v>
      </c>
      <c r="M10" s="447">
        <v>2026706.7460537371</v>
      </c>
      <c r="N10" s="447">
        <v>1711796.7295298434</v>
      </c>
      <c r="O10" s="447">
        <v>1665946.3873186097</v>
      </c>
      <c r="P10" s="447">
        <v>1653519.2713060358</v>
      </c>
      <c r="Q10" s="447">
        <v>1628813.1187469831</v>
      </c>
      <c r="R10" s="447">
        <v>1525650.5223745122</v>
      </c>
      <c r="S10" s="447">
        <v>1331954.2872700831</v>
      </c>
      <c r="U10" s="144" t="s">
        <v>153</v>
      </c>
      <c r="V10" s="144">
        <v>8</v>
      </c>
    </row>
    <row r="11" spans="1:22" x14ac:dyDescent="0.25">
      <c r="A11" s="493"/>
      <c r="B11" s="144">
        <v>2014</v>
      </c>
      <c r="C11" s="447"/>
      <c r="D11" s="447"/>
      <c r="E11" s="447"/>
      <c r="F11" s="447"/>
      <c r="G11" s="447"/>
      <c r="H11" s="447"/>
      <c r="I11" s="447"/>
      <c r="J11" s="447"/>
      <c r="K11" s="447">
        <v>2958530.5549300467</v>
      </c>
      <c r="L11" s="447">
        <v>2840561.0612170468</v>
      </c>
      <c r="M11" s="447">
        <v>2741372.8774043466</v>
      </c>
      <c r="N11" s="447">
        <v>2601648.2885443466</v>
      </c>
      <c r="O11" s="447">
        <v>2493459.3441734877</v>
      </c>
      <c r="P11" s="447">
        <v>2479008.4248086</v>
      </c>
      <c r="Q11" s="447">
        <v>2472686.4245686</v>
      </c>
      <c r="R11" s="447">
        <v>2468285.4449185999</v>
      </c>
      <c r="S11" s="447">
        <v>2416045.8869586</v>
      </c>
      <c r="U11" s="144" t="s">
        <v>154</v>
      </c>
      <c r="V11" s="144">
        <v>9</v>
      </c>
    </row>
    <row r="12" spans="1:22" x14ac:dyDescent="0.25">
      <c r="A12" s="493"/>
      <c r="B12" s="144">
        <v>2015</v>
      </c>
      <c r="C12" s="447"/>
      <c r="D12" s="447"/>
      <c r="E12" s="447"/>
      <c r="F12" s="447"/>
      <c r="G12" s="447"/>
      <c r="H12" s="447"/>
      <c r="I12" s="447"/>
      <c r="J12" s="447"/>
      <c r="K12" s="447"/>
      <c r="L12" s="447">
        <v>9094492</v>
      </c>
      <c r="M12" s="447">
        <v>9073874</v>
      </c>
      <c r="N12" s="447">
        <v>9072100</v>
      </c>
      <c r="O12" s="447">
        <v>9103303</v>
      </c>
      <c r="P12" s="447">
        <v>9094791</v>
      </c>
      <c r="Q12" s="447">
        <v>9089500</v>
      </c>
      <c r="R12" s="447">
        <v>9087014</v>
      </c>
      <c r="S12" s="447">
        <v>9086682</v>
      </c>
      <c r="U12" s="144" t="s">
        <v>155</v>
      </c>
      <c r="V12" s="144">
        <v>10</v>
      </c>
    </row>
    <row r="13" spans="1:22" x14ac:dyDescent="0.25">
      <c r="A13" s="493"/>
      <c r="B13" s="144">
        <v>2016</v>
      </c>
      <c r="C13" s="447"/>
      <c r="D13" s="447"/>
      <c r="E13" s="447"/>
      <c r="F13" s="447"/>
      <c r="G13" s="447"/>
      <c r="H13" s="447"/>
      <c r="I13" s="447"/>
      <c r="J13" s="447"/>
      <c r="K13" s="447"/>
      <c r="L13" s="447"/>
      <c r="M13" s="447">
        <v>8147801</v>
      </c>
      <c r="N13" s="447">
        <v>8147800</v>
      </c>
      <c r="O13" s="447">
        <v>8151083</v>
      </c>
      <c r="P13" s="447">
        <v>8054813</v>
      </c>
      <c r="Q13" s="447">
        <v>7921426</v>
      </c>
      <c r="R13" s="447">
        <v>7657163</v>
      </c>
      <c r="S13" s="447">
        <v>7301456</v>
      </c>
      <c r="U13" s="144" t="s">
        <v>156</v>
      </c>
      <c r="V13" s="144">
        <v>11</v>
      </c>
    </row>
    <row r="14" spans="1:22" x14ac:dyDescent="0.25">
      <c r="A14" s="493"/>
      <c r="B14" s="144">
        <v>2017</v>
      </c>
      <c r="C14" s="447"/>
      <c r="D14" s="447"/>
      <c r="E14" s="447"/>
      <c r="F14" s="447"/>
      <c r="G14" s="447"/>
      <c r="H14" s="447"/>
      <c r="I14" s="447"/>
      <c r="J14" s="447"/>
      <c r="K14" s="447"/>
      <c r="L14" s="447"/>
      <c r="M14" s="447"/>
      <c r="N14" s="447">
        <v>7868109.1206502272</v>
      </c>
      <c r="O14" s="447">
        <v>7149392.5027437462</v>
      </c>
      <c r="P14" s="447">
        <v>7145507.5027437462</v>
      </c>
      <c r="Q14" s="447">
        <v>7119848.5027437462</v>
      </c>
      <c r="R14" s="447">
        <v>7072986.5027437462</v>
      </c>
      <c r="S14" s="447">
        <v>6601113.5027437462</v>
      </c>
      <c r="U14" s="144" t="s">
        <v>157</v>
      </c>
      <c r="V14" s="144">
        <v>12</v>
      </c>
    </row>
    <row r="15" spans="1:22" x14ac:dyDescent="0.25">
      <c r="A15" s="493"/>
      <c r="B15" s="144">
        <v>2018</v>
      </c>
      <c r="C15" s="447"/>
      <c r="D15" s="447"/>
      <c r="E15" s="447"/>
      <c r="F15" s="447"/>
      <c r="G15" s="447"/>
      <c r="H15" s="447"/>
      <c r="I15" s="447"/>
      <c r="J15" s="447"/>
      <c r="K15" s="447"/>
      <c r="L15" s="447"/>
      <c r="M15" s="447"/>
      <c r="N15" s="447"/>
      <c r="O15" s="447">
        <v>4108439.093633391</v>
      </c>
      <c r="P15" s="447">
        <v>4082069.7280041878</v>
      </c>
      <c r="Q15" s="447">
        <v>4082069.7280041878</v>
      </c>
      <c r="R15" s="447">
        <v>4082069.7280041878</v>
      </c>
      <c r="S15" s="447">
        <v>4082069.7280041878</v>
      </c>
      <c r="U15" s="144" t="s">
        <v>77</v>
      </c>
      <c r="V15" s="144">
        <f>SUM(V3:V14)</f>
        <v>78</v>
      </c>
    </row>
    <row r="16" spans="1:22" x14ac:dyDescent="0.25">
      <c r="A16" s="493"/>
      <c r="B16" s="144">
        <v>2019</v>
      </c>
      <c r="C16" s="447"/>
      <c r="D16" s="447"/>
      <c r="E16" s="447"/>
      <c r="F16" s="447"/>
      <c r="G16" s="447"/>
      <c r="H16" s="447"/>
      <c r="I16" s="447"/>
      <c r="J16" s="447"/>
      <c r="K16" s="447"/>
      <c r="L16" s="447"/>
      <c r="M16" s="447"/>
      <c r="N16" s="447"/>
      <c r="O16" s="447"/>
      <c r="P16" s="447">
        <v>1750962.8558282065</v>
      </c>
      <c r="Q16" s="447">
        <v>1750962.8558282065</v>
      </c>
      <c r="R16" s="447">
        <v>1750962.8558282065</v>
      </c>
      <c r="S16" s="447">
        <v>1750962.8558282065</v>
      </c>
    </row>
    <row r="17" spans="1:22" x14ac:dyDescent="0.25">
      <c r="A17" s="493"/>
      <c r="B17" s="144">
        <v>2020</v>
      </c>
      <c r="C17" s="447"/>
      <c r="D17" s="447"/>
      <c r="E17" s="447"/>
      <c r="F17" s="447"/>
      <c r="G17" s="447"/>
      <c r="H17" s="447"/>
      <c r="I17" s="447"/>
      <c r="J17" s="447"/>
      <c r="K17" s="447"/>
      <c r="L17" s="447"/>
      <c r="M17" s="447"/>
      <c r="N17" s="447"/>
      <c r="O17" s="447"/>
      <c r="P17" s="447"/>
      <c r="Q17" s="447"/>
      <c r="R17" s="447"/>
      <c r="S17" s="447"/>
    </row>
    <row r="18" spans="1:22" x14ac:dyDescent="0.25">
      <c r="A18" s="493"/>
      <c r="B18" s="144">
        <v>2021</v>
      </c>
      <c r="C18" s="447"/>
      <c r="D18" s="447"/>
      <c r="E18" s="447"/>
      <c r="F18" s="447"/>
      <c r="G18" s="447"/>
      <c r="H18" s="447"/>
      <c r="I18" s="447"/>
      <c r="J18" s="447"/>
      <c r="K18" s="447"/>
      <c r="L18" s="447"/>
      <c r="M18" s="447"/>
      <c r="N18" s="447"/>
      <c r="O18" s="447"/>
      <c r="P18" s="447"/>
      <c r="Q18" s="447"/>
      <c r="R18" s="447"/>
      <c r="S18" s="447"/>
    </row>
    <row r="19" spans="1:22" ht="13" x14ac:dyDescent="0.3">
      <c r="B19" s="153" t="s">
        <v>77</v>
      </c>
      <c r="C19" s="448">
        <f>SUM(C3:C18)</f>
        <v>1346575.759190094</v>
      </c>
      <c r="D19" s="448">
        <f t="shared" ref="D19:S19" si="0">SUM(D3:D18)</f>
        <v>4120931.6330836182</v>
      </c>
      <c r="E19" s="448">
        <f t="shared" si="0"/>
        <v>4624965.5480345655</v>
      </c>
      <c r="F19" s="448">
        <f t="shared" si="0"/>
        <v>6164857.7409968833</v>
      </c>
      <c r="G19" s="448">
        <f t="shared" si="0"/>
        <v>7107712.9230619101</v>
      </c>
      <c r="H19" s="448">
        <f t="shared" si="0"/>
        <v>7281641.8987394981</v>
      </c>
      <c r="I19" s="448">
        <f t="shared" si="0"/>
        <v>8401926.7084699739</v>
      </c>
      <c r="J19" s="448">
        <f t="shared" si="0"/>
        <v>10645145.485622261</v>
      </c>
      <c r="K19" s="448">
        <f t="shared" si="0"/>
        <v>13349269.536998011</v>
      </c>
      <c r="L19" s="448">
        <f t="shared" si="0"/>
        <v>21496138.041428931</v>
      </c>
      <c r="M19" s="448">
        <f t="shared" si="0"/>
        <v>28799314.602975767</v>
      </c>
      <c r="N19" s="448">
        <f t="shared" si="0"/>
        <v>34837644.305076636</v>
      </c>
      <c r="O19" s="448">
        <f t="shared" si="0"/>
        <v>37050265.276821092</v>
      </c>
      <c r="P19" s="448">
        <f t="shared" si="0"/>
        <v>37752581.858641185</v>
      </c>
      <c r="Q19" s="448">
        <f t="shared" si="0"/>
        <v>37075318.824364662</v>
      </c>
      <c r="R19" s="448">
        <f t="shared" si="0"/>
        <v>36321197.832161739</v>
      </c>
      <c r="S19" s="448">
        <f t="shared" si="0"/>
        <v>35093488.044296704</v>
      </c>
    </row>
    <row r="23" spans="1:22" ht="25" x14ac:dyDescent="0.25">
      <c r="B23" s="145" t="s">
        <v>74</v>
      </c>
      <c r="C23" s="449" t="s">
        <v>198</v>
      </c>
      <c r="D23" s="449" t="s">
        <v>199</v>
      </c>
      <c r="E23" s="449" t="s">
        <v>200</v>
      </c>
      <c r="F23" s="449" t="s">
        <v>201</v>
      </c>
      <c r="G23" s="449" t="s">
        <v>202</v>
      </c>
      <c r="H23" s="449" t="s">
        <v>203</v>
      </c>
      <c r="K23" s="449" t="s">
        <v>201</v>
      </c>
      <c r="L23" s="449" t="s">
        <v>204</v>
      </c>
    </row>
    <row r="24" spans="1:22" x14ac:dyDescent="0.25">
      <c r="B24" s="145">
        <v>2006</v>
      </c>
      <c r="C24" s="450">
        <f>C19</f>
        <v>1346575.759190094</v>
      </c>
      <c r="D24" s="450">
        <f>C24</f>
        <v>1346575.759190094</v>
      </c>
      <c r="E24" s="450">
        <f>D24/2</f>
        <v>673287.87959504698</v>
      </c>
      <c r="F24" s="450">
        <f>C24-E24</f>
        <v>673287.87959504698</v>
      </c>
      <c r="G24" s="450">
        <f>F24</f>
        <v>673287.87959504698</v>
      </c>
      <c r="H24" s="450">
        <f>G24/$V$15</f>
        <v>8631.8958922441925</v>
      </c>
      <c r="I24" s="451"/>
      <c r="K24" s="451">
        <f>F24</f>
        <v>673287.87959504698</v>
      </c>
      <c r="L24" s="451">
        <f>D56</f>
        <v>673287.8795950471</v>
      </c>
      <c r="M24" s="451">
        <f>K24-L24</f>
        <v>0</v>
      </c>
      <c r="V24" s="449"/>
    </row>
    <row r="25" spans="1:22" x14ac:dyDescent="0.25">
      <c r="B25" s="145">
        <v>2007</v>
      </c>
      <c r="C25" s="450">
        <f>D19</f>
        <v>4120931.6330836182</v>
      </c>
      <c r="D25" s="450">
        <f>C25-C24</f>
        <v>2774355.8738935245</v>
      </c>
      <c r="E25" s="450">
        <f t="shared" ref="E25:E40" si="1">D25/2</f>
        <v>1387177.9369467623</v>
      </c>
      <c r="F25" s="450">
        <f t="shared" ref="F25:F40" si="2">C25-E25</f>
        <v>2733753.696136856</v>
      </c>
      <c r="G25" s="459">
        <f>F25-E56</f>
        <v>1490760.687653692</v>
      </c>
      <c r="H25" s="450">
        <f>G25/$V$15</f>
        <v>19112.316508380667</v>
      </c>
      <c r="I25" s="451"/>
      <c r="K25" s="451">
        <f t="shared" ref="K25:K40" si="3">F25</f>
        <v>2733753.696136856</v>
      </c>
      <c r="L25" s="451">
        <f>D68</f>
        <v>2733753.6961368569</v>
      </c>
      <c r="M25" s="451">
        <f t="shared" ref="M25:M40" si="4">K25-L25</f>
        <v>0</v>
      </c>
      <c r="V25" s="449"/>
    </row>
    <row r="26" spans="1:22" x14ac:dyDescent="0.25">
      <c r="B26" s="145">
        <v>2008</v>
      </c>
      <c r="C26" s="450">
        <f>E19</f>
        <v>4624965.5480345655</v>
      </c>
      <c r="D26" s="450">
        <f t="shared" ref="D26:D40" si="5">C26-C25</f>
        <v>504033.91495094728</v>
      </c>
      <c r="E26" s="450">
        <f t="shared" si="1"/>
        <v>252016.95747547364</v>
      </c>
      <c r="F26" s="450">
        <f t="shared" si="2"/>
        <v>4372948.5905590914</v>
      </c>
      <c r="G26" s="450">
        <f>F26-E68</f>
        <v>377782.00486911042</v>
      </c>
      <c r="H26" s="450">
        <f>G26/$V$15</f>
        <v>4843.3590367834668</v>
      </c>
      <c r="I26" s="451"/>
      <c r="K26" s="451">
        <f t="shared" si="3"/>
        <v>4372948.5905590914</v>
      </c>
      <c r="L26" s="451">
        <f>D80</f>
        <v>4372948.5905590905</v>
      </c>
      <c r="M26" s="451">
        <f t="shared" si="4"/>
        <v>0</v>
      </c>
      <c r="V26" s="449"/>
    </row>
    <row r="27" spans="1:22" x14ac:dyDescent="0.25">
      <c r="B27" s="145">
        <v>2009</v>
      </c>
      <c r="C27" s="450">
        <f>F19</f>
        <v>6164857.7409968833</v>
      </c>
      <c r="D27" s="450">
        <f t="shared" si="5"/>
        <v>1539892.1929623177</v>
      </c>
      <c r="E27" s="450">
        <f t="shared" si="1"/>
        <v>769946.09648115886</v>
      </c>
      <c r="F27" s="450">
        <f t="shared" si="2"/>
        <v>5394911.6445157249</v>
      </c>
      <c r="G27" s="450">
        <f>F27-E80</f>
        <v>702301.3575289268</v>
      </c>
      <c r="H27" s="450">
        <f t="shared" ref="H27:H40" si="6">G27/$V$15</f>
        <v>9003.8635580631635</v>
      </c>
      <c r="I27" s="451"/>
      <c r="K27" s="451">
        <f t="shared" si="3"/>
        <v>5394911.6445157249</v>
      </c>
      <c r="L27" s="451">
        <f>D92</f>
        <v>5394911.6445157258</v>
      </c>
      <c r="M27" s="451">
        <f t="shared" si="4"/>
        <v>0</v>
      </c>
      <c r="V27" s="449"/>
    </row>
    <row r="28" spans="1:22" x14ac:dyDescent="0.25">
      <c r="B28" s="145">
        <v>2010</v>
      </c>
      <c r="C28" s="450">
        <f>G19</f>
        <v>7107712.9230619101</v>
      </c>
      <c r="D28" s="450">
        <f t="shared" si="5"/>
        <v>942855.18206502683</v>
      </c>
      <c r="E28" s="450">
        <f t="shared" si="1"/>
        <v>471427.59103251342</v>
      </c>
      <c r="F28" s="450">
        <f t="shared" si="2"/>
        <v>6636285.3320293967</v>
      </c>
      <c r="G28" s="450">
        <f>F28-E92</f>
        <v>647118.69268150255</v>
      </c>
      <c r="H28" s="450">
        <f t="shared" si="6"/>
        <v>8296.3934959167</v>
      </c>
      <c r="I28" s="451"/>
      <c r="K28" s="451">
        <f t="shared" si="3"/>
        <v>6636285.3320293967</v>
      </c>
      <c r="L28" s="451">
        <f>D104</f>
        <v>6636285.3320293976</v>
      </c>
      <c r="M28" s="451">
        <f t="shared" si="4"/>
        <v>0</v>
      </c>
    </row>
    <row r="29" spans="1:22" x14ac:dyDescent="0.25">
      <c r="B29" s="145">
        <v>2011</v>
      </c>
      <c r="C29" s="450">
        <f>H19</f>
        <v>7281641.8987394981</v>
      </c>
      <c r="D29" s="450">
        <f t="shared" si="5"/>
        <v>173928.97567758802</v>
      </c>
      <c r="E29" s="450">
        <f t="shared" si="1"/>
        <v>86964.487838794012</v>
      </c>
      <c r="F29" s="450">
        <f t="shared" si="2"/>
        <v>7194677.4109007046</v>
      </c>
      <c r="G29" s="450">
        <f>F29-E104</f>
        <v>10830.108140802011</v>
      </c>
      <c r="H29" s="450">
        <f t="shared" si="6"/>
        <v>138.84754026669245</v>
      </c>
      <c r="I29" s="451"/>
      <c r="K29" s="451">
        <f t="shared" si="3"/>
        <v>7194677.4109007046</v>
      </c>
      <c r="L29" s="451">
        <f>D116</f>
        <v>7194677.4109007055</v>
      </c>
      <c r="M29" s="451">
        <f t="shared" si="4"/>
        <v>0</v>
      </c>
    </row>
    <row r="30" spans="1:22" x14ac:dyDescent="0.25">
      <c r="B30" s="145">
        <v>2012</v>
      </c>
      <c r="C30" s="450">
        <f>I19</f>
        <v>8401926.7084699739</v>
      </c>
      <c r="D30" s="450">
        <f t="shared" si="5"/>
        <v>1120284.8097304758</v>
      </c>
      <c r="E30" s="450">
        <f t="shared" si="1"/>
        <v>560142.40486523788</v>
      </c>
      <c r="F30" s="450">
        <f t="shared" si="2"/>
        <v>7841784.303604736</v>
      </c>
      <c r="G30" s="450">
        <f>F30-E116</f>
        <v>637942.9550464293</v>
      </c>
      <c r="H30" s="450">
        <f t="shared" si="6"/>
        <v>8178.7558339285806</v>
      </c>
      <c r="I30" s="451"/>
      <c r="K30" s="451">
        <f t="shared" si="3"/>
        <v>7841784.303604736</v>
      </c>
      <c r="L30" s="451">
        <f>D128</f>
        <v>7841784.3036047369</v>
      </c>
      <c r="M30" s="451">
        <f t="shared" si="4"/>
        <v>0</v>
      </c>
    </row>
    <row r="31" spans="1:22" x14ac:dyDescent="0.25">
      <c r="B31" s="145">
        <v>2013</v>
      </c>
      <c r="C31" s="450">
        <f>J19</f>
        <v>10645145.485622261</v>
      </c>
      <c r="D31" s="450">
        <f t="shared" si="5"/>
        <v>2243218.7771522868</v>
      </c>
      <c r="E31" s="450">
        <f t="shared" si="1"/>
        <v>1121609.3885761434</v>
      </c>
      <c r="F31" s="450">
        <f t="shared" si="2"/>
        <v>9523536.0970461182</v>
      </c>
      <c r="G31" s="450">
        <f>F31-E128</f>
        <v>1141953.9084020946</v>
      </c>
      <c r="H31" s="450">
        <f t="shared" si="6"/>
        <v>14640.434723103777</v>
      </c>
      <c r="I31" s="451"/>
      <c r="K31" s="451">
        <f t="shared" si="3"/>
        <v>9523536.0970461182</v>
      </c>
      <c r="L31" s="451">
        <f>D140</f>
        <v>9523536.0970461164</v>
      </c>
      <c r="M31" s="451">
        <f t="shared" si="4"/>
        <v>0</v>
      </c>
    </row>
    <row r="32" spans="1:22" x14ac:dyDescent="0.25">
      <c r="B32" s="145">
        <v>2014</v>
      </c>
      <c r="C32" s="450">
        <f>K19</f>
        <v>13349269.536998011</v>
      </c>
      <c r="D32" s="450">
        <f t="shared" si="5"/>
        <v>2704124.0513757505</v>
      </c>
      <c r="E32" s="450">
        <f t="shared" si="1"/>
        <v>1352062.0256878752</v>
      </c>
      <c r="F32" s="450">
        <f t="shared" si="2"/>
        <v>11997207.511310136</v>
      </c>
      <c r="G32" s="450">
        <f>F32-E140</f>
        <v>1507402.7225391697</v>
      </c>
      <c r="H32" s="450">
        <f t="shared" si="6"/>
        <v>19325.675929989357</v>
      </c>
      <c r="I32" s="451"/>
      <c r="K32" s="451">
        <f t="shared" si="3"/>
        <v>11997207.511310136</v>
      </c>
      <c r="L32" s="451">
        <f>D152</f>
        <v>11997207.51131013</v>
      </c>
      <c r="M32" s="451">
        <f t="shared" si="4"/>
        <v>0</v>
      </c>
    </row>
    <row r="33" spans="2:14" x14ac:dyDescent="0.25">
      <c r="B33" s="145">
        <v>2015</v>
      </c>
      <c r="C33" s="450">
        <f>L19</f>
        <v>21496138.041428931</v>
      </c>
      <c r="D33" s="450">
        <f t="shared" si="5"/>
        <v>8146868.5044309199</v>
      </c>
      <c r="E33" s="450">
        <f t="shared" si="1"/>
        <v>4073434.2522154599</v>
      </c>
      <c r="F33" s="450">
        <f t="shared" si="2"/>
        <v>17422703.789213471</v>
      </c>
      <c r="G33" s="450">
        <f>F33-E152</f>
        <v>4150001.6665240396</v>
      </c>
      <c r="H33" s="450">
        <f t="shared" si="6"/>
        <v>53205.14957082102</v>
      </c>
      <c r="I33" s="451"/>
      <c r="K33" s="451">
        <f t="shared" si="3"/>
        <v>17422703.789213471</v>
      </c>
      <c r="L33" s="451">
        <f>D164</f>
        <v>17422703.789213475</v>
      </c>
      <c r="M33" s="451">
        <f t="shared" si="4"/>
        <v>0</v>
      </c>
    </row>
    <row r="34" spans="2:14" x14ac:dyDescent="0.25">
      <c r="B34" s="145">
        <v>2016</v>
      </c>
      <c r="C34" s="450">
        <f>M19</f>
        <v>28799314.602975767</v>
      </c>
      <c r="D34" s="450">
        <f t="shared" si="5"/>
        <v>7303176.561546836</v>
      </c>
      <c r="E34" s="450">
        <f t="shared" si="1"/>
        <v>3651588.280773418</v>
      </c>
      <c r="F34" s="450">
        <f t="shared" si="2"/>
        <v>25147726.322202347</v>
      </c>
      <c r="G34" s="450">
        <f>F34-E164</f>
        <v>4213482.6613146812</v>
      </c>
      <c r="H34" s="450">
        <f t="shared" si="6"/>
        <v>54019.008478393349</v>
      </c>
      <c r="I34" s="451"/>
      <c r="K34" s="451">
        <f t="shared" si="3"/>
        <v>25147726.322202347</v>
      </c>
      <c r="L34" s="451">
        <f>D176</f>
        <v>25147726.322202347</v>
      </c>
      <c r="M34" s="451">
        <f t="shared" si="4"/>
        <v>0</v>
      </c>
    </row>
    <row r="35" spans="2:14" x14ac:dyDescent="0.25">
      <c r="B35" s="145">
        <v>2017</v>
      </c>
      <c r="C35" s="450">
        <f>N19</f>
        <v>34837644.305076636</v>
      </c>
      <c r="D35" s="450">
        <f t="shared" si="5"/>
        <v>6038329.7021008693</v>
      </c>
      <c r="E35" s="450">
        <f t="shared" si="1"/>
        <v>3019164.8510504346</v>
      </c>
      <c r="F35" s="450">
        <f t="shared" si="2"/>
        <v>31818479.4540262</v>
      </c>
      <c r="G35" s="450">
        <f>F35-E176</f>
        <v>3105498.5722498968</v>
      </c>
      <c r="H35" s="450">
        <f t="shared" si="6"/>
        <v>39814.084259614065</v>
      </c>
      <c r="I35" s="451"/>
      <c r="K35" s="451">
        <f t="shared" si="3"/>
        <v>31818479.4540262</v>
      </c>
      <c r="L35" s="451">
        <f>D188</f>
        <v>31818479.454026185</v>
      </c>
      <c r="M35" s="451">
        <f t="shared" si="4"/>
        <v>0</v>
      </c>
    </row>
    <row r="36" spans="2:14" x14ac:dyDescent="0.25">
      <c r="B36" s="145">
        <v>2018</v>
      </c>
      <c r="C36" s="450">
        <f>O19</f>
        <v>37050265.276821092</v>
      </c>
      <c r="D36" s="450">
        <f t="shared" si="5"/>
        <v>2212620.9717444554</v>
      </c>
      <c r="E36" s="450">
        <f t="shared" si="1"/>
        <v>1106310.4858722277</v>
      </c>
      <c r="F36" s="450">
        <f t="shared" si="2"/>
        <v>35943954.790948868</v>
      </c>
      <c r="G36" s="450">
        <f>F36-E188</f>
        <v>1497745.7757881656</v>
      </c>
      <c r="H36" s="450">
        <f t="shared" si="6"/>
        <v>19201.868920361099</v>
      </c>
      <c r="I36" s="451"/>
      <c r="K36" s="451">
        <f t="shared" si="3"/>
        <v>35943954.790948868</v>
      </c>
      <c r="L36" s="451">
        <f>D200</f>
        <v>35943954.790948875</v>
      </c>
      <c r="M36" s="451">
        <f t="shared" si="4"/>
        <v>0</v>
      </c>
    </row>
    <row r="37" spans="2:14" x14ac:dyDescent="0.25">
      <c r="B37" s="145">
        <v>2019</v>
      </c>
      <c r="C37" s="450">
        <f>P19</f>
        <v>37752581.858641185</v>
      </c>
      <c r="D37" s="450">
        <f t="shared" si="5"/>
        <v>702316.5818200931</v>
      </c>
      <c r="E37" s="450">
        <f t="shared" si="1"/>
        <v>351158.29091004655</v>
      </c>
      <c r="F37" s="450">
        <f t="shared" si="2"/>
        <v>37401423.567731142</v>
      </c>
      <c r="G37" s="450">
        <f>F37-E200</f>
        <v>190145.42803843319</v>
      </c>
      <c r="H37" s="450">
        <f t="shared" si="6"/>
        <v>2437.7618979286308</v>
      </c>
      <c r="I37" s="451"/>
      <c r="K37" s="451">
        <f t="shared" si="3"/>
        <v>37401423.567731142</v>
      </c>
      <c r="L37" s="451">
        <f>D212</f>
        <v>37401423.567731135</v>
      </c>
      <c r="M37" s="451">
        <f t="shared" si="4"/>
        <v>0</v>
      </c>
    </row>
    <row r="38" spans="2:14" x14ac:dyDescent="0.25">
      <c r="B38" s="145">
        <v>2020</v>
      </c>
      <c r="C38" s="450">
        <f>Q19</f>
        <v>37075318.824364662</v>
      </c>
      <c r="D38" s="450">
        <f t="shared" si="5"/>
        <v>-677263.0342765227</v>
      </c>
      <c r="E38" s="450">
        <f t="shared" si="1"/>
        <v>-338631.51713826135</v>
      </c>
      <c r="F38" s="450">
        <f t="shared" si="2"/>
        <v>37413950.34150292</v>
      </c>
      <c r="G38" s="450">
        <f>F38-E212</f>
        <v>-148365.51149149984</v>
      </c>
      <c r="H38" s="450">
        <f t="shared" si="6"/>
        <v>-1902.1219421987159</v>
      </c>
      <c r="I38" s="451"/>
      <c r="K38" s="451">
        <f t="shared" si="3"/>
        <v>37413950.34150292</v>
      </c>
      <c r="L38" s="451">
        <f>D224</f>
        <v>37413950.341502912</v>
      </c>
      <c r="M38" s="451">
        <f t="shared" si="4"/>
        <v>0</v>
      </c>
    </row>
    <row r="39" spans="2:14" x14ac:dyDescent="0.25">
      <c r="B39" s="145">
        <v>2021</v>
      </c>
      <c r="C39" s="450">
        <f>R19</f>
        <v>36321197.832161739</v>
      </c>
      <c r="D39" s="450">
        <f t="shared" si="5"/>
        <v>-754120.9922029227</v>
      </c>
      <c r="E39" s="450">
        <f t="shared" si="1"/>
        <v>-377060.49610146135</v>
      </c>
      <c r="F39" s="450">
        <f t="shared" si="2"/>
        <v>36698258.328263201</v>
      </c>
      <c r="G39" s="450">
        <f>F39-E224</f>
        <v>-590151.96505458653</v>
      </c>
      <c r="H39" s="450">
        <f t="shared" si="6"/>
        <v>-7566.0508340331608</v>
      </c>
      <c r="I39" s="451"/>
      <c r="K39" s="451">
        <f t="shared" si="3"/>
        <v>36698258.328263201</v>
      </c>
      <c r="L39" s="451">
        <f>D236</f>
        <v>36698258.328263208</v>
      </c>
      <c r="M39" s="451">
        <f t="shared" si="4"/>
        <v>0</v>
      </c>
    </row>
    <row r="40" spans="2:14" x14ac:dyDescent="0.25">
      <c r="B40" s="145">
        <v>2022</v>
      </c>
      <c r="C40" s="450">
        <f>S19</f>
        <v>35093488.044296704</v>
      </c>
      <c r="D40" s="450">
        <f t="shared" si="5"/>
        <v>-1227709.7878650352</v>
      </c>
      <c r="E40" s="450">
        <f t="shared" si="1"/>
        <v>-613854.89393251762</v>
      </c>
      <c r="F40" s="450">
        <f t="shared" si="2"/>
        <v>35707342.938229218</v>
      </c>
      <c r="G40" s="450">
        <f>F40-E236</f>
        <v>-491556.03498779237</v>
      </c>
      <c r="H40" s="450">
        <f t="shared" si="6"/>
        <v>-6302.0004485614409</v>
      </c>
      <c r="I40" s="451"/>
      <c r="K40" s="451">
        <f t="shared" si="3"/>
        <v>35707342.938229218</v>
      </c>
      <c r="L40" s="451">
        <f>D248</f>
        <v>35707342.938229233</v>
      </c>
      <c r="M40" s="451">
        <f t="shared" si="4"/>
        <v>0</v>
      </c>
    </row>
    <row r="44" spans="2:14" ht="25" x14ac:dyDescent="0.25">
      <c r="C44" s="449" t="s">
        <v>205</v>
      </c>
      <c r="G44" s="145">
        <v>2006</v>
      </c>
      <c r="H44" s="145">
        <v>2007</v>
      </c>
      <c r="I44" s="145">
        <v>2008</v>
      </c>
      <c r="J44" s="145">
        <v>2009</v>
      </c>
      <c r="K44" s="145">
        <v>2010</v>
      </c>
      <c r="L44" s="145">
        <v>2011</v>
      </c>
      <c r="M44" s="145">
        <v>2012</v>
      </c>
      <c r="N44" s="145">
        <v>2013</v>
      </c>
    </row>
    <row r="45" spans="2:14" x14ac:dyDescent="0.25">
      <c r="B45" s="452">
        <v>38718</v>
      </c>
      <c r="C45" s="451">
        <f>H24</f>
        <v>8631.8958922441925</v>
      </c>
      <c r="F45" s="144" t="s">
        <v>147</v>
      </c>
      <c r="G45" s="450">
        <f>C45</f>
        <v>8631.8958922441925</v>
      </c>
      <c r="H45" s="450">
        <f>C57</f>
        <v>122695.06721531101</v>
      </c>
      <c r="I45" s="450">
        <f>C69</f>
        <v>337773.90784428187</v>
      </c>
      <c r="J45" s="450">
        <f>C81</f>
        <v>400054.72080696304</v>
      </c>
      <c r="K45" s="450">
        <f>C93</f>
        <v>507393.61344157456</v>
      </c>
      <c r="L45" s="450">
        <f>C105</f>
        <v>598792.7894369252</v>
      </c>
      <c r="M45" s="450">
        <f>C117</f>
        <v>608498.86821378744</v>
      </c>
      <c r="N45" s="450">
        <f>C129</f>
        <v>713105.6171101057</v>
      </c>
    </row>
    <row r="46" spans="2:14" x14ac:dyDescent="0.25">
      <c r="B46" s="452">
        <v>38749</v>
      </c>
      <c r="C46" s="451">
        <f>C45+$H$24</f>
        <v>17263.791784488385</v>
      </c>
      <c r="F46" s="144" t="s">
        <v>148</v>
      </c>
      <c r="G46" s="450">
        <f t="shared" ref="G46:G56" si="7">C46</f>
        <v>17263.791784488385</v>
      </c>
      <c r="H46" s="450">
        <f t="shared" ref="H46:H56" si="8">C58</f>
        <v>141807.38372369169</v>
      </c>
      <c r="I46" s="450">
        <f t="shared" ref="I46:I56" si="9">C70</f>
        <v>342617.26688106533</v>
      </c>
      <c r="J46" s="450">
        <f t="shared" ref="J46:J56" si="10">C82</f>
        <v>409058.58436502621</v>
      </c>
      <c r="K46" s="450">
        <f t="shared" ref="K46:K56" si="11">C94</f>
        <v>515690.00693749124</v>
      </c>
      <c r="L46" s="450">
        <f t="shared" ref="L46:L56" si="12">C106</f>
        <v>598931.6369771919</v>
      </c>
      <c r="M46" s="450">
        <f t="shared" ref="M46:M56" si="13">C118</f>
        <v>616677.62404771603</v>
      </c>
      <c r="N46" s="450">
        <f t="shared" ref="N46:N56" si="14">C130</f>
        <v>727746.05183320947</v>
      </c>
    </row>
    <row r="47" spans="2:14" x14ac:dyDescent="0.25">
      <c r="B47" s="452">
        <v>38777</v>
      </c>
      <c r="C47" s="451">
        <f t="shared" ref="C47:C56" si="15">C46+$H$24</f>
        <v>25895.687676732578</v>
      </c>
      <c r="F47" s="144" t="s">
        <v>149</v>
      </c>
      <c r="G47" s="450">
        <f t="shared" si="7"/>
        <v>25895.687676732578</v>
      </c>
      <c r="H47" s="450">
        <f t="shared" si="8"/>
        <v>160919.70023207235</v>
      </c>
      <c r="I47" s="450">
        <f t="shared" si="9"/>
        <v>347460.62591784878</v>
      </c>
      <c r="J47" s="450">
        <f t="shared" si="10"/>
        <v>418062.44792308938</v>
      </c>
      <c r="K47" s="450">
        <f t="shared" si="11"/>
        <v>523986.40043340792</v>
      </c>
      <c r="L47" s="450">
        <f t="shared" si="12"/>
        <v>599070.48451745859</v>
      </c>
      <c r="M47" s="450">
        <f t="shared" si="13"/>
        <v>624856.37988164462</v>
      </c>
      <c r="N47" s="450">
        <f t="shared" si="14"/>
        <v>742386.48655631323</v>
      </c>
    </row>
    <row r="48" spans="2:14" x14ac:dyDescent="0.25">
      <c r="B48" s="452">
        <v>38808</v>
      </c>
      <c r="C48" s="451">
        <f t="shared" si="15"/>
        <v>34527.58356897677</v>
      </c>
      <c r="F48" s="144" t="s">
        <v>150</v>
      </c>
      <c r="G48" s="450">
        <f t="shared" si="7"/>
        <v>34527.58356897677</v>
      </c>
      <c r="H48" s="450">
        <f t="shared" si="8"/>
        <v>180032.01674045302</v>
      </c>
      <c r="I48" s="450">
        <f t="shared" si="9"/>
        <v>352303.98495463224</v>
      </c>
      <c r="J48" s="450">
        <f t="shared" si="10"/>
        <v>427066.31148115254</v>
      </c>
      <c r="K48" s="450">
        <f t="shared" si="11"/>
        <v>532282.7939293246</v>
      </c>
      <c r="L48" s="450">
        <f t="shared" si="12"/>
        <v>599209.33205772529</v>
      </c>
      <c r="M48" s="450">
        <f t="shared" si="13"/>
        <v>633035.13571557321</v>
      </c>
      <c r="N48" s="450">
        <f t="shared" si="14"/>
        <v>757026.921279417</v>
      </c>
    </row>
    <row r="49" spans="2:15" x14ac:dyDescent="0.25">
      <c r="B49" s="452">
        <v>38838</v>
      </c>
      <c r="C49" s="451">
        <f t="shared" si="15"/>
        <v>43159.479461220966</v>
      </c>
      <c r="F49" s="144" t="s">
        <v>69</v>
      </c>
      <c r="G49" s="450">
        <f t="shared" si="7"/>
        <v>43159.479461220966</v>
      </c>
      <c r="H49" s="450">
        <f t="shared" si="8"/>
        <v>199144.33324883369</v>
      </c>
      <c r="I49" s="450">
        <f t="shared" si="9"/>
        <v>357147.34399141569</v>
      </c>
      <c r="J49" s="450">
        <f t="shared" si="10"/>
        <v>436070.17503921571</v>
      </c>
      <c r="K49" s="450">
        <f t="shared" si="11"/>
        <v>540579.18742524134</v>
      </c>
      <c r="L49" s="450">
        <f t="shared" si="12"/>
        <v>599348.17959799198</v>
      </c>
      <c r="M49" s="450">
        <f t="shared" si="13"/>
        <v>641213.8915495018</v>
      </c>
      <c r="N49" s="450">
        <f t="shared" si="14"/>
        <v>771667.35600252077</v>
      </c>
    </row>
    <row r="50" spans="2:15" x14ac:dyDescent="0.25">
      <c r="B50" s="452">
        <v>38869</v>
      </c>
      <c r="C50" s="451">
        <f t="shared" si="15"/>
        <v>51791.375353465162</v>
      </c>
      <c r="F50" s="144" t="s">
        <v>68</v>
      </c>
      <c r="G50" s="450">
        <f t="shared" si="7"/>
        <v>51791.375353465162</v>
      </c>
      <c r="H50" s="450">
        <f t="shared" si="8"/>
        <v>218256.64975721436</v>
      </c>
      <c r="I50" s="450">
        <f t="shared" si="9"/>
        <v>361990.70302819915</v>
      </c>
      <c r="J50" s="450">
        <f t="shared" si="10"/>
        <v>445074.03859727888</v>
      </c>
      <c r="K50" s="450">
        <f t="shared" si="11"/>
        <v>548875.58092115808</v>
      </c>
      <c r="L50" s="450">
        <f t="shared" si="12"/>
        <v>599487.02713825868</v>
      </c>
      <c r="M50" s="450">
        <f t="shared" si="13"/>
        <v>649392.64738343039</v>
      </c>
      <c r="N50" s="450">
        <f t="shared" si="14"/>
        <v>786307.79072562454</v>
      </c>
    </row>
    <row r="51" spans="2:15" x14ac:dyDescent="0.25">
      <c r="B51" s="452">
        <v>38899</v>
      </c>
      <c r="C51" s="451">
        <f t="shared" si="15"/>
        <v>60423.271245709358</v>
      </c>
      <c r="F51" s="144" t="s">
        <v>152</v>
      </c>
      <c r="G51" s="450">
        <f t="shared" si="7"/>
        <v>60423.271245709358</v>
      </c>
      <c r="H51" s="450">
        <f t="shared" si="8"/>
        <v>237368.96626559502</v>
      </c>
      <c r="I51" s="450">
        <f t="shared" si="9"/>
        <v>366834.0620649826</v>
      </c>
      <c r="J51" s="450">
        <f t="shared" si="10"/>
        <v>454077.90215534205</v>
      </c>
      <c r="K51" s="450">
        <f t="shared" si="11"/>
        <v>557171.97441707482</v>
      </c>
      <c r="L51" s="450">
        <f t="shared" si="12"/>
        <v>599625.87467852538</v>
      </c>
      <c r="M51" s="450">
        <f t="shared" si="13"/>
        <v>657571.40321735898</v>
      </c>
      <c r="N51" s="450">
        <f t="shared" si="14"/>
        <v>800948.22544872831</v>
      </c>
    </row>
    <row r="52" spans="2:15" x14ac:dyDescent="0.25">
      <c r="B52" s="452">
        <v>38930</v>
      </c>
      <c r="C52" s="451">
        <f t="shared" si="15"/>
        <v>69055.167137953555</v>
      </c>
      <c r="F52" s="144" t="s">
        <v>153</v>
      </c>
      <c r="G52" s="450">
        <f t="shared" si="7"/>
        <v>69055.167137953555</v>
      </c>
      <c r="H52" s="450">
        <f t="shared" si="8"/>
        <v>256481.28277397569</v>
      </c>
      <c r="I52" s="450">
        <f t="shared" si="9"/>
        <v>371677.42110176606</v>
      </c>
      <c r="J52" s="450">
        <f t="shared" si="10"/>
        <v>463081.76571340521</v>
      </c>
      <c r="K52" s="450">
        <f t="shared" si="11"/>
        <v>565468.36791299155</v>
      </c>
      <c r="L52" s="450">
        <f t="shared" si="12"/>
        <v>599764.72221879207</v>
      </c>
      <c r="M52" s="450">
        <f t="shared" si="13"/>
        <v>665750.15905128757</v>
      </c>
      <c r="N52" s="450">
        <f t="shared" si="14"/>
        <v>815588.66017183207</v>
      </c>
    </row>
    <row r="53" spans="2:15" x14ac:dyDescent="0.25">
      <c r="B53" s="452">
        <v>38961</v>
      </c>
      <c r="C53" s="451">
        <f t="shared" si="15"/>
        <v>77687.063030197751</v>
      </c>
      <c r="F53" s="144" t="s">
        <v>206</v>
      </c>
      <c r="G53" s="450">
        <f t="shared" si="7"/>
        <v>77687.063030197751</v>
      </c>
      <c r="H53" s="450">
        <f t="shared" si="8"/>
        <v>275593.59928235633</v>
      </c>
      <c r="I53" s="450">
        <f t="shared" si="9"/>
        <v>376520.78013854951</v>
      </c>
      <c r="J53" s="450">
        <f t="shared" si="10"/>
        <v>472085.62927146838</v>
      </c>
      <c r="K53" s="450">
        <f t="shared" si="11"/>
        <v>573764.76140890829</v>
      </c>
      <c r="L53" s="450">
        <f t="shared" si="12"/>
        <v>599903.56975905877</v>
      </c>
      <c r="M53" s="450">
        <f t="shared" si="13"/>
        <v>673928.91488521616</v>
      </c>
      <c r="N53" s="450">
        <f t="shared" si="14"/>
        <v>830229.09489493584</v>
      </c>
    </row>
    <row r="54" spans="2:15" x14ac:dyDescent="0.25">
      <c r="B54" s="452">
        <v>38991</v>
      </c>
      <c r="C54" s="451">
        <f t="shared" si="15"/>
        <v>86318.958922441947</v>
      </c>
      <c r="F54" s="144" t="s">
        <v>155</v>
      </c>
      <c r="G54" s="450">
        <f t="shared" si="7"/>
        <v>86318.958922441947</v>
      </c>
      <c r="H54" s="450">
        <f t="shared" si="8"/>
        <v>294705.91579073702</v>
      </c>
      <c r="I54" s="450">
        <f t="shared" si="9"/>
        <v>381364.13917533297</v>
      </c>
      <c r="J54" s="450">
        <f t="shared" si="10"/>
        <v>481089.49282953155</v>
      </c>
      <c r="K54" s="450">
        <f t="shared" si="11"/>
        <v>582061.15490482503</v>
      </c>
      <c r="L54" s="450">
        <f t="shared" si="12"/>
        <v>600042.41729932546</v>
      </c>
      <c r="M54" s="450">
        <f t="shared" si="13"/>
        <v>682107.67071914475</v>
      </c>
      <c r="N54" s="450">
        <f t="shared" si="14"/>
        <v>844869.52961803961</v>
      </c>
    </row>
    <row r="55" spans="2:15" x14ac:dyDescent="0.25">
      <c r="B55" s="452">
        <v>39022</v>
      </c>
      <c r="C55" s="451">
        <f t="shared" si="15"/>
        <v>94950.854814686143</v>
      </c>
      <c r="F55" s="144" t="s">
        <v>156</v>
      </c>
      <c r="G55" s="450">
        <f t="shared" si="7"/>
        <v>94950.854814686143</v>
      </c>
      <c r="H55" s="450">
        <f t="shared" si="8"/>
        <v>313818.23229911772</v>
      </c>
      <c r="I55" s="450">
        <f t="shared" si="9"/>
        <v>386207.49821211642</v>
      </c>
      <c r="J55" s="450">
        <f t="shared" si="10"/>
        <v>490093.35638759471</v>
      </c>
      <c r="K55" s="450">
        <f t="shared" si="11"/>
        <v>590357.54840074177</v>
      </c>
      <c r="L55" s="450">
        <f t="shared" si="12"/>
        <v>600181.26483959216</v>
      </c>
      <c r="M55" s="450">
        <f t="shared" si="13"/>
        <v>690286.42655307334</v>
      </c>
      <c r="N55" s="450">
        <f t="shared" si="14"/>
        <v>859509.96434114338</v>
      </c>
    </row>
    <row r="56" spans="2:15" x14ac:dyDescent="0.25">
      <c r="B56" s="452">
        <v>39052</v>
      </c>
      <c r="C56" s="451">
        <f t="shared" si="15"/>
        <v>103582.75070693034</v>
      </c>
      <c r="D56" s="451">
        <f>SUM(C45:C56)</f>
        <v>673287.8795950471</v>
      </c>
      <c r="E56" s="451">
        <f>C56*12</f>
        <v>1242993.008483164</v>
      </c>
      <c r="F56" s="144" t="s">
        <v>157</v>
      </c>
      <c r="G56" s="450">
        <f t="shared" si="7"/>
        <v>103582.75070693034</v>
      </c>
      <c r="H56" s="450">
        <f t="shared" si="8"/>
        <v>332930.54880749842</v>
      </c>
      <c r="I56" s="450">
        <f t="shared" si="9"/>
        <v>391050.85724889988</v>
      </c>
      <c r="J56" s="450">
        <f t="shared" si="10"/>
        <v>499097.21994565788</v>
      </c>
      <c r="K56" s="450">
        <f t="shared" si="11"/>
        <v>598653.94189665851</v>
      </c>
      <c r="L56" s="450">
        <f t="shared" si="12"/>
        <v>600320.11237985885</v>
      </c>
      <c r="M56" s="450">
        <f t="shared" si="13"/>
        <v>698465.18238700193</v>
      </c>
      <c r="N56" s="450">
        <f t="shared" si="14"/>
        <v>874150.39906424715</v>
      </c>
    </row>
    <row r="57" spans="2:15" x14ac:dyDescent="0.25">
      <c r="B57" s="452">
        <v>39083</v>
      </c>
      <c r="C57" s="451">
        <f>C56+$H$25</f>
        <v>122695.06721531101</v>
      </c>
    </row>
    <row r="58" spans="2:15" x14ac:dyDescent="0.25">
      <c r="B58" s="452">
        <v>39114</v>
      </c>
      <c r="C58" s="451">
        <f t="shared" ref="C58:C68" si="16">C57+$H$25</f>
        <v>141807.38372369169</v>
      </c>
      <c r="G58" s="145">
        <v>2014</v>
      </c>
      <c r="H58" s="145">
        <v>2015</v>
      </c>
      <c r="I58" s="145">
        <v>2016</v>
      </c>
      <c r="J58" s="145">
        <v>2017</v>
      </c>
      <c r="K58" s="145">
        <v>2018</v>
      </c>
      <c r="L58" s="145">
        <v>2019</v>
      </c>
      <c r="M58" s="145">
        <v>2020</v>
      </c>
      <c r="N58" s="145">
        <v>2021</v>
      </c>
      <c r="O58" s="145">
        <v>2022</v>
      </c>
    </row>
    <row r="59" spans="2:15" x14ac:dyDescent="0.25">
      <c r="B59" s="452">
        <v>39142</v>
      </c>
      <c r="C59" s="451">
        <f t="shared" si="16"/>
        <v>160919.70023207235</v>
      </c>
      <c r="G59" s="450">
        <f t="shared" ref="G59:G70" si="17">C141</f>
        <v>893476.07499423646</v>
      </c>
      <c r="H59" s="450">
        <f t="shared" ref="H59:H70" si="18">C153</f>
        <v>1159263.6597949404</v>
      </c>
      <c r="I59" s="450">
        <f t="shared" ref="I59:I70" si="19">C165</f>
        <v>1798539.3135523656</v>
      </c>
      <c r="J59" s="450">
        <f t="shared" ref="J59:J70" si="20">C177</f>
        <v>2432562.491074306</v>
      </c>
      <c r="K59" s="450">
        <f t="shared" ref="K59:K70" si="21">C189</f>
        <v>2889719.2868504198</v>
      </c>
      <c r="L59" s="450">
        <f t="shared" ref="L59:L70" si="22">C201</f>
        <v>3103377.6068723211</v>
      </c>
      <c r="M59" s="450">
        <f t="shared" ref="M59:M70" si="23">C213</f>
        <v>3128290.8658073363</v>
      </c>
      <c r="N59" s="450">
        <f t="shared" ref="N59:N70" si="24">C225</f>
        <v>3099801.4736091159</v>
      </c>
      <c r="O59" s="450">
        <f t="shared" ref="O59:O70" si="25">C237</f>
        <v>3010272.9139861898</v>
      </c>
    </row>
    <row r="60" spans="2:15" x14ac:dyDescent="0.25">
      <c r="B60" s="452">
        <v>39173</v>
      </c>
      <c r="C60" s="451">
        <f t="shared" si="16"/>
        <v>180032.01674045302</v>
      </c>
      <c r="G60" s="450">
        <f t="shared" si="17"/>
        <v>912801.75092422578</v>
      </c>
      <c r="H60" s="450">
        <f t="shared" si="18"/>
        <v>1212468.8093657615</v>
      </c>
      <c r="I60" s="450">
        <f t="shared" si="19"/>
        <v>1852558.322030759</v>
      </c>
      <c r="J60" s="450">
        <f t="shared" si="20"/>
        <v>2472376.5753339198</v>
      </c>
      <c r="K60" s="450">
        <f t="shared" si="21"/>
        <v>2908921.155770781</v>
      </c>
      <c r="L60" s="450">
        <f t="shared" si="22"/>
        <v>3105815.3687702497</v>
      </c>
      <c r="M60" s="450">
        <f t="shared" si="23"/>
        <v>3126388.7438651375</v>
      </c>
      <c r="N60" s="450">
        <f t="shared" si="24"/>
        <v>3092235.4227750828</v>
      </c>
      <c r="O60" s="450">
        <f t="shared" si="25"/>
        <v>3003970.9135376285</v>
      </c>
    </row>
    <row r="61" spans="2:15" x14ac:dyDescent="0.25">
      <c r="B61" s="452">
        <v>39203</v>
      </c>
      <c r="C61" s="451">
        <f t="shared" si="16"/>
        <v>199144.33324883369</v>
      </c>
      <c r="G61" s="450">
        <f t="shared" si="17"/>
        <v>932127.4268542151</v>
      </c>
      <c r="H61" s="450">
        <f t="shared" si="18"/>
        <v>1265673.9589365826</v>
      </c>
      <c r="I61" s="450">
        <f t="shared" si="19"/>
        <v>1906577.3305091523</v>
      </c>
      <c r="J61" s="450">
        <f t="shared" si="20"/>
        <v>2512190.6595935337</v>
      </c>
      <c r="K61" s="450">
        <f t="shared" si="21"/>
        <v>2928123.0246911421</v>
      </c>
      <c r="L61" s="450">
        <f t="shared" si="22"/>
        <v>3108253.1306681782</v>
      </c>
      <c r="M61" s="450">
        <f t="shared" si="23"/>
        <v>3124486.6219229386</v>
      </c>
      <c r="N61" s="450">
        <f t="shared" si="24"/>
        <v>3084669.3719410496</v>
      </c>
      <c r="O61" s="450">
        <f t="shared" si="25"/>
        <v>2997668.9130890672</v>
      </c>
    </row>
    <row r="62" spans="2:15" x14ac:dyDescent="0.25">
      <c r="B62" s="452">
        <v>39234</v>
      </c>
      <c r="C62" s="451">
        <f t="shared" si="16"/>
        <v>218256.64975721436</v>
      </c>
      <c r="G62" s="450">
        <f t="shared" si="17"/>
        <v>951453.10278420441</v>
      </c>
      <c r="H62" s="450">
        <f t="shared" si="18"/>
        <v>1318879.1085074036</v>
      </c>
      <c r="I62" s="450">
        <f t="shared" si="19"/>
        <v>1960596.3389875456</v>
      </c>
      <c r="J62" s="450">
        <f t="shared" si="20"/>
        <v>2552004.7438531476</v>
      </c>
      <c r="K62" s="450">
        <f t="shared" si="21"/>
        <v>2947324.8936115033</v>
      </c>
      <c r="L62" s="450">
        <f t="shared" si="22"/>
        <v>3110690.8925661067</v>
      </c>
      <c r="M62" s="450">
        <f t="shared" si="23"/>
        <v>3122584.4999807398</v>
      </c>
      <c r="N62" s="450">
        <f t="shared" si="24"/>
        <v>3077103.3211070164</v>
      </c>
      <c r="O62" s="450">
        <f t="shared" si="25"/>
        <v>2991366.9126405059</v>
      </c>
    </row>
    <row r="63" spans="2:15" x14ac:dyDescent="0.25">
      <c r="B63" s="452">
        <v>39264</v>
      </c>
      <c r="C63" s="451">
        <f t="shared" si="16"/>
        <v>237368.96626559502</v>
      </c>
      <c r="G63" s="450">
        <f t="shared" si="17"/>
        <v>970778.77871419373</v>
      </c>
      <c r="H63" s="450">
        <f t="shared" si="18"/>
        <v>1372084.2580782247</v>
      </c>
      <c r="I63" s="450">
        <f t="shared" si="19"/>
        <v>2014615.3474659389</v>
      </c>
      <c r="J63" s="450">
        <f t="shared" si="20"/>
        <v>2591818.8281127615</v>
      </c>
      <c r="K63" s="450">
        <f t="shared" si="21"/>
        <v>2966526.7625318645</v>
      </c>
      <c r="L63" s="450">
        <f t="shared" si="22"/>
        <v>3113128.6544640353</v>
      </c>
      <c r="M63" s="450">
        <f t="shared" si="23"/>
        <v>3120682.3780385409</v>
      </c>
      <c r="N63" s="450">
        <f t="shared" si="24"/>
        <v>3069537.2702729832</v>
      </c>
      <c r="O63" s="450">
        <f t="shared" si="25"/>
        <v>2985064.9121919447</v>
      </c>
    </row>
    <row r="64" spans="2:15" x14ac:dyDescent="0.25">
      <c r="B64" s="452">
        <v>39295</v>
      </c>
      <c r="C64" s="451">
        <f t="shared" si="16"/>
        <v>256481.28277397569</v>
      </c>
      <c r="G64" s="450">
        <f t="shared" si="17"/>
        <v>990104.45464418305</v>
      </c>
      <c r="H64" s="450">
        <f t="shared" si="18"/>
        <v>1425289.4076490458</v>
      </c>
      <c r="I64" s="450">
        <f t="shared" si="19"/>
        <v>2068634.3559443322</v>
      </c>
      <c r="J64" s="450">
        <f t="shared" si="20"/>
        <v>2631632.9123723754</v>
      </c>
      <c r="K64" s="450">
        <f t="shared" si="21"/>
        <v>2985728.6314522256</v>
      </c>
      <c r="L64" s="450">
        <f t="shared" si="22"/>
        <v>3115566.4163619638</v>
      </c>
      <c r="M64" s="450">
        <f t="shared" si="23"/>
        <v>3118780.2560963421</v>
      </c>
      <c r="N64" s="450">
        <f t="shared" si="24"/>
        <v>3061971.2194389501</v>
      </c>
      <c r="O64" s="450">
        <f t="shared" si="25"/>
        <v>2978762.9117433834</v>
      </c>
    </row>
    <row r="65" spans="2:15" x14ac:dyDescent="0.25">
      <c r="B65" s="452">
        <v>39326</v>
      </c>
      <c r="C65" s="451">
        <f t="shared" si="16"/>
        <v>275593.59928235633</v>
      </c>
      <c r="G65" s="450">
        <f t="shared" si="17"/>
        <v>1009430.1305741724</v>
      </c>
      <c r="H65" s="450">
        <f t="shared" si="18"/>
        <v>1478494.5572198669</v>
      </c>
      <c r="I65" s="450">
        <f t="shared" si="19"/>
        <v>2122653.3644227255</v>
      </c>
      <c r="J65" s="450">
        <f t="shared" si="20"/>
        <v>2671446.9966319893</v>
      </c>
      <c r="K65" s="450">
        <f t="shared" si="21"/>
        <v>3004930.5003725868</v>
      </c>
      <c r="L65" s="450">
        <f t="shared" si="22"/>
        <v>3118004.1782598924</v>
      </c>
      <c r="M65" s="450">
        <f t="shared" si="23"/>
        <v>3116878.1341541433</v>
      </c>
      <c r="N65" s="450">
        <f t="shared" si="24"/>
        <v>3054405.1686049169</v>
      </c>
      <c r="O65" s="450">
        <f t="shared" si="25"/>
        <v>2972460.9112948221</v>
      </c>
    </row>
    <row r="66" spans="2:15" x14ac:dyDescent="0.25">
      <c r="B66" s="452">
        <v>39356</v>
      </c>
      <c r="C66" s="451">
        <f t="shared" si="16"/>
        <v>294705.91579073702</v>
      </c>
      <c r="G66" s="450">
        <f t="shared" si="17"/>
        <v>1028755.8065041617</v>
      </c>
      <c r="H66" s="450">
        <f t="shared" si="18"/>
        <v>1531699.706790688</v>
      </c>
      <c r="I66" s="450">
        <f t="shared" si="19"/>
        <v>2176672.3729011188</v>
      </c>
      <c r="J66" s="450">
        <f t="shared" si="20"/>
        <v>2711261.0808916031</v>
      </c>
      <c r="K66" s="450">
        <f t="shared" si="21"/>
        <v>3024132.3692929479</v>
      </c>
      <c r="L66" s="450">
        <f t="shared" si="22"/>
        <v>3120441.9401578209</v>
      </c>
      <c r="M66" s="450">
        <f t="shared" si="23"/>
        <v>3114976.0122119444</v>
      </c>
      <c r="N66" s="450">
        <f t="shared" si="24"/>
        <v>3046839.1177708837</v>
      </c>
      <c r="O66" s="450">
        <f t="shared" si="25"/>
        <v>2966158.9108462608</v>
      </c>
    </row>
    <row r="67" spans="2:15" x14ac:dyDescent="0.25">
      <c r="B67" s="452">
        <v>39387</v>
      </c>
      <c r="C67" s="451">
        <f t="shared" si="16"/>
        <v>313818.23229911772</v>
      </c>
      <c r="G67" s="450">
        <f t="shared" si="17"/>
        <v>1048081.482434151</v>
      </c>
      <c r="H67" s="450">
        <f t="shared" si="18"/>
        <v>1584904.8563615091</v>
      </c>
      <c r="I67" s="450">
        <f t="shared" si="19"/>
        <v>2230691.3813795121</v>
      </c>
      <c r="J67" s="450">
        <f t="shared" si="20"/>
        <v>2751075.165151217</v>
      </c>
      <c r="K67" s="450">
        <f t="shared" si="21"/>
        <v>3043334.2382133091</v>
      </c>
      <c r="L67" s="450">
        <f t="shared" si="22"/>
        <v>3122879.7020557495</v>
      </c>
      <c r="M67" s="450">
        <f t="shared" si="23"/>
        <v>3113073.8902697456</v>
      </c>
      <c r="N67" s="450">
        <f t="shared" si="24"/>
        <v>3039273.0669368505</v>
      </c>
      <c r="O67" s="450">
        <f t="shared" si="25"/>
        <v>2959856.9103976996</v>
      </c>
    </row>
    <row r="68" spans="2:15" x14ac:dyDescent="0.25">
      <c r="B68" s="452">
        <v>39417</v>
      </c>
      <c r="C68" s="451">
        <f t="shared" si="16"/>
        <v>332930.54880749842</v>
      </c>
      <c r="D68" s="451">
        <f>SUM(C57:C68)</f>
        <v>2733753.6961368569</v>
      </c>
      <c r="E68" s="451">
        <f>C68*12</f>
        <v>3995166.585689981</v>
      </c>
      <c r="G68" s="450">
        <f t="shared" si="17"/>
        <v>1067407.1583641404</v>
      </c>
      <c r="H68" s="450">
        <f t="shared" si="18"/>
        <v>1638110.0059323302</v>
      </c>
      <c r="I68" s="450">
        <f t="shared" si="19"/>
        <v>2284710.3898579055</v>
      </c>
      <c r="J68" s="450">
        <f t="shared" si="20"/>
        <v>2790889.2494108309</v>
      </c>
      <c r="K68" s="450">
        <f t="shared" si="21"/>
        <v>3062536.1071336702</v>
      </c>
      <c r="L68" s="450">
        <f t="shared" si="22"/>
        <v>3125317.463953678</v>
      </c>
      <c r="M68" s="450">
        <f t="shared" si="23"/>
        <v>3111171.7683275468</v>
      </c>
      <c r="N68" s="450">
        <f t="shared" si="24"/>
        <v>3031707.0161028174</v>
      </c>
      <c r="O68" s="450">
        <f t="shared" si="25"/>
        <v>2953554.9099491383</v>
      </c>
    </row>
    <row r="69" spans="2:15" x14ac:dyDescent="0.25">
      <c r="B69" s="452">
        <v>39448</v>
      </c>
      <c r="C69" s="451">
        <f>C68+$H$26</f>
        <v>337773.90784428187</v>
      </c>
      <c r="G69" s="450">
        <f t="shared" si="17"/>
        <v>1086732.8342941299</v>
      </c>
      <c r="H69" s="450">
        <f t="shared" si="18"/>
        <v>1691315.1555031512</v>
      </c>
      <c r="I69" s="450">
        <f t="shared" si="19"/>
        <v>2338729.3983362988</v>
      </c>
      <c r="J69" s="450">
        <f t="shared" si="20"/>
        <v>2830703.3336704448</v>
      </c>
      <c r="K69" s="450">
        <f t="shared" si="21"/>
        <v>3081737.9760540314</v>
      </c>
      <c r="L69" s="450">
        <f t="shared" si="22"/>
        <v>3127755.2258516066</v>
      </c>
      <c r="M69" s="450">
        <f t="shared" si="23"/>
        <v>3109269.6463853479</v>
      </c>
      <c r="N69" s="450">
        <f t="shared" si="24"/>
        <v>3024140.9652687842</v>
      </c>
      <c r="O69" s="450">
        <f t="shared" si="25"/>
        <v>2947252.909500577</v>
      </c>
    </row>
    <row r="70" spans="2:15" x14ac:dyDescent="0.25">
      <c r="B70" s="452">
        <v>39479</v>
      </c>
      <c r="C70" s="451">
        <f t="shared" ref="C70:C80" si="26">C69+$H$26</f>
        <v>342617.26688106533</v>
      </c>
      <c r="G70" s="450">
        <f t="shared" si="17"/>
        <v>1106058.5102241193</v>
      </c>
      <c r="H70" s="450">
        <f t="shared" si="18"/>
        <v>1744520.3050739723</v>
      </c>
      <c r="I70" s="450">
        <f t="shared" si="19"/>
        <v>2392748.4068146921</v>
      </c>
      <c r="J70" s="450">
        <f t="shared" si="20"/>
        <v>2870517.4179300587</v>
      </c>
      <c r="K70" s="450">
        <f t="shared" si="21"/>
        <v>3100939.8449743926</v>
      </c>
      <c r="L70" s="450">
        <f t="shared" si="22"/>
        <v>3130192.9877495351</v>
      </c>
      <c r="M70" s="450">
        <f t="shared" si="23"/>
        <v>3107367.5244431491</v>
      </c>
      <c r="N70" s="450">
        <f t="shared" si="24"/>
        <v>3016574.914434751</v>
      </c>
      <c r="O70" s="450">
        <f t="shared" si="25"/>
        <v>2940950.9090520157</v>
      </c>
    </row>
    <row r="71" spans="2:15" x14ac:dyDescent="0.25">
      <c r="B71" s="452">
        <v>39508</v>
      </c>
      <c r="C71" s="451">
        <f t="shared" si="26"/>
        <v>347460.62591784878</v>
      </c>
    </row>
    <row r="72" spans="2:15" x14ac:dyDescent="0.25">
      <c r="B72" s="452">
        <v>39539</v>
      </c>
      <c r="C72" s="451">
        <f t="shared" si="26"/>
        <v>352303.98495463224</v>
      </c>
    </row>
    <row r="73" spans="2:15" x14ac:dyDescent="0.25">
      <c r="B73" s="452">
        <v>39569</v>
      </c>
      <c r="C73" s="451">
        <f t="shared" si="26"/>
        <v>357147.34399141569</v>
      </c>
    </row>
    <row r="74" spans="2:15" x14ac:dyDescent="0.25">
      <c r="B74" s="452">
        <v>39600</v>
      </c>
      <c r="C74" s="451">
        <f t="shared" si="26"/>
        <v>361990.70302819915</v>
      </c>
    </row>
    <row r="75" spans="2:15" x14ac:dyDescent="0.25">
      <c r="B75" s="452">
        <v>39630</v>
      </c>
      <c r="C75" s="451">
        <f t="shared" si="26"/>
        <v>366834.0620649826</v>
      </c>
    </row>
    <row r="76" spans="2:15" x14ac:dyDescent="0.25">
      <c r="B76" s="452">
        <v>39661</v>
      </c>
      <c r="C76" s="451">
        <f t="shared" si="26"/>
        <v>371677.42110176606</v>
      </c>
    </row>
    <row r="77" spans="2:15" x14ac:dyDescent="0.25">
      <c r="B77" s="452">
        <v>39692</v>
      </c>
      <c r="C77" s="451">
        <f t="shared" si="26"/>
        <v>376520.78013854951</v>
      </c>
    </row>
    <row r="78" spans="2:15" x14ac:dyDescent="0.25">
      <c r="B78" s="452">
        <v>39722</v>
      </c>
      <c r="C78" s="451">
        <f t="shared" si="26"/>
        <v>381364.13917533297</v>
      </c>
    </row>
    <row r="79" spans="2:15" x14ac:dyDescent="0.25">
      <c r="B79" s="452">
        <v>39753</v>
      </c>
      <c r="C79" s="451">
        <f t="shared" si="26"/>
        <v>386207.49821211642</v>
      </c>
    </row>
    <row r="80" spans="2:15" x14ac:dyDescent="0.25">
      <c r="B80" s="452">
        <v>39783</v>
      </c>
      <c r="C80" s="451">
        <f t="shared" si="26"/>
        <v>391050.85724889988</v>
      </c>
      <c r="D80" s="451">
        <f>SUM(C69:C80)</f>
        <v>4372948.5905590905</v>
      </c>
      <c r="E80" s="451">
        <f>C80*12</f>
        <v>4692610.286986798</v>
      </c>
    </row>
    <row r="81" spans="2:5" x14ac:dyDescent="0.25">
      <c r="B81" s="452">
        <v>39814</v>
      </c>
      <c r="C81" s="451">
        <f>C80+$H$27</f>
        <v>400054.72080696304</v>
      </c>
    </row>
    <row r="82" spans="2:5" x14ac:dyDescent="0.25">
      <c r="B82" s="452">
        <v>39845</v>
      </c>
      <c r="C82" s="451">
        <f t="shared" ref="C82:C92" si="27">C81+$H$27</f>
        <v>409058.58436502621</v>
      </c>
    </row>
    <row r="83" spans="2:5" x14ac:dyDescent="0.25">
      <c r="B83" s="452">
        <v>39873</v>
      </c>
      <c r="C83" s="451">
        <f t="shared" si="27"/>
        <v>418062.44792308938</v>
      </c>
    </row>
    <row r="84" spans="2:5" x14ac:dyDescent="0.25">
      <c r="B84" s="452">
        <v>39904</v>
      </c>
      <c r="C84" s="451">
        <f t="shared" si="27"/>
        <v>427066.31148115254</v>
      </c>
    </row>
    <row r="85" spans="2:5" x14ac:dyDescent="0.25">
      <c r="B85" s="452">
        <v>39934</v>
      </c>
      <c r="C85" s="451">
        <f t="shared" si="27"/>
        <v>436070.17503921571</v>
      </c>
    </row>
    <row r="86" spans="2:5" x14ac:dyDescent="0.25">
      <c r="B86" s="452">
        <v>39965</v>
      </c>
      <c r="C86" s="451">
        <f t="shared" si="27"/>
        <v>445074.03859727888</v>
      </c>
    </row>
    <row r="87" spans="2:5" x14ac:dyDescent="0.25">
      <c r="B87" s="452">
        <v>39995</v>
      </c>
      <c r="C87" s="451">
        <f t="shared" si="27"/>
        <v>454077.90215534205</v>
      </c>
    </row>
    <row r="88" spans="2:5" x14ac:dyDescent="0.25">
      <c r="B88" s="452">
        <v>40026</v>
      </c>
      <c r="C88" s="451">
        <f t="shared" si="27"/>
        <v>463081.76571340521</v>
      </c>
    </row>
    <row r="89" spans="2:5" x14ac:dyDescent="0.25">
      <c r="B89" s="452">
        <v>40057</v>
      </c>
      <c r="C89" s="451">
        <f t="shared" si="27"/>
        <v>472085.62927146838</v>
      </c>
    </row>
    <row r="90" spans="2:5" x14ac:dyDescent="0.25">
      <c r="B90" s="452">
        <v>40087</v>
      </c>
      <c r="C90" s="451">
        <f t="shared" si="27"/>
        <v>481089.49282953155</v>
      </c>
    </row>
    <row r="91" spans="2:5" x14ac:dyDescent="0.25">
      <c r="B91" s="452">
        <v>40118</v>
      </c>
      <c r="C91" s="451">
        <f t="shared" si="27"/>
        <v>490093.35638759471</v>
      </c>
    </row>
    <row r="92" spans="2:5" x14ac:dyDescent="0.25">
      <c r="B92" s="452">
        <v>40148</v>
      </c>
      <c r="C92" s="451">
        <f t="shared" si="27"/>
        <v>499097.21994565788</v>
      </c>
      <c r="D92" s="451">
        <f>SUM(C81:C92)</f>
        <v>5394911.6445157258</v>
      </c>
      <c r="E92" s="451">
        <f>C92*12</f>
        <v>5989166.6393478941</v>
      </c>
    </row>
    <row r="93" spans="2:5" x14ac:dyDescent="0.25">
      <c r="B93" s="452">
        <v>40179</v>
      </c>
      <c r="C93" s="451">
        <f>C92+$H$28</f>
        <v>507393.61344157456</v>
      </c>
    </row>
    <row r="94" spans="2:5" x14ac:dyDescent="0.25">
      <c r="B94" s="452">
        <v>40210</v>
      </c>
      <c r="C94" s="451">
        <f t="shared" ref="C94:C104" si="28">C93+$H$28</f>
        <v>515690.00693749124</v>
      </c>
    </row>
    <row r="95" spans="2:5" x14ac:dyDescent="0.25">
      <c r="B95" s="452">
        <v>40238</v>
      </c>
      <c r="C95" s="451">
        <f t="shared" si="28"/>
        <v>523986.40043340792</v>
      </c>
    </row>
    <row r="96" spans="2:5" x14ac:dyDescent="0.25">
      <c r="B96" s="452">
        <v>40269</v>
      </c>
      <c r="C96" s="451">
        <f t="shared" si="28"/>
        <v>532282.7939293246</v>
      </c>
    </row>
    <row r="97" spans="2:5" x14ac:dyDescent="0.25">
      <c r="B97" s="452">
        <v>40299</v>
      </c>
      <c r="C97" s="451">
        <f t="shared" si="28"/>
        <v>540579.18742524134</v>
      </c>
    </row>
    <row r="98" spans="2:5" x14ac:dyDescent="0.25">
      <c r="B98" s="452">
        <v>40330</v>
      </c>
      <c r="C98" s="451">
        <f t="shared" si="28"/>
        <v>548875.58092115808</v>
      </c>
    </row>
    <row r="99" spans="2:5" x14ac:dyDescent="0.25">
      <c r="B99" s="452">
        <v>40360</v>
      </c>
      <c r="C99" s="451">
        <f t="shared" si="28"/>
        <v>557171.97441707482</v>
      </c>
    </row>
    <row r="100" spans="2:5" x14ac:dyDescent="0.25">
      <c r="B100" s="452">
        <v>40391</v>
      </c>
      <c r="C100" s="451">
        <f t="shared" si="28"/>
        <v>565468.36791299155</v>
      </c>
    </row>
    <row r="101" spans="2:5" x14ac:dyDescent="0.25">
      <c r="B101" s="452">
        <v>40422</v>
      </c>
      <c r="C101" s="451">
        <f t="shared" si="28"/>
        <v>573764.76140890829</v>
      </c>
    </row>
    <row r="102" spans="2:5" x14ac:dyDescent="0.25">
      <c r="B102" s="452">
        <v>40452</v>
      </c>
      <c r="C102" s="451">
        <f t="shared" si="28"/>
        <v>582061.15490482503</v>
      </c>
    </row>
    <row r="103" spans="2:5" x14ac:dyDescent="0.25">
      <c r="B103" s="452">
        <v>40483</v>
      </c>
      <c r="C103" s="451">
        <f t="shared" si="28"/>
        <v>590357.54840074177</v>
      </c>
    </row>
    <row r="104" spans="2:5" x14ac:dyDescent="0.25">
      <c r="B104" s="452">
        <v>40513</v>
      </c>
      <c r="C104" s="451">
        <f t="shared" si="28"/>
        <v>598653.94189665851</v>
      </c>
      <c r="D104" s="451">
        <f>SUM(C93:C104)</f>
        <v>6636285.3320293976</v>
      </c>
      <c r="E104" s="451">
        <f>C104*12</f>
        <v>7183847.3027599026</v>
      </c>
    </row>
    <row r="105" spans="2:5" x14ac:dyDescent="0.25">
      <c r="B105" s="452">
        <v>40544</v>
      </c>
      <c r="C105" s="451">
        <f>C104+$H$29</f>
        <v>598792.7894369252</v>
      </c>
    </row>
    <row r="106" spans="2:5" x14ac:dyDescent="0.25">
      <c r="B106" s="452">
        <v>40575</v>
      </c>
      <c r="C106" s="451">
        <f t="shared" ref="C106:C116" si="29">C105+$H$29</f>
        <v>598931.6369771919</v>
      </c>
    </row>
    <row r="107" spans="2:5" x14ac:dyDescent="0.25">
      <c r="B107" s="452">
        <v>40603</v>
      </c>
      <c r="C107" s="451">
        <f t="shared" si="29"/>
        <v>599070.48451745859</v>
      </c>
    </row>
    <row r="108" spans="2:5" x14ac:dyDescent="0.25">
      <c r="B108" s="452">
        <v>40634</v>
      </c>
      <c r="C108" s="451">
        <f t="shared" si="29"/>
        <v>599209.33205772529</v>
      </c>
    </row>
    <row r="109" spans="2:5" x14ac:dyDescent="0.25">
      <c r="B109" s="452">
        <v>40664</v>
      </c>
      <c r="C109" s="451">
        <f t="shared" si="29"/>
        <v>599348.17959799198</v>
      </c>
    </row>
    <row r="110" spans="2:5" x14ac:dyDescent="0.25">
      <c r="B110" s="452">
        <v>40695</v>
      </c>
      <c r="C110" s="451">
        <f t="shared" si="29"/>
        <v>599487.02713825868</v>
      </c>
    </row>
    <row r="111" spans="2:5" x14ac:dyDescent="0.25">
      <c r="B111" s="452">
        <v>40725</v>
      </c>
      <c r="C111" s="451">
        <f t="shared" si="29"/>
        <v>599625.87467852538</v>
      </c>
    </row>
    <row r="112" spans="2:5" x14ac:dyDescent="0.25">
      <c r="B112" s="452">
        <v>40756</v>
      </c>
      <c r="C112" s="451">
        <f t="shared" si="29"/>
        <v>599764.72221879207</v>
      </c>
    </row>
    <row r="113" spans="2:5" x14ac:dyDescent="0.25">
      <c r="B113" s="452">
        <v>40787</v>
      </c>
      <c r="C113" s="451">
        <f t="shared" si="29"/>
        <v>599903.56975905877</v>
      </c>
    </row>
    <row r="114" spans="2:5" x14ac:dyDescent="0.25">
      <c r="B114" s="452">
        <v>40817</v>
      </c>
      <c r="C114" s="451">
        <f t="shared" si="29"/>
        <v>600042.41729932546</v>
      </c>
    </row>
    <row r="115" spans="2:5" x14ac:dyDescent="0.25">
      <c r="B115" s="452">
        <v>40848</v>
      </c>
      <c r="C115" s="451">
        <f t="shared" si="29"/>
        <v>600181.26483959216</v>
      </c>
    </row>
    <row r="116" spans="2:5" x14ac:dyDescent="0.25">
      <c r="B116" s="452">
        <v>40878</v>
      </c>
      <c r="C116" s="451">
        <f t="shared" si="29"/>
        <v>600320.11237985885</v>
      </c>
      <c r="D116" s="451">
        <f>SUM(C105:C116)</f>
        <v>7194677.4109007055</v>
      </c>
      <c r="E116" s="451">
        <f>C116*12</f>
        <v>7203841.3485583067</v>
      </c>
    </row>
    <row r="117" spans="2:5" x14ac:dyDescent="0.25">
      <c r="B117" s="452">
        <v>40909</v>
      </c>
      <c r="C117" s="451">
        <f>C116+$H$30</f>
        <v>608498.86821378744</v>
      </c>
    </row>
    <row r="118" spans="2:5" x14ac:dyDescent="0.25">
      <c r="B118" s="452">
        <v>40940</v>
      </c>
      <c r="C118" s="451">
        <f t="shared" ref="C118:C128" si="30">C117+$H$30</f>
        <v>616677.62404771603</v>
      </c>
    </row>
    <row r="119" spans="2:5" x14ac:dyDescent="0.25">
      <c r="B119" s="452">
        <v>40969</v>
      </c>
      <c r="C119" s="451">
        <f t="shared" si="30"/>
        <v>624856.37988164462</v>
      </c>
    </row>
    <row r="120" spans="2:5" x14ac:dyDescent="0.25">
      <c r="B120" s="452">
        <v>41000</v>
      </c>
      <c r="C120" s="451">
        <f t="shared" si="30"/>
        <v>633035.13571557321</v>
      </c>
    </row>
    <row r="121" spans="2:5" x14ac:dyDescent="0.25">
      <c r="B121" s="452">
        <v>41030</v>
      </c>
      <c r="C121" s="451">
        <f t="shared" si="30"/>
        <v>641213.8915495018</v>
      </c>
    </row>
    <row r="122" spans="2:5" x14ac:dyDescent="0.25">
      <c r="B122" s="452">
        <v>41061</v>
      </c>
      <c r="C122" s="451">
        <f t="shared" si="30"/>
        <v>649392.64738343039</v>
      </c>
    </row>
    <row r="123" spans="2:5" x14ac:dyDescent="0.25">
      <c r="B123" s="452">
        <v>41091</v>
      </c>
      <c r="C123" s="451">
        <f t="shared" si="30"/>
        <v>657571.40321735898</v>
      </c>
    </row>
    <row r="124" spans="2:5" x14ac:dyDescent="0.25">
      <c r="B124" s="452">
        <v>41122</v>
      </c>
      <c r="C124" s="451">
        <f t="shared" si="30"/>
        <v>665750.15905128757</v>
      </c>
    </row>
    <row r="125" spans="2:5" x14ac:dyDescent="0.25">
      <c r="B125" s="452">
        <v>41153</v>
      </c>
      <c r="C125" s="451">
        <f t="shared" si="30"/>
        <v>673928.91488521616</v>
      </c>
    </row>
    <row r="126" spans="2:5" x14ac:dyDescent="0.25">
      <c r="B126" s="452">
        <v>41183</v>
      </c>
      <c r="C126" s="451">
        <f t="shared" si="30"/>
        <v>682107.67071914475</v>
      </c>
    </row>
    <row r="127" spans="2:5" x14ac:dyDescent="0.25">
      <c r="B127" s="452">
        <v>41214</v>
      </c>
      <c r="C127" s="451">
        <f t="shared" si="30"/>
        <v>690286.42655307334</v>
      </c>
    </row>
    <row r="128" spans="2:5" x14ac:dyDescent="0.25">
      <c r="B128" s="452">
        <v>41244</v>
      </c>
      <c r="C128" s="451">
        <f t="shared" si="30"/>
        <v>698465.18238700193</v>
      </c>
      <c r="D128" s="451">
        <f>SUM(C117:C128)</f>
        <v>7841784.3036047369</v>
      </c>
      <c r="E128" s="451">
        <f>C128*12</f>
        <v>8381582.1886440236</v>
      </c>
    </row>
    <row r="129" spans="2:5" x14ac:dyDescent="0.25">
      <c r="B129" s="452">
        <v>41275</v>
      </c>
      <c r="C129" s="451">
        <f>C128+$H$31</f>
        <v>713105.6171101057</v>
      </c>
    </row>
    <row r="130" spans="2:5" x14ac:dyDescent="0.25">
      <c r="B130" s="452">
        <v>41306</v>
      </c>
      <c r="C130" s="451">
        <f t="shared" ref="C130:C140" si="31">C129+$H$31</f>
        <v>727746.05183320947</v>
      </c>
    </row>
    <row r="131" spans="2:5" x14ac:dyDescent="0.25">
      <c r="B131" s="452">
        <v>41334</v>
      </c>
      <c r="C131" s="451">
        <f t="shared" si="31"/>
        <v>742386.48655631323</v>
      </c>
    </row>
    <row r="132" spans="2:5" x14ac:dyDescent="0.25">
      <c r="B132" s="452">
        <v>41365</v>
      </c>
      <c r="C132" s="451">
        <f t="shared" si="31"/>
        <v>757026.921279417</v>
      </c>
    </row>
    <row r="133" spans="2:5" x14ac:dyDescent="0.25">
      <c r="B133" s="452">
        <v>41395</v>
      </c>
      <c r="C133" s="451">
        <f t="shared" si="31"/>
        <v>771667.35600252077</v>
      </c>
    </row>
    <row r="134" spans="2:5" x14ac:dyDescent="0.25">
      <c r="B134" s="452">
        <v>41426</v>
      </c>
      <c r="C134" s="451">
        <f t="shared" si="31"/>
        <v>786307.79072562454</v>
      </c>
    </row>
    <row r="135" spans="2:5" x14ac:dyDescent="0.25">
      <c r="B135" s="452">
        <v>41456</v>
      </c>
      <c r="C135" s="451">
        <f t="shared" si="31"/>
        <v>800948.22544872831</v>
      </c>
    </row>
    <row r="136" spans="2:5" x14ac:dyDescent="0.25">
      <c r="B136" s="452">
        <v>41487</v>
      </c>
      <c r="C136" s="451">
        <f t="shared" si="31"/>
        <v>815588.66017183207</v>
      </c>
    </row>
    <row r="137" spans="2:5" x14ac:dyDescent="0.25">
      <c r="B137" s="452">
        <v>41518</v>
      </c>
      <c r="C137" s="451">
        <f t="shared" si="31"/>
        <v>830229.09489493584</v>
      </c>
    </row>
    <row r="138" spans="2:5" x14ac:dyDescent="0.25">
      <c r="B138" s="452">
        <v>41548</v>
      </c>
      <c r="C138" s="451">
        <f t="shared" si="31"/>
        <v>844869.52961803961</v>
      </c>
    </row>
    <row r="139" spans="2:5" x14ac:dyDescent="0.25">
      <c r="B139" s="452">
        <v>41579</v>
      </c>
      <c r="C139" s="451">
        <f t="shared" si="31"/>
        <v>859509.96434114338</v>
      </c>
    </row>
    <row r="140" spans="2:5" x14ac:dyDescent="0.25">
      <c r="B140" s="452">
        <v>41609</v>
      </c>
      <c r="C140" s="451">
        <f t="shared" si="31"/>
        <v>874150.39906424715</v>
      </c>
      <c r="D140" s="451">
        <f>SUM(C129:C140)</f>
        <v>9523536.0970461164</v>
      </c>
      <c r="E140" s="451">
        <f>C140*12</f>
        <v>10489804.788770966</v>
      </c>
    </row>
    <row r="141" spans="2:5" x14ac:dyDescent="0.25">
      <c r="B141" s="452">
        <v>41640</v>
      </c>
      <c r="C141" s="451">
        <f>C140+$H$32</f>
        <v>893476.07499423646</v>
      </c>
    </row>
    <row r="142" spans="2:5" x14ac:dyDescent="0.25">
      <c r="B142" s="452">
        <v>41671</v>
      </c>
      <c r="C142" s="451">
        <f t="shared" ref="C142:C152" si="32">C141+$H$32</f>
        <v>912801.75092422578</v>
      </c>
    </row>
    <row r="143" spans="2:5" x14ac:dyDescent="0.25">
      <c r="B143" s="452">
        <v>41699</v>
      </c>
      <c r="C143" s="451">
        <f t="shared" si="32"/>
        <v>932127.4268542151</v>
      </c>
    </row>
    <row r="144" spans="2:5" x14ac:dyDescent="0.25">
      <c r="B144" s="452">
        <v>41730</v>
      </c>
      <c r="C144" s="451">
        <f t="shared" si="32"/>
        <v>951453.10278420441</v>
      </c>
    </row>
    <row r="145" spans="2:5" x14ac:dyDescent="0.25">
      <c r="B145" s="452">
        <v>41760</v>
      </c>
      <c r="C145" s="451">
        <f t="shared" si="32"/>
        <v>970778.77871419373</v>
      </c>
    </row>
    <row r="146" spans="2:5" x14ac:dyDescent="0.25">
      <c r="B146" s="452">
        <v>41791</v>
      </c>
      <c r="C146" s="451">
        <f t="shared" si="32"/>
        <v>990104.45464418305</v>
      </c>
    </row>
    <row r="147" spans="2:5" x14ac:dyDescent="0.25">
      <c r="B147" s="452">
        <v>41821</v>
      </c>
      <c r="C147" s="451">
        <f t="shared" si="32"/>
        <v>1009430.1305741724</v>
      </c>
    </row>
    <row r="148" spans="2:5" x14ac:dyDescent="0.25">
      <c r="B148" s="452">
        <v>41852</v>
      </c>
      <c r="C148" s="451">
        <f t="shared" si="32"/>
        <v>1028755.8065041617</v>
      </c>
    </row>
    <row r="149" spans="2:5" x14ac:dyDescent="0.25">
      <c r="B149" s="452">
        <v>41883</v>
      </c>
      <c r="C149" s="451">
        <f t="shared" si="32"/>
        <v>1048081.482434151</v>
      </c>
    </row>
    <row r="150" spans="2:5" x14ac:dyDescent="0.25">
      <c r="B150" s="452">
        <v>41913</v>
      </c>
      <c r="C150" s="451">
        <f t="shared" si="32"/>
        <v>1067407.1583641404</v>
      </c>
    </row>
    <row r="151" spans="2:5" x14ac:dyDescent="0.25">
      <c r="B151" s="452">
        <v>41944</v>
      </c>
      <c r="C151" s="451">
        <f t="shared" si="32"/>
        <v>1086732.8342941299</v>
      </c>
    </row>
    <row r="152" spans="2:5" x14ac:dyDescent="0.25">
      <c r="B152" s="452">
        <v>41974</v>
      </c>
      <c r="C152" s="451">
        <f t="shared" si="32"/>
        <v>1106058.5102241193</v>
      </c>
      <c r="D152" s="451">
        <f>SUM(C141:C152)</f>
        <v>11997207.51131013</v>
      </c>
      <c r="E152" s="451">
        <f>C152*12</f>
        <v>13272702.122689432</v>
      </c>
    </row>
    <row r="153" spans="2:5" x14ac:dyDescent="0.25">
      <c r="B153" s="452">
        <v>42005</v>
      </c>
      <c r="C153" s="451">
        <f>C152+$H$33</f>
        <v>1159263.6597949404</v>
      </c>
    </row>
    <row r="154" spans="2:5" x14ac:dyDescent="0.25">
      <c r="B154" s="452">
        <v>42036</v>
      </c>
      <c r="C154" s="451">
        <f t="shared" ref="C154:C164" si="33">C153+$H$33</f>
        <v>1212468.8093657615</v>
      </c>
    </row>
    <row r="155" spans="2:5" x14ac:dyDescent="0.25">
      <c r="B155" s="452">
        <v>42064</v>
      </c>
      <c r="C155" s="451">
        <f t="shared" si="33"/>
        <v>1265673.9589365826</v>
      </c>
    </row>
    <row r="156" spans="2:5" x14ac:dyDescent="0.25">
      <c r="B156" s="452">
        <v>42095</v>
      </c>
      <c r="C156" s="451">
        <f t="shared" si="33"/>
        <v>1318879.1085074036</v>
      </c>
    </row>
    <row r="157" spans="2:5" x14ac:dyDescent="0.25">
      <c r="B157" s="452">
        <v>42125</v>
      </c>
      <c r="C157" s="451">
        <f t="shared" si="33"/>
        <v>1372084.2580782247</v>
      </c>
    </row>
    <row r="158" spans="2:5" x14ac:dyDescent="0.25">
      <c r="B158" s="452">
        <v>42156</v>
      </c>
      <c r="C158" s="451">
        <f t="shared" si="33"/>
        <v>1425289.4076490458</v>
      </c>
    </row>
    <row r="159" spans="2:5" x14ac:dyDescent="0.25">
      <c r="B159" s="452">
        <v>42186</v>
      </c>
      <c r="C159" s="451">
        <f t="shared" si="33"/>
        <v>1478494.5572198669</v>
      </c>
    </row>
    <row r="160" spans="2:5" x14ac:dyDescent="0.25">
      <c r="B160" s="452">
        <v>42217</v>
      </c>
      <c r="C160" s="451">
        <f t="shared" si="33"/>
        <v>1531699.706790688</v>
      </c>
    </row>
    <row r="161" spans="2:5" x14ac:dyDescent="0.25">
      <c r="B161" s="452">
        <v>42248</v>
      </c>
      <c r="C161" s="451">
        <f t="shared" si="33"/>
        <v>1584904.8563615091</v>
      </c>
    </row>
    <row r="162" spans="2:5" x14ac:dyDescent="0.25">
      <c r="B162" s="452">
        <v>42278</v>
      </c>
      <c r="C162" s="451">
        <f t="shared" si="33"/>
        <v>1638110.0059323302</v>
      </c>
    </row>
    <row r="163" spans="2:5" x14ac:dyDescent="0.25">
      <c r="B163" s="452">
        <v>42309</v>
      </c>
      <c r="C163" s="451">
        <f t="shared" si="33"/>
        <v>1691315.1555031512</v>
      </c>
    </row>
    <row r="164" spans="2:5" x14ac:dyDescent="0.25">
      <c r="B164" s="452">
        <v>42339</v>
      </c>
      <c r="C164" s="451">
        <f t="shared" si="33"/>
        <v>1744520.3050739723</v>
      </c>
      <c r="D164" s="451">
        <f>SUM(C153:C164)</f>
        <v>17422703.789213475</v>
      </c>
      <c r="E164" s="451">
        <f>C164*12</f>
        <v>20934243.660887666</v>
      </c>
    </row>
    <row r="165" spans="2:5" x14ac:dyDescent="0.25">
      <c r="B165" s="452">
        <v>42370</v>
      </c>
      <c r="C165" s="451">
        <f>C164+$H$34</f>
        <v>1798539.3135523656</v>
      </c>
    </row>
    <row r="166" spans="2:5" x14ac:dyDescent="0.25">
      <c r="B166" s="452">
        <v>42401</v>
      </c>
      <c r="C166" s="451">
        <f t="shared" ref="C166:C176" si="34">C165+$H$34</f>
        <v>1852558.322030759</v>
      </c>
    </row>
    <row r="167" spans="2:5" x14ac:dyDescent="0.25">
      <c r="B167" s="452">
        <v>42430</v>
      </c>
      <c r="C167" s="451">
        <f t="shared" si="34"/>
        <v>1906577.3305091523</v>
      </c>
    </row>
    <row r="168" spans="2:5" x14ac:dyDescent="0.25">
      <c r="B168" s="452">
        <v>42461</v>
      </c>
      <c r="C168" s="451">
        <f t="shared" si="34"/>
        <v>1960596.3389875456</v>
      </c>
    </row>
    <row r="169" spans="2:5" x14ac:dyDescent="0.25">
      <c r="B169" s="452">
        <v>42491</v>
      </c>
      <c r="C169" s="451">
        <f t="shared" si="34"/>
        <v>2014615.3474659389</v>
      </c>
    </row>
    <row r="170" spans="2:5" x14ac:dyDescent="0.25">
      <c r="B170" s="452">
        <v>42522</v>
      </c>
      <c r="C170" s="451">
        <f t="shared" si="34"/>
        <v>2068634.3559443322</v>
      </c>
    </row>
    <row r="171" spans="2:5" x14ac:dyDescent="0.25">
      <c r="B171" s="452">
        <v>42552</v>
      </c>
      <c r="C171" s="451">
        <f t="shared" si="34"/>
        <v>2122653.3644227255</v>
      </c>
    </row>
    <row r="172" spans="2:5" x14ac:dyDescent="0.25">
      <c r="B172" s="452">
        <v>42583</v>
      </c>
      <c r="C172" s="451">
        <f t="shared" si="34"/>
        <v>2176672.3729011188</v>
      </c>
    </row>
    <row r="173" spans="2:5" x14ac:dyDescent="0.25">
      <c r="B173" s="452">
        <v>42614</v>
      </c>
      <c r="C173" s="451">
        <f t="shared" si="34"/>
        <v>2230691.3813795121</v>
      </c>
    </row>
    <row r="174" spans="2:5" x14ac:dyDescent="0.25">
      <c r="B174" s="452">
        <v>42644</v>
      </c>
      <c r="C174" s="451">
        <f t="shared" si="34"/>
        <v>2284710.3898579055</v>
      </c>
    </row>
    <row r="175" spans="2:5" x14ac:dyDescent="0.25">
      <c r="B175" s="452">
        <v>42675</v>
      </c>
      <c r="C175" s="451">
        <f t="shared" si="34"/>
        <v>2338729.3983362988</v>
      </c>
    </row>
    <row r="176" spans="2:5" x14ac:dyDescent="0.25">
      <c r="B176" s="452">
        <v>42705</v>
      </c>
      <c r="C176" s="451">
        <f t="shared" si="34"/>
        <v>2392748.4068146921</v>
      </c>
      <c r="D176" s="451">
        <f>SUM(C165:C176)</f>
        <v>25147726.322202347</v>
      </c>
      <c r="E176" s="451">
        <f>C176*12</f>
        <v>28712980.881776303</v>
      </c>
    </row>
    <row r="177" spans="2:5" x14ac:dyDescent="0.25">
      <c r="B177" s="452">
        <v>42736</v>
      </c>
      <c r="C177" s="451">
        <f>C176+$H$35</f>
        <v>2432562.491074306</v>
      </c>
    </row>
    <row r="178" spans="2:5" x14ac:dyDescent="0.25">
      <c r="B178" s="452">
        <v>42767</v>
      </c>
      <c r="C178" s="451">
        <f t="shared" ref="C178:C188" si="35">C177+$H$35</f>
        <v>2472376.5753339198</v>
      </c>
    </row>
    <row r="179" spans="2:5" x14ac:dyDescent="0.25">
      <c r="B179" s="452">
        <v>42795</v>
      </c>
      <c r="C179" s="451">
        <f t="shared" si="35"/>
        <v>2512190.6595935337</v>
      </c>
    </row>
    <row r="180" spans="2:5" x14ac:dyDescent="0.25">
      <c r="B180" s="452">
        <v>42826</v>
      </c>
      <c r="C180" s="451">
        <f t="shared" si="35"/>
        <v>2552004.7438531476</v>
      </c>
    </row>
    <row r="181" spans="2:5" x14ac:dyDescent="0.25">
      <c r="B181" s="452">
        <v>42856</v>
      </c>
      <c r="C181" s="451">
        <f t="shared" si="35"/>
        <v>2591818.8281127615</v>
      </c>
    </row>
    <row r="182" spans="2:5" x14ac:dyDescent="0.25">
      <c r="B182" s="452">
        <v>42887</v>
      </c>
      <c r="C182" s="451">
        <f t="shared" si="35"/>
        <v>2631632.9123723754</v>
      </c>
    </row>
    <row r="183" spans="2:5" x14ac:dyDescent="0.25">
      <c r="B183" s="452">
        <v>42917</v>
      </c>
      <c r="C183" s="451">
        <f t="shared" si="35"/>
        <v>2671446.9966319893</v>
      </c>
    </row>
    <row r="184" spans="2:5" x14ac:dyDescent="0.25">
      <c r="B184" s="452">
        <v>42948</v>
      </c>
      <c r="C184" s="451">
        <f t="shared" si="35"/>
        <v>2711261.0808916031</v>
      </c>
    </row>
    <row r="185" spans="2:5" x14ac:dyDescent="0.25">
      <c r="B185" s="452">
        <v>42979</v>
      </c>
      <c r="C185" s="451">
        <f t="shared" si="35"/>
        <v>2751075.165151217</v>
      </c>
    </row>
    <row r="186" spans="2:5" x14ac:dyDescent="0.25">
      <c r="B186" s="452">
        <v>43009</v>
      </c>
      <c r="C186" s="451">
        <f t="shared" si="35"/>
        <v>2790889.2494108309</v>
      </c>
    </row>
    <row r="187" spans="2:5" x14ac:dyDescent="0.25">
      <c r="B187" s="452">
        <v>43040</v>
      </c>
      <c r="C187" s="451">
        <f t="shared" si="35"/>
        <v>2830703.3336704448</v>
      </c>
    </row>
    <row r="188" spans="2:5" x14ac:dyDescent="0.25">
      <c r="B188" s="452">
        <v>43070</v>
      </c>
      <c r="C188" s="451">
        <f t="shared" si="35"/>
        <v>2870517.4179300587</v>
      </c>
      <c r="D188" s="451">
        <f>SUM(C177:C188)</f>
        <v>31818479.454026185</v>
      </c>
      <c r="E188" s="451">
        <f>C188*12</f>
        <v>34446209.015160702</v>
      </c>
    </row>
    <row r="189" spans="2:5" x14ac:dyDescent="0.25">
      <c r="B189" s="452">
        <v>43101</v>
      </c>
      <c r="C189" s="451">
        <f>C188+$H$36</f>
        <v>2889719.2868504198</v>
      </c>
    </row>
    <row r="190" spans="2:5" x14ac:dyDescent="0.25">
      <c r="B190" s="452">
        <v>43132</v>
      </c>
      <c r="C190" s="451">
        <f t="shared" ref="C190:C200" si="36">C189+$H$36</f>
        <v>2908921.155770781</v>
      </c>
    </row>
    <row r="191" spans="2:5" x14ac:dyDescent="0.25">
      <c r="B191" s="452">
        <v>43160</v>
      </c>
      <c r="C191" s="451">
        <f t="shared" si="36"/>
        <v>2928123.0246911421</v>
      </c>
    </row>
    <row r="192" spans="2:5" x14ac:dyDescent="0.25">
      <c r="B192" s="452">
        <v>43191</v>
      </c>
      <c r="C192" s="451">
        <f t="shared" si="36"/>
        <v>2947324.8936115033</v>
      </c>
    </row>
    <row r="193" spans="2:5" x14ac:dyDescent="0.25">
      <c r="B193" s="452">
        <v>43221</v>
      </c>
      <c r="C193" s="451">
        <f t="shared" si="36"/>
        <v>2966526.7625318645</v>
      </c>
    </row>
    <row r="194" spans="2:5" x14ac:dyDescent="0.25">
      <c r="B194" s="452">
        <v>43252</v>
      </c>
      <c r="C194" s="451">
        <f t="shared" si="36"/>
        <v>2985728.6314522256</v>
      </c>
    </row>
    <row r="195" spans="2:5" x14ac:dyDescent="0.25">
      <c r="B195" s="452">
        <v>43282</v>
      </c>
      <c r="C195" s="451">
        <f t="shared" si="36"/>
        <v>3004930.5003725868</v>
      </c>
    </row>
    <row r="196" spans="2:5" x14ac:dyDescent="0.25">
      <c r="B196" s="452">
        <v>43313</v>
      </c>
      <c r="C196" s="451">
        <f t="shared" si="36"/>
        <v>3024132.3692929479</v>
      </c>
    </row>
    <row r="197" spans="2:5" x14ac:dyDescent="0.25">
      <c r="B197" s="452">
        <v>43344</v>
      </c>
      <c r="C197" s="451">
        <f t="shared" si="36"/>
        <v>3043334.2382133091</v>
      </c>
    </row>
    <row r="198" spans="2:5" x14ac:dyDescent="0.25">
      <c r="B198" s="452">
        <v>43374</v>
      </c>
      <c r="C198" s="451">
        <f t="shared" si="36"/>
        <v>3062536.1071336702</v>
      </c>
    </row>
    <row r="199" spans="2:5" x14ac:dyDescent="0.25">
      <c r="B199" s="452">
        <v>43405</v>
      </c>
      <c r="C199" s="451">
        <f t="shared" si="36"/>
        <v>3081737.9760540314</v>
      </c>
    </row>
    <row r="200" spans="2:5" x14ac:dyDescent="0.25">
      <c r="B200" s="452">
        <v>43435</v>
      </c>
      <c r="C200" s="451">
        <f t="shared" si="36"/>
        <v>3100939.8449743926</v>
      </c>
      <c r="D200" s="451">
        <f>SUM(C189:C200)</f>
        <v>35943954.790948875</v>
      </c>
      <c r="E200" s="451">
        <f>C200*12</f>
        <v>37211278.139692709</v>
      </c>
    </row>
    <row r="201" spans="2:5" x14ac:dyDescent="0.25">
      <c r="B201" s="452">
        <v>43466</v>
      </c>
      <c r="C201" s="451">
        <f>C200+$H$37</f>
        <v>3103377.6068723211</v>
      </c>
    </row>
    <row r="202" spans="2:5" x14ac:dyDescent="0.25">
      <c r="B202" s="452">
        <v>43497</v>
      </c>
      <c r="C202" s="451">
        <f t="shared" ref="C202:C212" si="37">C201+$H$37</f>
        <v>3105815.3687702497</v>
      </c>
    </row>
    <row r="203" spans="2:5" x14ac:dyDescent="0.25">
      <c r="B203" s="452">
        <v>43525</v>
      </c>
      <c r="C203" s="451">
        <f t="shared" si="37"/>
        <v>3108253.1306681782</v>
      </c>
    </row>
    <row r="204" spans="2:5" x14ac:dyDescent="0.25">
      <c r="B204" s="452">
        <v>43556</v>
      </c>
      <c r="C204" s="451">
        <f t="shared" si="37"/>
        <v>3110690.8925661067</v>
      </c>
    </row>
    <row r="205" spans="2:5" x14ac:dyDescent="0.25">
      <c r="B205" s="452">
        <v>43586</v>
      </c>
      <c r="C205" s="451">
        <f t="shared" si="37"/>
        <v>3113128.6544640353</v>
      </c>
    </row>
    <row r="206" spans="2:5" x14ac:dyDescent="0.25">
      <c r="B206" s="452">
        <v>43617</v>
      </c>
      <c r="C206" s="451">
        <f t="shared" si="37"/>
        <v>3115566.4163619638</v>
      </c>
    </row>
    <row r="207" spans="2:5" x14ac:dyDescent="0.25">
      <c r="B207" s="452">
        <v>43647</v>
      </c>
      <c r="C207" s="451">
        <f t="shared" si="37"/>
        <v>3118004.1782598924</v>
      </c>
    </row>
    <row r="208" spans="2:5" x14ac:dyDescent="0.25">
      <c r="B208" s="452">
        <v>43678</v>
      </c>
      <c r="C208" s="451">
        <f t="shared" si="37"/>
        <v>3120441.9401578209</v>
      </c>
    </row>
    <row r="209" spans="2:5" x14ac:dyDescent="0.25">
      <c r="B209" s="452">
        <v>43709</v>
      </c>
      <c r="C209" s="451">
        <f t="shared" si="37"/>
        <v>3122879.7020557495</v>
      </c>
    </row>
    <row r="210" spans="2:5" x14ac:dyDescent="0.25">
      <c r="B210" s="452">
        <v>43739</v>
      </c>
      <c r="C210" s="451">
        <f t="shared" si="37"/>
        <v>3125317.463953678</v>
      </c>
    </row>
    <row r="211" spans="2:5" x14ac:dyDescent="0.25">
      <c r="B211" s="452">
        <v>43770</v>
      </c>
      <c r="C211" s="451">
        <f t="shared" si="37"/>
        <v>3127755.2258516066</v>
      </c>
    </row>
    <row r="212" spans="2:5" x14ac:dyDescent="0.25">
      <c r="B212" s="452">
        <v>43800</v>
      </c>
      <c r="C212" s="451">
        <f t="shared" si="37"/>
        <v>3130192.9877495351</v>
      </c>
      <c r="D212" s="451">
        <f>SUM(C201:C212)</f>
        <v>37401423.567731135</v>
      </c>
      <c r="E212" s="451">
        <f>C212*12</f>
        <v>37562315.85299442</v>
      </c>
    </row>
    <row r="213" spans="2:5" x14ac:dyDescent="0.25">
      <c r="B213" s="452">
        <v>43831</v>
      </c>
      <c r="C213" s="451">
        <f>C212+$H$38</f>
        <v>3128290.8658073363</v>
      </c>
    </row>
    <row r="214" spans="2:5" x14ac:dyDescent="0.25">
      <c r="B214" s="452">
        <v>43862</v>
      </c>
      <c r="C214" s="451">
        <f t="shared" ref="C214:C224" si="38">C213+$H$38</f>
        <v>3126388.7438651375</v>
      </c>
    </row>
    <row r="215" spans="2:5" x14ac:dyDescent="0.25">
      <c r="B215" s="452">
        <v>43891</v>
      </c>
      <c r="C215" s="451">
        <f t="shared" si="38"/>
        <v>3124486.6219229386</v>
      </c>
    </row>
    <row r="216" spans="2:5" x14ac:dyDescent="0.25">
      <c r="B216" s="452">
        <v>43922</v>
      </c>
      <c r="C216" s="451">
        <f t="shared" si="38"/>
        <v>3122584.4999807398</v>
      </c>
    </row>
    <row r="217" spans="2:5" x14ac:dyDescent="0.25">
      <c r="B217" s="452">
        <v>43952</v>
      </c>
      <c r="C217" s="451">
        <f t="shared" si="38"/>
        <v>3120682.3780385409</v>
      </c>
    </row>
    <row r="218" spans="2:5" x14ac:dyDescent="0.25">
      <c r="B218" s="452">
        <v>43983</v>
      </c>
      <c r="C218" s="451">
        <f t="shared" si="38"/>
        <v>3118780.2560963421</v>
      </c>
    </row>
    <row r="219" spans="2:5" x14ac:dyDescent="0.25">
      <c r="B219" s="452">
        <v>44013</v>
      </c>
      <c r="C219" s="451">
        <f t="shared" si="38"/>
        <v>3116878.1341541433</v>
      </c>
    </row>
    <row r="220" spans="2:5" x14ac:dyDescent="0.25">
      <c r="B220" s="452">
        <v>44044</v>
      </c>
      <c r="C220" s="451">
        <f t="shared" si="38"/>
        <v>3114976.0122119444</v>
      </c>
    </row>
    <row r="221" spans="2:5" x14ac:dyDescent="0.25">
      <c r="B221" s="452">
        <v>44075</v>
      </c>
      <c r="C221" s="451">
        <f t="shared" si="38"/>
        <v>3113073.8902697456</v>
      </c>
    </row>
    <row r="222" spans="2:5" x14ac:dyDescent="0.25">
      <c r="B222" s="452">
        <v>44105</v>
      </c>
      <c r="C222" s="451">
        <f t="shared" si="38"/>
        <v>3111171.7683275468</v>
      </c>
    </row>
    <row r="223" spans="2:5" x14ac:dyDescent="0.25">
      <c r="B223" s="452">
        <v>44136</v>
      </c>
      <c r="C223" s="451">
        <f t="shared" si="38"/>
        <v>3109269.6463853479</v>
      </c>
    </row>
    <row r="224" spans="2:5" x14ac:dyDescent="0.25">
      <c r="B224" s="452">
        <v>44166</v>
      </c>
      <c r="C224" s="451">
        <f t="shared" si="38"/>
        <v>3107367.5244431491</v>
      </c>
      <c r="D224" s="451">
        <f>SUM(C213:C224)</f>
        <v>37413950.341502912</v>
      </c>
      <c r="E224" s="451">
        <f>C224*12</f>
        <v>37288410.293317787</v>
      </c>
    </row>
    <row r="225" spans="2:5" x14ac:dyDescent="0.25">
      <c r="B225" s="452">
        <v>44197</v>
      </c>
      <c r="C225" s="451">
        <f>C224+$H$39</f>
        <v>3099801.4736091159</v>
      </c>
    </row>
    <row r="226" spans="2:5" x14ac:dyDescent="0.25">
      <c r="B226" s="452">
        <v>44228</v>
      </c>
      <c r="C226" s="451">
        <f t="shared" ref="C226:C236" si="39">C225+$H$39</f>
        <v>3092235.4227750828</v>
      </c>
    </row>
    <row r="227" spans="2:5" x14ac:dyDescent="0.25">
      <c r="B227" s="452">
        <v>44256</v>
      </c>
      <c r="C227" s="451">
        <f t="shared" si="39"/>
        <v>3084669.3719410496</v>
      </c>
    </row>
    <row r="228" spans="2:5" x14ac:dyDescent="0.25">
      <c r="B228" s="452">
        <v>44287</v>
      </c>
      <c r="C228" s="451">
        <f t="shared" si="39"/>
        <v>3077103.3211070164</v>
      </c>
    </row>
    <row r="229" spans="2:5" x14ac:dyDescent="0.25">
      <c r="B229" s="452">
        <v>44317</v>
      </c>
      <c r="C229" s="451">
        <f t="shared" si="39"/>
        <v>3069537.2702729832</v>
      </c>
    </row>
    <row r="230" spans="2:5" x14ac:dyDescent="0.25">
      <c r="B230" s="452">
        <v>44348</v>
      </c>
      <c r="C230" s="451">
        <f t="shared" si="39"/>
        <v>3061971.2194389501</v>
      </c>
    </row>
    <row r="231" spans="2:5" x14ac:dyDescent="0.25">
      <c r="B231" s="452">
        <v>44378</v>
      </c>
      <c r="C231" s="451">
        <f t="shared" si="39"/>
        <v>3054405.1686049169</v>
      </c>
    </row>
    <row r="232" spans="2:5" x14ac:dyDescent="0.25">
      <c r="B232" s="452">
        <v>44409</v>
      </c>
      <c r="C232" s="451">
        <f t="shared" si="39"/>
        <v>3046839.1177708837</v>
      </c>
    </row>
    <row r="233" spans="2:5" x14ac:dyDescent="0.25">
      <c r="B233" s="452">
        <v>44440</v>
      </c>
      <c r="C233" s="451">
        <f t="shared" si="39"/>
        <v>3039273.0669368505</v>
      </c>
    </row>
    <row r="234" spans="2:5" x14ac:dyDescent="0.25">
      <c r="B234" s="452">
        <v>44470</v>
      </c>
      <c r="C234" s="451">
        <f t="shared" si="39"/>
        <v>3031707.0161028174</v>
      </c>
    </row>
    <row r="235" spans="2:5" x14ac:dyDescent="0.25">
      <c r="B235" s="452">
        <v>44501</v>
      </c>
      <c r="C235" s="451">
        <f t="shared" si="39"/>
        <v>3024140.9652687842</v>
      </c>
    </row>
    <row r="236" spans="2:5" x14ac:dyDescent="0.25">
      <c r="B236" s="452">
        <v>44531</v>
      </c>
      <c r="C236" s="451">
        <f t="shared" si="39"/>
        <v>3016574.914434751</v>
      </c>
      <c r="D236" s="451">
        <f>SUM(C225:C236)</f>
        <v>36698258.328263208</v>
      </c>
      <c r="E236" s="451">
        <f>C236*12</f>
        <v>36198898.97321701</v>
      </c>
    </row>
    <row r="237" spans="2:5" x14ac:dyDescent="0.25">
      <c r="B237" s="452">
        <v>44562</v>
      </c>
      <c r="C237" s="451">
        <f>C236+$H$40</f>
        <v>3010272.9139861898</v>
      </c>
    </row>
    <row r="238" spans="2:5" x14ac:dyDescent="0.25">
      <c r="B238" s="452">
        <v>44593</v>
      </c>
      <c r="C238" s="451">
        <f t="shared" ref="C238:C248" si="40">C237+$H$40</f>
        <v>3003970.9135376285</v>
      </c>
    </row>
    <row r="239" spans="2:5" x14ac:dyDescent="0.25">
      <c r="B239" s="452">
        <v>44621</v>
      </c>
      <c r="C239" s="451">
        <f t="shared" si="40"/>
        <v>2997668.9130890672</v>
      </c>
    </row>
    <row r="240" spans="2:5" x14ac:dyDescent="0.25">
      <c r="B240" s="452">
        <v>44652</v>
      </c>
      <c r="C240" s="451">
        <f t="shared" si="40"/>
        <v>2991366.9126405059</v>
      </c>
    </row>
    <row r="241" spans="2:5" x14ac:dyDescent="0.25">
      <c r="B241" s="452">
        <v>44682</v>
      </c>
      <c r="C241" s="451">
        <f t="shared" si="40"/>
        <v>2985064.9121919447</v>
      </c>
    </row>
    <row r="242" spans="2:5" x14ac:dyDescent="0.25">
      <c r="B242" s="452">
        <v>44713</v>
      </c>
      <c r="C242" s="451">
        <f t="shared" si="40"/>
        <v>2978762.9117433834</v>
      </c>
    </row>
    <row r="243" spans="2:5" x14ac:dyDescent="0.25">
      <c r="B243" s="452">
        <v>44743</v>
      </c>
      <c r="C243" s="451">
        <f t="shared" si="40"/>
        <v>2972460.9112948221</v>
      </c>
    </row>
    <row r="244" spans="2:5" x14ac:dyDescent="0.25">
      <c r="B244" s="452">
        <v>44774</v>
      </c>
      <c r="C244" s="451">
        <f t="shared" si="40"/>
        <v>2966158.9108462608</v>
      </c>
    </row>
    <row r="245" spans="2:5" x14ac:dyDescent="0.25">
      <c r="B245" s="452">
        <v>44805</v>
      </c>
      <c r="C245" s="451">
        <f t="shared" si="40"/>
        <v>2959856.9103976996</v>
      </c>
    </row>
    <row r="246" spans="2:5" x14ac:dyDescent="0.25">
      <c r="B246" s="452">
        <v>44835</v>
      </c>
      <c r="C246" s="451">
        <f t="shared" si="40"/>
        <v>2953554.9099491383</v>
      </c>
    </row>
    <row r="247" spans="2:5" x14ac:dyDescent="0.25">
      <c r="B247" s="452">
        <v>44866</v>
      </c>
      <c r="C247" s="451">
        <f t="shared" si="40"/>
        <v>2947252.909500577</v>
      </c>
    </row>
    <row r="248" spans="2:5" x14ac:dyDescent="0.25">
      <c r="B248" s="452">
        <v>44896</v>
      </c>
      <c r="C248" s="451">
        <f t="shared" si="40"/>
        <v>2940950.9090520157</v>
      </c>
      <c r="D248" s="451">
        <f>SUM(C237:C248)</f>
        <v>35707342.938229233</v>
      </c>
      <c r="E248" s="451">
        <f>C248*12</f>
        <v>35291410.908624187</v>
      </c>
    </row>
  </sheetData>
  <sheetProtection selectLockedCells="1" selectUnlockedCells="1"/>
  <mergeCells count="3">
    <mergeCell ref="B1:B2"/>
    <mergeCell ref="C1:S1"/>
    <mergeCell ref="A3: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104" activePane="bottomRight" state="frozen"/>
      <selection activeCell="C31" sqref="C31"/>
      <selection pane="topRight" activeCell="C31" sqref="C31"/>
      <selection pane="bottomLeft" activeCell="C31" sqref="C31"/>
      <selection pane="bottomRight" sqref="A1:A1048576"/>
    </sheetView>
  </sheetViews>
  <sheetFormatPr defaultColWidth="9.296875" defaultRowHeight="12.5" x14ac:dyDescent="0.25"/>
  <cols>
    <col min="1" max="1" width="16.296875" style="2" customWidth="1"/>
    <col min="2" max="5" width="12.796875" style="2" customWidth="1"/>
    <col min="6" max="6" width="13.796875" style="2" bestFit="1" customWidth="1"/>
    <col min="7" max="7" width="15" style="2" customWidth="1"/>
    <col min="8" max="8" width="16.19921875" style="2" customWidth="1"/>
    <col min="9" max="11" width="12.796875" style="2" customWidth="1"/>
    <col min="12" max="12" width="11.5" style="2" customWidth="1"/>
    <col min="13" max="15" width="12.796875" style="2" customWidth="1"/>
    <col min="16" max="16" width="13.796875" style="2" bestFit="1" customWidth="1"/>
    <col min="17" max="51" width="12.796875" style="2" customWidth="1"/>
    <col min="52" max="16384" width="9.296875" style="2"/>
  </cols>
  <sheetData>
    <row r="1" spans="1:51" ht="15" customHeight="1" thickBot="1" x14ac:dyDescent="0.35">
      <c r="C1" s="494" t="s">
        <v>41</v>
      </c>
      <c r="D1" s="33"/>
      <c r="E1" s="34" t="s">
        <v>42</v>
      </c>
      <c r="F1" s="31">
        <v>0</v>
      </c>
      <c r="J1" s="35"/>
      <c r="K1" s="35"/>
      <c r="L1" s="35"/>
      <c r="M1" s="35"/>
      <c r="N1" s="35"/>
      <c r="O1" s="35"/>
      <c r="P1" s="35"/>
      <c r="R1" s="38">
        <v>1</v>
      </c>
      <c r="AS1" s="137"/>
      <c r="AT1" s="138"/>
      <c r="AU1" s="139" t="s">
        <v>46</v>
      </c>
      <c r="AV1" s="140">
        <v>10</v>
      </c>
    </row>
    <row r="2" spans="1:51" ht="15" customHeight="1" thickBot="1" x14ac:dyDescent="0.35">
      <c r="C2" s="495"/>
      <c r="D2" s="36"/>
      <c r="E2" s="37" t="s">
        <v>128</v>
      </c>
      <c r="F2" s="32">
        <v>0</v>
      </c>
      <c r="J2" s="35"/>
      <c r="K2" s="35"/>
      <c r="L2" s="35"/>
      <c r="M2" s="35"/>
      <c r="N2" s="35"/>
      <c r="O2" s="35"/>
      <c r="P2" s="35"/>
    </row>
    <row r="3" spans="1:51" ht="15" customHeight="1" thickBot="1" x14ac:dyDescent="0.35">
      <c r="A3" s="30" t="s">
        <v>40</v>
      </c>
      <c r="B3" s="141" t="s">
        <v>45</v>
      </c>
      <c r="C3" s="141" t="s">
        <v>45</v>
      </c>
      <c r="D3" s="141" t="s">
        <v>45</v>
      </c>
      <c r="E3" s="141" t="s">
        <v>45</v>
      </c>
      <c r="F3" s="141" t="s">
        <v>165</v>
      </c>
      <c r="G3" s="141" t="s">
        <v>165</v>
      </c>
      <c r="H3" s="141" t="s">
        <v>45</v>
      </c>
      <c r="I3" s="141" t="s">
        <v>45</v>
      </c>
      <c r="J3" s="141" t="s">
        <v>45</v>
      </c>
      <c r="K3" s="141" t="s">
        <v>45</v>
      </c>
      <c r="L3" s="141" t="s">
        <v>45</v>
      </c>
      <c r="M3" s="141" t="s">
        <v>45</v>
      </c>
      <c r="N3" s="141" t="s">
        <v>45</v>
      </c>
      <c r="O3" s="141" t="s">
        <v>45</v>
      </c>
      <c r="P3" s="141" t="s">
        <v>45</v>
      </c>
      <c r="Q3" s="141" t="s">
        <v>45</v>
      </c>
      <c r="R3" s="141" t="s">
        <v>45</v>
      </c>
      <c r="S3" s="141" t="s">
        <v>45</v>
      </c>
      <c r="T3" s="141" t="s">
        <v>45</v>
      </c>
      <c r="U3" s="141" t="s">
        <v>45</v>
      </c>
      <c r="V3" s="141" t="s">
        <v>45</v>
      </c>
      <c r="W3" s="141" t="s">
        <v>45</v>
      </c>
      <c r="X3" s="141" t="s">
        <v>45</v>
      </c>
      <c r="Y3" s="141" t="s">
        <v>45</v>
      </c>
      <c r="Z3" s="141" t="s">
        <v>45</v>
      </c>
      <c r="AA3" s="141" t="s">
        <v>45</v>
      </c>
      <c r="AB3" s="141" t="s">
        <v>45</v>
      </c>
      <c r="AC3" s="141" t="s">
        <v>45</v>
      </c>
      <c r="AD3" s="141" t="s">
        <v>45</v>
      </c>
      <c r="AE3" s="141" t="s">
        <v>45</v>
      </c>
      <c r="AF3" s="141" t="s">
        <v>45</v>
      </c>
      <c r="AG3" s="141" t="s">
        <v>45</v>
      </c>
      <c r="AH3" s="141" t="s">
        <v>45</v>
      </c>
      <c r="AI3" s="141" t="s">
        <v>45</v>
      </c>
      <c r="AJ3" s="141" t="s">
        <v>45</v>
      </c>
      <c r="AK3" s="141" t="s">
        <v>45</v>
      </c>
      <c r="AL3" s="141" t="s">
        <v>45</v>
      </c>
      <c r="AM3" s="141" t="s">
        <v>45</v>
      </c>
      <c r="AN3" s="141" t="s">
        <v>45</v>
      </c>
      <c r="AO3" s="141" t="s">
        <v>45</v>
      </c>
      <c r="AP3" s="141" t="s">
        <v>45</v>
      </c>
      <c r="AQ3" s="141" t="s">
        <v>45</v>
      </c>
      <c r="AR3" s="141" t="s">
        <v>45</v>
      </c>
      <c r="AS3" s="141" t="s">
        <v>45</v>
      </c>
      <c r="AT3" s="141" t="s">
        <v>45</v>
      </c>
      <c r="AU3" s="141" t="s">
        <v>45</v>
      </c>
      <c r="AV3" s="141" t="s">
        <v>45</v>
      </c>
      <c r="AW3" s="141" t="s">
        <v>45</v>
      </c>
      <c r="AX3" s="141" t="s">
        <v>45</v>
      </c>
      <c r="AY3" s="141" t="s">
        <v>45</v>
      </c>
    </row>
    <row r="4" spans="1:51" ht="25.5" customHeight="1" thickBot="1" x14ac:dyDescent="0.35">
      <c r="A4" s="22" t="s">
        <v>110</v>
      </c>
      <c r="B4" s="28" t="s">
        <v>48</v>
      </c>
      <c r="C4" s="28" t="s">
        <v>49</v>
      </c>
      <c r="D4" s="229" t="s">
        <v>163</v>
      </c>
      <c r="E4" s="229" t="s">
        <v>164</v>
      </c>
      <c r="F4" s="229" t="s">
        <v>190</v>
      </c>
      <c r="G4" s="28" t="s">
        <v>168</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5">
      <c r="A5" s="454">
        <v>50804292</v>
      </c>
      <c r="B5" s="455">
        <v>794.5999755859375</v>
      </c>
      <c r="C5" s="455">
        <v>0</v>
      </c>
      <c r="D5" s="455">
        <v>31</v>
      </c>
      <c r="E5" s="455">
        <v>0</v>
      </c>
      <c r="F5" s="455">
        <v>598792.8125</v>
      </c>
      <c r="G5" s="455">
        <v>28443</v>
      </c>
      <c r="H5" s="296"/>
      <c r="I5" s="296"/>
      <c r="J5" s="296"/>
      <c r="K5" s="296"/>
      <c r="L5" s="296"/>
      <c r="M5" s="296"/>
      <c r="N5" s="296"/>
      <c r="O5" s="296"/>
      <c r="P5" s="296"/>
      <c r="Q5" s="296"/>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8"/>
      <c r="AW5" s="298"/>
      <c r="AX5" s="298"/>
      <c r="AY5" s="298"/>
    </row>
    <row r="6" spans="1:51" x14ac:dyDescent="0.25">
      <c r="A6" s="454">
        <v>45781904</v>
      </c>
      <c r="B6" s="455">
        <v>645.29998779296875</v>
      </c>
      <c r="C6" s="455">
        <v>0</v>
      </c>
      <c r="D6" s="455">
        <v>28</v>
      </c>
      <c r="E6" s="455">
        <v>0</v>
      </c>
      <c r="F6" s="455">
        <v>598931.625</v>
      </c>
      <c r="G6" s="455">
        <v>28447</v>
      </c>
      <c r="H6" s="296"/>
      <c r="I6" s="296"/>
      <c r="J6" s="296"/>
      <c r="K6" s="296"/>
      <c r="L6" s="296"/>
      <c r="M6" s="296"/>
      <c r="N6" s="296"/>
      <c r="O6" s="296"/>
      <c r="P6" s="296"/>
      <c r="Q6" s="296"/>
      <c r="R6" s="299"/>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row>
    <row r="7" spans="1:51" x14ac:dyDescent="0.25">
      <c r="A7" s="454">
        <v>47524280</v>
      </c>
      <c r="B7" s="455">
        <v>568.5999755859375</v>
      </c>
      <c r="C7" s="455">
        <v>0</v>
      </c>
      <c r="D7" s="455">
        <v>31</v>
      </c>
      <c r="E7" s="455">
        <v>1</v>
      </c>
      <c r="F7" s="455">
        <v>599070.5</v>
      </c>
      <c r="G7" s="455">
        <v>28437</v>
      </c>
      <c r="H7" s="296"/>
      <c r="I7" s="296"/>
      <c r="J7" s="296"/>
      <c r="K7" s="296"/>
      <c r="L7" s="296"/>
      <c r="M7" s="296"/>
      <c r="N7" s="296"/>
      <c r="O7" s="296"/>
      <c r="P7" s="296"/>
      <c r="Q7" s="296"/>
      <c r="R7" s="299"/>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row>
    <row r="8" spans="1:51" x14ac:dyDescent="0.25">
      <c r="A8" s="454">
        <v>41210368</v>
      </c>
      <c r="B8" s="455">
        <v>324.89999389648438</v>
      </c>
      <c r="C8" s="455">
        <v>0.40000000596046448</v>
      </c>
      <c r="D8" s="455">
        <v>30</v>
      </c>
      <c r="E8" s="455">
        <v>1</v>
      </c>
      <c r="F8" s="455">
        <v>599209.3125</v>
      </c>
      <c r="G8" s="455">
        <v>28398</v>
      </c>
      <c r="H8" s="296"/>
      <c r="I8" s="296"/>
      <c r="J8" s="296"/>
      <c r="K8" s="296"/>
      <c r="L8" s="296"/>
      <c r="M8" s="296"/>
      <c r="N8" s="296"/>
      <c r="O8" s="296"/>
      <c r="P8" s="296"/>
      <c r="Q8" s="296"/>
      <c r="R8" s="299"/>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row>
    <row r="9" spans="1:51" x14ac:dyDescent="0.25">
      <c r="A9" s="454">
        <v>40641592</v>
      </c>
      <c r="B9" s="455">
        <v>136</v>
      </c>
      <c r="C9" s="455">
        <v>12.5</v>
      </c>
      <c r="D9" s="455">
        <v>31</v>
      </c>
      <c r="E9" s="455">
        <v>1</v>
      </c>
      <c r="F9" s="455">
        <v>599348.1875</v>
      </c>
      <c r="G9" s="455">
        <v>28386</v>
      </c>
      <c r="H9" s="296"/>
      <c r="I9" s="296"/>
      <c r="J9" s="296"/>
      <c r="K9" s="296"/>
      <c r="L9" s="296"/>
      <c r="M9" s="296"/>
      <c r="N9" s="296"/>
      <c r="O9" s="296"/>
      <c r="P9" s="296"/>
      <c r="Q9" s="296"/>
      <c r="R9" s="299"/>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row>
    <row r="10" spans="1:51" x14ac:dyDescent="0.25">
      <c r="A10" s="454">
        <v>42946556</v>
      </c>
      <c r="B10" s="455">
        <v>22.700000762939453</v>
      </c>
      <c r="C10" s="455">
        <v>40.200000762939453</v>
      </c>
      <c r="D10" s="455">
        <v>30</v>
      </c>
      <c r="E10" s="455">
        <v>0</v>
      </c>
      <c r="F10" s="456">
        <v>599487</v>
      </c>
      <c r="G10" s="455">
        <v>28410</v>
      </c>
      <c r="H10" s="296"/>
      <c r="I10" s="296"/>
      <c r="J10" s="296"/>
      <c r="K10" s="296"/>
      <c r="L10" s="296"/>
      <c r="M10" s="296"/>
      <c r="N10" s="296"/>
      <c r="O10" s="296"/>
      <c r="P10" s="296"/>
      <c r="Q10" s="296"/>
      <c r="R10" s="299"/>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row>
    <row r="11" spans="1:51" x14ac:dyDescent="0.25">
      <c r="A11" s="454">
        <v>53131848</v>
      </c>
      <c r="B11" s="455">
        <v>0.20000000298023224</v>
      </c>
      <c r="C11" s="455">
        <v>158.60000610351563</v>
      </c>
      <c r="D11" s="455">
        <v>31</v>
      </c>
      <c r="E11" s="455">
        <v>0</v>
      </c>
      <c r="F11" s="455">
        <v>599625.875</v>
      </c>
      <c r="G11" s="455">
        <v>28362</v>
      </c>
      <c r="H11" s="296"/>
      <c r="I11" s="296"/>
      <c r="J11" s="296"/>
      <c r="K11" s="296"/>
      <c r="L11" s="296"/>
      <c r="M11" s="296"/>
      <c r="N11" s="296"/>
      <c r="O11" s="296"/>
      <c r="P11" s="296"/>
      <c r="Q11" s="296"/>
      <c r="R11" s="299"/>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row>
    <row r="12" spans="1:51" x14ac:dyDescent="0.25">
      <c r="A12" s="454">
        <v>50050572</v>
      </c>
      <c r="B12" s="455">
        <v>4.0999999046325684</v>
      </c>
      <c r="C12" s="455">
        <v>88.800003051757813</v>
      </c>
      <c r="D12" s="455">
        <v>31</v>
      </c>
      <c r="E12" s="455">
        <v>0</v>
      </c>
      <c r="F12" s="455">
        <v>599764.75</v>
      </c>
      <c r="G12" s="455">
        <v>28364</v>
      </c>
      <c r="H12" s="296"/>
      <c r="I12" s="296"/>
      <c r="J12" s="296"/>
      <c r="K12" s="296"/>
      <c r="L12" s="296"/>
      <c r="M12" s="296"/>
      <c r="N12" s="296"/>
      <c r="O12" s="296"/>
      <c r="P12" s="296"/>
      <c r="Q12" s="296"/>
      <c r="R12" s="299"/>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row>
    <row r="13" spans="1:51" x14ac:dyDescent="0.25">
      <c r="A13" s="454">
        <v>42522856</v>
      </c>
      <c r="B13" s="455">
        <v>55.5</v>
      </c>
      <c r="C13" s="455">
        <v>29.5</v>
      </c>
      <c r="D13" s="455">
        <v>30</v>
      </c>
      <c r="E13" s="455">
        <v>1</v>
      </c>
      <c r="F13" s="455">
        <v>599903.5625</v>
      </c>
      <c r="G13" s="455">
        <v>28384</v>
      </c>
      <c r="H13" s="296"/>
      <c r="I13" s="296"/>
      <c r="J13" s="296"/>
      <c r="K13" s="296"/>
      <c r="L13" s="296"/>
      <c r="M13" s="296"/>
      <c r="N13" s="296"/>
      <c r="O13" s="296"/>
      <c r="P13" s="296"/>
      <c r="Q13" s="296"/>
      <c r="R13" s="299"/>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row>
    <row r="14" spans="1:51" x14ac:dyDescent="0.25">
      <c r="A14" s="454">
        <v>41089492</v>
      </c>
      <c r="B14" s="455">
        <v>238.80000305175781</v>
      </c>
      <c r="C14" s="455">
        <v>0</v>
      </c>
      <c r="D14" s="455">
        <v>31</v>
      </c>
      <c r="E14" s="455">
        <v>1</v>
      </c>
      <c r="F14" s="455">
        <v>600042.4375</v>
      </c>
      <c r="G14" s="455">
        <v>28497</v>
      </c>
      <c r="H14" s="296"/>
      <c r="I14" s="296"/>
      <c r="J14" s="296"/>
      <c r="K14" s="296"/>
      <c r="L14" s="296"/>
      <c r="M14" s="296"/>
      <c r="N14" s="296"/>
      <c r="O14" s="296"/>
      <c r="P14" s="296"/>
      <c r="Q14" s="296"/>
      <c r="R14" s="299"/>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row>
    <row r="15" spans="1:51" x14ac:dyDescent="0.25">
      <c r="A15" s="454">
        <v>41565420</v>
      </c>
      <c r="B15" s="455">
        <v>320</v>
      </c>
      <c r="C15" s="455">
        <v>0</v>
      </c>
      <c r="D15" s="455">
        <v>30</v>
      </c>
      <c r="E15" s="455">
        <v>1</v>
      </c>
      <c r="F15" s="455">
        <v>600181.25</v>
      </c>
      <c r="G15" s="455">
        <v>28559</v>
      </c>
      <c r="H15" s="296"/>
      <c r="I15" s="296"/>
      <c r="J15" s="296"/>
      <c r="K15" s="296"/>
      <c r="L15" s="296"/>
      <c r="M15" s="296"/>
      <c r="N15" s="296"/>
      <c r="O15" s="296"/>
      <c r="P15" s="296"/>
      <c r="Q15" s="296"/>
      <c r="R15" s="299"/>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row>
    <row r="16" spans="1:51" x14ac:dyDescent="0.25">
      <c r="A16" s="454">
        <v>45507120</v>
      </c>
      <c r="B16" s="455">
        <v>512</v>
      </c>
      <c r="C16" s="455">
        <v>0</v>
      </c>
      <c r="D16" s="455">
        <v>31</v>
      </c>
      <c r="E16" s="455">
        <v>0</v>
      </c>
      <c r="F16" s="455">
        <v>600320.125</v>
      </c>
      <c r="G16" s="455">
        <v>28539</v>
      </c>
      <c r="H16" s="296"/>
      <c r="I16" s="296"/>
      <c r="J16" s="296"/>
      <c r="K16" s="296"/>
      <c r="L16" s="296"/>
      <c r="M16" s="296"/>
      <c r="N16" s="296"/>
      <c r="O16" s="296"/>
      <c r="P16" s="296"/>
      <c r="Q16" s="296"/>
      <c r="R16" s="299"/>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row>
    <row r="17" spans="1:51" x14ac:dyDescent="0.25">
      <c r="A17" s="454">
        <v>47398740</v>
      </c>
      <c r="B17" s="455">
        <v>600.79998779296875</v>
      </c>
      <c r="C17" s="455">
        <v>0</v>
      </c>
      <c r="D17" s="455">
        <v>31</v>
      </c>
      <c r="E17" s="455">
        <v>0</v>
      </c>
      <c r="F17" s="455">
        <v>608498.875</v>
      </c>
      <c r="G17" s="455">
        <v>28599</v>
      </c>
      <c r="H17" s="296"/>
      <c r="I17" s="296"/>
      <c r="J17" s="296"/>
      <c r="K17" s="296"/>
      <c r="L17" s="296"/>
      <c r="M17" s="296"/>
      <c r="N17" s="296"/>
      <c r="O17" s="296"/>
      <c r="P17" s="296"/>
      <c r="Q17" s="296"/>
      <c r="R17" s="299"/>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row>
    <row r="18" spans="1:51" x14ac:dyDescent="0.25">
      <c r="A18" s="454">
        <v>43676184</v>
      </c>
      <c r="B18" s="455">
        <v>533.20001220703125</v>
      </c>
      <c r="C18" s="455">
        <v>0</v>
      </c>
      <c r="D18" s="468">
        <v>29</v>
      </c>
      <c r="E18" s="455">
        <v>0</v>
      </c>
      <c r="F18" s="455">
        <v>616677.625</v>
      </c>
      <c r="G18" s="455">
        <v>28605</v>
      </c>
      <c r="H18" s="296"/>
      <c r="I18" s="296"/>
      <c r="J18" s="296"/>
      <c r="K18" s="296"/>
      <c r="L18" s="296"/>
      <c r="M18" s="296"/>
      <c r="N18" s="296"/>
      <c r="O18" s="296"/>
      <c r="P18" s="296"/>
      <c r="Q18" s="296"/>
      <c r="R18" s="299"/>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row>
    <row r="19" spans="1:51" x14ac:dyDescent="0.25">
      <c r="A19" s="454">
        <v>42461220</v>
      </c>
      <c r="B19" s="455">
        <v>333.79998779296875</v>
      </c>
      <c r="C19" s="455">
        <v>0</v>
      </c>
      <c r="D19" s="455">
        <v>31</v>
      </c>
      <c r="E19" s="455">
        <v>1</v>
      </c>
      <c r="F19" s="455">
        <v>624856.375</v>
      </c>
      <c r="G19" s="455">
        <v>28561</v>
      </c>
      <c r="H19" s="296"/>
      <c r="I19" s="296"/>
      <c r="J19" s="296"/>
      <c r="K19" s="296"/>
      <c r="L19" s="296"/>
      <c r="M19" s="296"/>
      <c r="N19" s="296"/>
      <c r="O19" s="296"/>
      <c r="P19" s="296"/>
      <c r="Q19" s="296"/>
      <c r="R19" s="299"/>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row>
    <row r="20" spans="1:51" x14ac:dyDescent="0.25">
      <c r="A20" s="454">
        <v>38951924</v>
      </c>
      <c r="B20" s="455">
        <v>340.5</v>
      </c>
      <c r="C20" s="455">
        <v>0</v>
      </c>
      <c r="D20" s="455">
        <v>30</v>
      </c>
      <c r="E20" s="455">
        <v>1</v>
      </c>
      <c r="F20" s="455">
        <v>633035.125</v>
      </c>
      <c r="G20" s="455">
        <v>28583</v>
      </c>
      <c r="H20" s="296"/>
      <c r="I20" s="296"/>
      <c r="J20" s="296"/>
      <c r="K20" s="296"/>
      <c r="L20" s="296"/>
      <c r="M20" s="296"/>
      <c r="N20" s="296"/>
      <c r="O20" s="296"/>
      <c r="P20" s="296"/>
      <c r="Q20" s="296"/>
      <c r="R20" s="299"/>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row>
    <row r="21" spans="1:51" x14ac:dyDescent="0.25">
      <c r="A21" s="454">
        <v>40347076</v>
      </c>
      <c r="B21" s="455">
        <v>82.300003051757813</v>
      </c>
      <c r="C21" s="455">
        <v>28.899999618530273</v>
      </c>
      <c r="D21" s="455">
        <v>31</v>
      </c>
      <c r="E21" s="455">
        <v>1</v>
      </c>
      <c r="F21" s="455">
        <v>641213.875</v>
      </c>
      <c r="G21" s="455">
        <v>28574</v>
      </c>
      <c r="H21" s="296"/>
      <c r="I21" s="296"/>
      <c r="J21" s="296"/>
      <c r="K21" s="296"/>
      <c r="L21" s="296"/>
      <c r="M21" s="296"/>
      <c r="N21" s="296"/>
      <c r="O21" s="296"/>
      <c r="P21" s="296"/>
      <c r="Q21" s="296"/>
      <c r="R21" s="299"/>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row>
    <row r="22" spans="1:51" x14ac:dyDescent="0.25">
      <c r="A22" s="454">
        <v>43608316</v>
      </c>
      <c r="B22" s="455">
        <v>31.600000381469727</v>
      </c>
      <c r="C22" s="455">
        <v>64.599998474121094</v>
      </c>
      <c r="D22" s="455">
        <v>30</v>
      </c>
      <c r="E22" s="455">
        <v>0</v>
      </c>
      <c r="F22" s="455">
        <v>649392.625</v>
      </c>
      <c r="G22" s="455">
        <v>28616</v>
      </c>
      <c r="H22" s="296"/>
      <c r="I22" s="296"/>
      <c r="J22" s="296"/>
      <c r="K22" s="296"/>
      <c r="L22" s="296"/>
      <c r="M22" s="296"/>
      <c r="N22" s="296"/>
      <c r="O22" s="296"/>
      <c r="P22" s="296"/>
      <c r="Q22" s="296"/>
      <c r="R22" s="299"/>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row>
    <row r="23" spans="1:51" x14ac:dyDescent="0.25">
      <c r="A23" s="454">
        <v>52491400</v>
      </c>
      <c r="B23" s="455">
        <v>0</v>
      </c>
      <c r="C23" s="455">
        <v>152.89999389648438</v>
      </c>
      <c r="D23" s="455">
        <v>31</v>
      </c>
      <c r="E23" s="455">
        <v>0</v>
      </c>
      <c r="F23" s="455">
        <v>657571.375</v>
      </c>
      <c r="G23" s="455">
        <v>28618</v>
      </c>
      <c r="H23" s="296"/>
      <c r="I23" s="296"/>
      <c r="J23" s="296"/>
      <c r="K23" s="296"/>
      <c r="L23" s="296"/>
      <c r="M23" s="296"/>
      <c r="N23" s="296"/>
      <c r="O23" s="296"/>
      <c r="P23" s="296"/>
      <c r="Q23" s="296"/>
      <c r="R23" s="299"/>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row>
    <row r="24" spans="1:51" x14ac:dyDescent="0.25">
      <c r="A24" s="454">
        <v>49375116</v>
      </c>
      <c r="B24" s="455">
        <v>6</v>
      </c>
      <c r="C24" s="455">
        <v>76.599998474121094</v>
      </c>
      <c r="D24" s="455">
        <v>31</v>
      </c>
      <c r="E24" s="455">
        <v>0</v>
      </c>
      <c r="F24" s="455">
        <v>665750.1875</v>
      </c>
      <c r="G24" s="455">
        <v>28610</v>
      </c>
      <c r="H24" s="296"/>
      <c r="I24" s="296"/>
      <c r="J24" s="296"/>
      <c r="K24" s="296"/>
      <c r="L24" s="296"/>
      <c r="M24" s="296"/>
      <c r="N24" s="296"/>
      <c r="O24" s="296"/>
      <c r="P24" s="296"/>
      <c r="Q24" s="296"/>
      <c r="R24" s="299"/>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row>
    <row r="25" spans="1:51" x14ac:dyDescent="0.25">
      <c r="A25" s="454">
        <v>41060276</v>
      </c>
      <c r="B25" s="455">
        <v>86.099998474121094</v>
      </c>
      <c r="C25" s="455">
        <v>28.899999618530273</v>
      </c>
      <c r="D25" s="455">
        <v>30</v>
      </c>
      <c r="E25" s="455">
        <v>1</v>
      </c>
      <c r="F25" s="455">
        <v>673928.9375</v>
      </c>
      <c r="G25" s="455">
        <v>28614</v>
      </c>
      <c r="H25" s="296"/>
      <c r="I25" s="296"/>
      <c r="J25" s="296"/>
      <c r="K25" s="296"/>
      <c r="L25" s="296"/>
      <c r="M25" s="296"/>
      <c r="N25" s="296"/>
      <c r="O25" s="296"/>
      <c r="P25" s="296"/>
      <c r="Q25" s="296"/>
      <c r="R25" s="299"/>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row>
    <row r="26" spans="1:51" x14ac:dyDescent="0.25">
      <c r="A26" s="454">
        <v>40873720</v>
      </c>
      <c r="B26" s="455">
        <v>227.39999389648438</v>
      </c>
      <c r="C26" s="455">
        <v>0.80000001192092896</v>
      </c>
      <c r="D26" s="455">
        <v>31</v>
      </c>
      <c r="E26" s="455">
        <v>1</v>
      </c>
      <c r="F26" s="455">
        <v>682107.6875</v>
      </c>
      <c r="G26" s="455">
        <v>28631</v>
      </c>
      <c r="H26" s="296"/>
      <c r="I26" s="296"/>
      <c r="J26" s="296"/>
      <c r="K26" s="296"/>
      <c r="L26" s="296"/>
      <c r="M26" s="296"/>
      <c r="N26" s="296"/>
      <c r="O26" s="296"/>
      <c r="P26" s="296"/>
      <c r="Q26" s="296"/>
      <c r="R26" s="299"/>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row>
    <row r="27" spans="1:51" x14ac:dyDescent="0.25">
      <c r="A27" s="454">
        <v>43236856</v>
      </c>
      <c r="B27" s="455">
        <v>432.39999389648438</v>
      </c>
      <c r="C27" s="455">
        <v>0</v>
      </c>
      <c r="D27" s="455">
        <v>30</v>
      </c>
      <c r="E27" s="455">
        <v>1</v>
      </c>
      <c r="F27" s="455">
        <v>690286.4375</v>
      </c>
      <c r="G27" s="455">
        <v>28647</v>
      </c>
      <c r="H27" s="296"/>
      <c r="I27" s="296"/>
      <c r="J27" s="296"/>
      <c r="K27" s="296"/>
      <c r="L27" s="296"/>
      <c r="M27" s="296"/>
      <c r="N27" s="296"/>
      <c r="O27" s="296"/>
      <c r="P27" s="296"/>
      <c r="Q27" s="296"/>
      <c r="R27" s="299"/>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row>
    <row r="28" spans="1:51" x14ac:dyDescent="0.25">
      <c r="A28" s="454">
        <v>45273400</v>
      </c>
      <c r="B28" s="455">
        <v>505.10000610351563</v>
      </c>
      <c r="C28" s="455">
        <v>0</v>
      </c>
      <c r="D28" s="455">
        <v>31</v>
      </c>
      <c r="E28" s="455">
        <v>0</v>
      </c>
      <c r="F28" s="455">
        <v>698465.1875</v>
      </c>
      <c r="G28" s="455">
        <v>28658</v>
      </c>
      <c r="H28" s="296"/>
      <c r="I28" s="296"/>
      <c r="J28" s="296"/>
      <c r="K28" s="296"/>
      <c r="L28" s="296"/>
      <c r="M28" s="296"/>
      <c r="N28" s="296"/>
      <c r="O28" s="296"/>
      <c r="P28" s="296"/>
      <c r="Q28" s="296"/>
      <c r="R28" s="299"/>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row>
    <row r="29" spans="1:51" x14ac:dyDescent="0.25">
      <c r="A29" s="454">
        <v>48805164</v>
      </c>
      <c r="B29" s="455">
        <v>617.29998779296875</v>
      </c>
      <c r="C29" s="455">
        <v>0</v>
      </c>
      <c r="D29" s="455">
        <v>31</v>
      </c>
      <c r="E29" s="455">
        <v>0</v>
      </c>
      <c r="F29" s="455">
        <v>713105.625</v>
      </c>
      <c r="G29" s="455">
        <v>28708</v>
      </c>
      <c r="H29" s="296"/>
      <c r="I29" s="296"/>
      <c r="J29" s="296"/>
      <c r="K29" s="296"/>
      <c r="L29" s="296"/>
      <c r="M29" s="296"/>
      <c r="N29" s="296"/>
      <c r="O29" s="296"/>
      <c r="P29" s="296"/>
      <c r="Q29" s="296"/>
      <c r="R29" s="299"/>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row>
    <row r="30" spans="1:51" x14ac:dyDescent="0.25">
      <c r="A30" s="454">
        <v>44143448</v>
      </c>
      <c r="B30" s="455">
        <v>640.0999755859375</v>
      </c>
      <c r="C30" s="455">
        <v>0</v>
      </c>
      <c r="D30" s="455">
        <v>28</v>
      </c>
      <c r="E30" s="455">
        <v>0</v>
      </c>
      <c r="F30" s="455">
        <v>727746.0625</v>
      </c>
      <c r="G30" s="455">
        <v>28707</v>
      </c>
      <c r="H30" s="296"/>
      <c r="I30" s="296"/>
      <c r="J30" s="296"/>
      <c r="K30" s="296"/>
      <c r="L30" s="296"/>
      <c r="M30" s="296"/>
      <c r="N30" s="296"/>
      <c r="O30" s="296"/>
      <c r="P30" s="296"/>
      <c r="Q30" s="296"/>
      <c r="R30" s="299"/>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row>
    <row r="31" spans="1:51" x14ac:dyDescent="0.25">
      <c r="A31" s="454">
        <v>44262820</v>
      </c>
      <c r="B31" s="455">
        <v>555.4000244140625</v>
      </c>
      <c r="C31" s="455">
        <v>0</v>
      </c>
      <c r="D31" s="455">
        <v>31</v>
      </c>
      <c r="E31" s="455">
        <v>1</v>
      </c>
      <c r="F31" s="455">
        <v>742386.5</v>
      </c>
      <c r="G31" s="455">
        <v>28697</v>
      </c>
      <c r="H31" s="296"/>
      <c r="I31" s="296"/>
      <c r="J31" s="296"/>
      <c r="K31" s="296"/>
      <c r="L31" s="296"/>
      <c r="M31" s="296"/>
      <c r="N31" s="296"/>
      <c r="O31" s="296"/>
      <c r="P31" s="296"/>
      <c r="Q31" s="296"/>
      <c r="R31" s="299"/>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row>
    <row r="32" spans="1:51" x14ac:dyDescent="0.25">
      <c r="A32" s="454">
        <v>39050552</v>
      </c>
      <c r="B32" s="455">
        <v>339.89999389648438</v>
      </c>
      <c r="C32" s="455">
        <v>0</v>
      </c>
      <c r="D32" s="455">
        <v>30</v>
      </c>
      <c r="E32" s="455">
        <v>1</v>
      </c>
      <c r="F32" s="455">
        <v>757026.9375</v>
      </c>
      <c r="G32" s="455">
        <v>28661</v>
      </c>
      <c r="H32" s="296"/>
      <c r="I32" s="296"/>
      <c r="J32" s="296"/>
      <c r="K32" s="296"/>
      <c r="L32" s="296"/>
      <c r="M32" s="296"/>
      <c r="N32" s="296"/>
      <c r="O32" s="296"/>
      <c r="P32" s="296"/>
      <c r="Q32" s="296"/>
      <c r="R32" s="299"/>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row>
    <row r="33" spans="1:51" x14ac:dyDescent="0.25">
      <c r="A33" s="454">
        <v>38719228</v>
      </c>
      <c r="B33" s="455">
        <v>116.5</v>
      </c>
      <c r="C33" s="455">
        <v>24.200000762939453</v>
      </c>
      <c r="D33" s="455">
        <v>31</v>
      </c>
      <c r="E33" s="455">
        <v>1</v>
      </c>
      <c r="F33" s="455">
        <v>771667.375</v>
      </c>
      <c r="G33" s="455">
        <v>28653</v>
      </c>
      <c r="H33" s="296"/>
      <c r="I33" s="296"/>
      <c r="J33" s="296"/>
      <c r="K33" s="296"/>
      <c r="L33" s="296"/>
      <c r="M33" s="296"/>
      <c r="N33" s="296"/>
      <c r="O33" s="296"/>
      <c r="P33" s="296"/>
      <c r="Q33" s="296"/>
      <c r="R33" s="299"/>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row>
    <row r="34" spans="1:51" x14ac:dyDescent="0.25">
      <c r="A34" s="454">
        <v>40344360</v>
      </c>
      <c r="B34" s="455">
        <v>42.799999237060547</v>
      </c>
      <c r="C34" s="455">
        <v>48.5</v>
      </c>
      <c r="D34" s="455">
        <v>30</v>
      </c>
      <c r="E34" s="455">
        <v>0</v>
      </c>
      <c r="F34" s="456">
        <v>786307.8125</v>
      </c>
      <c r="G34" s="455">
        <v>28656</v>
      </c>
      <c r="H34" s="296"/>
      <c r="I34" s="296"/>
      <c r="J34" s="296"/>
      <c r="K34" s="296"/>
      <c r="L34" s="296"/>
      <c r="M34" s="296"/>
      <c r="N34" s="296"/>
      <c r="O34" s="296"/>
      <c r="P34" s="296"/>
      <c r="Q34" s="296"/>
      <c r="R34" s="299"/>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row>
    <row r="35" spans="1:51" x14ac:dyDescent="0.25">
      <c r="A35" s="454">
        <v>49578784</v>
      </c>
      <c r="B35" s="455">
        <v>5.5</v>
      </c>
      <c r="C35" s="455">
        <v>117</v>
      </c>
      <c r="D35" s="455">
        <v>31</v>
      </c>
      <c r="E35" s="455">
        <v>0</v>
      </c>
      <c r="F35" s="455">
        <v>800948.25</v>
      </c>
      <c r="G35" s="455">
        <v>28691</v>
      </c>
      <c r="H35" s="296"/>
      <c r="I35" s="296"/>
      <c r="J35" s="296"/>
      <c r="K35" s="296"/>
      <c r="L35" s="296"/>
      <c r="M35" s="296"/>
      <c r="N35" s="296"/>
      <c r="O35" s="296"/>
      <c r="P35" s="296"/>
      <c r="Q35" s="296"/>
      <c r="R35" s="299"/>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row>
    <row r="36" spans="1:51" x14ac:dyDescent="0.25">
      <c r="A36" s="454">
        <v>45746916</v>
      </c>
      <c r="B36" s="455">
        <v>19.100000381469727</v>
      </c>
      <c r="C36" s="455">
        <v>113</v>
      </c>
      <c r="D36" s="455">
        <v>31</v>
      </c>
      <c r="E36" s="455">
        <v>0</v>
      </c>
      <c r="F36" s="455">
        <v>815588.6875</v>
      </c>
      <c r="G36" s="455">
        <v>28674</v>
      </c>
      <c r="H36" s="296"/>
      <c r="I36" s="296"/>
      <c r="J36" s="296"/>
      <c r="K36" s="296"/>
      <c r="L36" s="296"/>
      <c r="M36" s="296"/>
      <c r="N36" s="296"/>
      <c r="O36" s="296"/>
      <c r="P36" s="296"/>
      <c r="Q36" s="296"/>
      <c r="R36" s="299"/>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row>
    <row r="37" spans="1:51" x14ac:dyDescent="0.25">
      <c r="A37" s="454">
        <v>39397076</v>
      </c>
      <c r="B37" s="455">
        <v>110.40000152587891</v>
      </c>
      <c r="C37" s="455">
        <v>22.899999618530273</v>
      </c>
      <c r="D37" s="455">
        <v>30</v>
      </c>
      <c r="E37" s="455">
        <v>1</v>
      </c>
      <c r="F37" s="455">
        <v>830229.125</v>
      </c>
      <c r="G37" s="455">
        <v>28700</v>
      </c>
      <c r="H37" s="296"/>
      <c r="I37" s="296"/>
      <c r="J37" s="296"/>
      <c r="K37" s="296"/>
      <c r="L37" s="296"/>
      <c r="M37" s="296"/>
      <c r="N37" s="296"/>
      <c r="O37" s="296"/>
      <c r="P37" s="296"/>
      <c r="Q37" s="296"/>
      <c r="R37" s="299"/>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row>
    <row r="38" spans="1:51" x14ac:dyDescent="0.25">
      <c r="A38" s="454">
        <v>39904312</v>
      </c>
      <c r="B38" s="455">
        <v>211.5</v>
      </c>
      <c r="C38" s="455">
        <v>4.1999998092651367</v>
      </c>
      <c r="D38" s="455">
        <v>31</v>
      </c>
      <c r="E38" s="455">
        <v>1</v>
      </c>
      <c r="F38" s="455">
        <v>844869.5</v>
      </c>
      <c r="G38" s="455">
        <v>28700</v>
      </c>
      <c r="H38" s="296"/>
      <c r="I38" s="296"/>
      <c r="J38" s="296"/>
      <c r="K38" s="296"/>
      <c r="L38" s="296"/>
      <c r="M38" s="296"/>
      <c r="N38" s="296"/>
      <c r="O38" s="296"/>
      <c r="P38" s="296"/>
      <c r="Q38" s="296"/>
      <c r="R38" s="299"/>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row>
    <row r="39" spans="1:51" x14ac:dyDescent="0.25">
      <c r="A39" s="454">
        <v>42170680</v>
      </c>
      <c r="B39" s="455">
        <v>460.70001220703125</v>
      </c>
      <c r="C39" s="455">
        <v>0</v>
      </c>
      <c r="D39" s="455">
        <v>30</v>
      </c>
      <c r="E39" s="455">
        <v>1</v>
      </c>
      <c r="F39" s="455">
        <v>859509.9375</v>
      </c>
      <c r="G39" s="455">
        <v>28704</v>
      </c>
      <c r="H39" s="296"/>
      <c r="I39" s="296"/>
      <c r="J39" s="296"/>
      <c r="K39" s="296"/>
      <c r="L39" s="296"/>
      <c r="M39" s="296"/>
      <c r="N39" s="296"/>
      <c r="O39" s="296"/>
      <c r="P39" s="296"/>
      <c r="Q39" s="296"/>
      <c r="R39" s="299"/>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row>
    <row r="40" spans="1:51" x14ac:dyDescent="0.25">
      <c r="A40" s="454">
        <v>47174228</v>
      </c>
      <c r="B40" s="455">
        <v>656.4000244140625</v>
      </c>
      <c r="C40" s="455">
        <v>0</v>
      </c>
      <c r="D40" s="455">
        <v>31</v>
      </c>
      <c r="E40" s="455">
        <v>0</v>
      </c>
      <c r="F40" s="455">
        <v>874150.375</v>
      </c>
      <c r="G40" s="455">
        <v>28722</v>
      </c>
      <c r="H40" s="296"/>
      <c r="I40" s="296"/>
      <c r="J40" s="296"/>
      <c r="K40" s="296"/>
      <c r="L40" s="296"/>
      <c r="M40" s="296"/>
      <c r="N40" s="296"/>
      <c r="O40" s="296"/>
      <c r="P40" s="296"/>
      <c r="Q40" s="296"/>
      <c r="R40" s="299"/>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row>
    <row r="41" spans="1:51" x14ac:dyDescent="0.25">
      <c r="A41" s="454">
        <v>51390000</v>
      </c>
      <c r="B41" s="455">
        <v>783.20001220703125</v>
      </c>
      <c r="C41" s="455">
        <v>0</v>
      </c>
      <c r="D41" s="455">
        <v>31</v>
      </c>
      <c r="E41" s="455">
        <v>0</v>
      </c>
      <c r="F41" s="455">
        <v>893476.0625</v>
      </c>
      <c r="G41" s="455">
        <v>28748</v>
      </c>
      <c r="H41" s="296"/>
      <c r="I41" s="296"/>
      <c r="J41" s="296"/>
      <c r="K41" s="296"/>
      <c r="L41" s="296"/>
      <c r="M41" s="296"/>
      <c r="N41" s="296"/>
      <c r="O41" s="296"/>
      <c r="P41" s="296"/>
      <c r="Q41" s="296"/>
      <c r="R41" s="299"/>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row>
    <row r="42" spans="1:51" x14ac:dyDescent="0.25">
      <c r="A42" s="454">
        <v>45472280</v>
      </c>
      <c r="B42" s="455">
        <v>743.70001220703125</v>
      </c>
      <c r="C42" s="455">
        <v>0</v>
      </c>
      <c r="D42" s="455">
        <v>28</v>
      </c>
      <c r="E42" s="455">
        <v>0</v>
      </c>
      <c r="F42" s="455">
        <v>912801.75</v>
      </c>
      <c r="G42" s="455">
        <v>28744</v>
      </c>
      <c r="H42" s="296"/>
      <c r="I42" s="296"/>
      <c r="J42" s="296"/>
      <c r="K42" s="296"/>
      <c r="L42" s="296"/>
      <c r="M42" s="296"/>
      <c r="N42" s="296"/>
      <c r="O42" s="296"/>
      <c r="P42" s="296"/>
      <c r="Q42" s="296"/>
      <c r="R42" s="299"/>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row>
    <row r="43" spans="1:51" x14ac:dyDescent="0.25">
      <c r="A43" s="454">
        <v>46765108</v>
      </c>
      <c r="B43" s="455">
        <v>692.29998779296875</v>
      </c>
      <c r="C43" s="455">
        <v>0</v>
      </c>
      <c r="D43" s="455">
        <v>31</v>
      </c>
      <c r="E43" s="455">
        <v>1</v>
      </c>
      <c r="F43" s="455">
        <v>932127.4375</v>
      </c>
      <c r="G43" s="455">
        <v>28756</v>
      </c>
      <c r="H43" s="296"/>
      <c r="I43" s="296"/>
      <c r="J43" s="296"/>
      <c r="K43" s="296"/>
      <c r="L43" s="296"/>
      <c r="M43" s="296"/>
      <c r="N43" s="296"/>
      <c r="O43" s="296"/>
      <c r="P43" s="296"/>
      <c r="Q43" s="296"/>
      <c r="R43" s="299"/>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row>
    <row r="44" spans="1:51" x14ac:dyDescent="0.25">
      <c r="A44" s="454">
        <v>39341380</v>
      </c>
      <c r="B44" s="455">
        <v>338.39999389648438</v>
      </c>
      <c r="C44" s="455">
        <v>0</v>
      </c>
      <c r="D44" s="455">
        <v>30</v>
      </c>
      <c r="E44" s="455">
        <v>1</v>
      </c>
      <c r="F44" s="455">
        <v>951453.125</v>
      </c>
      <c r="G44" s="455">
        <v>28739</v>
      </c>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row>
    <row r="45" spans="1:51" x14ac:dyDescent="0.25">
      <c r="A45" s="454">
        <v>37926096</v>
      </c>
      <c r="B45" s="455">
        <v>147.69999694824219</v>
      </c>
      <c r="C45" s="455">
        <v>7.3000001907348633</v>
      </c>
      <c r="D45" s="455">
        <v>31</v>
      </c>
      <c r="E45" s="455">
        <v>1</v>
      </c>
      <c r="F45" s="455">
        <v>970778.75</v>
      </c>
      <c r="G45" s="455">
        <v>28715</v>
      </c>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296"/>
      <c r="AR45" s="296"/>
      <c r="AS45" s="296"/>
      <c r="AT45" s="296"/>
      <c r="AU45" s="296"/>
      <c r="AV45" s="296"/>
      <c r="AW45" s="296"/>
      <c r="AX45" s="296"/>
      <c r="AY45" s="296"/>
    </row>
    <row r="46" spans="1:51" x14ac:dyDescent="0.25">
      <c r="A46" s="454">
        <v>41733660</v>
      </c>
      <c r="B46" s="455">
        <v>21.299999237060547</v>
      </c>
      <c r="C46" s="455">
        <v>69</v>
      </c>
      <c r="D46" s="455">
        <v>30</v>
      </c>
      <c r="E46" s="455">
        <v>0</v>
      </c>
      <c r="F46" s="455">
        <v>990104.4375</v>
      </c>
      <c r="G46" s="455">
        <v>28716</v>
      </c>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row>
    <row r="47" spans="1:51" x14ac:dyDescent="0.25">
      <c r="A47" s="454">
        <v>45150484</v>
      </c>
      <c r="B47" s="455">
        <v>13.699999809265137</v>
      </c>
      <c r="C47" s="455">
        <v>51</v>
      </c>
      <c r="D47" s="455">
        <v>31</v>
      </c>
      <c r="E47" s="455">
        <v>0</v>
      </c>
      <c r="F47" s="455">
        <v>1009430.125</v>
      </c>
      <c r="G47" s="455">
        <v>28720</v>
      </c>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296"/>
      <c r="AR47" s="296"/>
      <c r="AS47" s="296"/>
      <c r="AT47" s="296"/>
      <c r="AU47" s="296"/>
      <c r="AV47" s="296"/>
      <c r="AW47" s="296"/>
      <c r="AX47" s="296"/>
      <c r="AY47" s="296"/>
    </row>
    <row r="48" spans="1:51" x14ac:dyDescent="0.25">
      <c r="A48" s="454">
        <v>44137108</v>
      </c>
      <c r="B48" s="455">
        <v>12</v>
      </c>
      <c r="C48" s="455">
        <v>59</v>
      </c>
      <c r="D48" s="455">
        <v>31</v>
      </c>
      <c r="E48" s="455">
        <v>0</v>
      </c>
      <c r="F48" s="455">
        <v>1028755.8125</v>
      </c>
      <c r="G48" s="455">
        <v>28724</v>
      </c>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6"/>
      <c r="AT48" s="296"/>
      <c r="AU48" s="296"/>
      <c r="AV48" s="296"/>
      <c r="AW48" s="296"/>
      <c r="AX48" s="296"/>
      <c r="AY48" s="296"/>
    </row>
    <row r="49" spans="1:51" x14ac:dyDescent="0.25">
      <c r="A49" s="454">
        <v>39520400</v>
      </c>
      <c r="B49" s="455">
        <v>85.300003051757813</v>
      </c>
      <c r="C49" s="455">
        <v>27.5</v>
      </c>
      <c r="D49" s="455">
        <v>30</v>
      </c>
      <c r="E49" s="455">
        <v>1</v>
      </c>
      <c r="F49" s="455">
        <v>1048081.5</v>
      </c>
      <c r="G49" s="455">
        <v>28750</v>
      </c>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6"/>
      <c r="AY49" s="296"/>
    </row>
    <row r="50" spans="1:51" x14ac:dyDescent="0.25">
      <c r="A50" s="454">
        <v>39263904</v>
      </c>
      <c r="B50" s="455">
        <v>225.10000610351563</v>
      </c>
      <c r="C50" s="455">
        <v>5.9000000953674316</v>
      </c>
      <c r="D50" s="455">
        <v>31</v>
      </c>
      <c r="E50" s="455">
        <v>1</v>
      </c>
      <c r="F50" s="455">
        <v>1067407.125</v>
      </c>
      <c r="G50" s="455">
        <v>28746</v>
      </c>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6"/>
      <c r="AY50" s="296"/>
    </row>
    <row r="51" spans="1:51" x14ac:dyDescent="0.25">
      <c r="A51" s="454">
        <v>41745116</v>
      </c>
      <c r="B51" s="455">
        <v>465.70001220703125</v>
      </c>
      <c r="C51" s="455">
        <v>0</v>
      </c>
      <c r="D51" s="455">
        <v>30</v>
      </c>
      <c r="E51" s="455">
        <v>1</v>
      </c>
      <c r="F51" s="455">
        <v>1086732.875</v>
      </c>
      <c r="G51" s="455">
        <v>28745</v>
      </c>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c r="AY51" s="296"/>
    </row>
    <row r="52" spans="1:51" x14ac:dyDescent="0.25">
      <c r="A52" s="454">
        <v>44479592</v>
      </c>
      <c r="B52" s="455">
        <v>540.79998779296875</v>
      </c>
      <c r="C52" s="455">
        <v>0</v>
      </c>
      <c r="D52" s="455">
        <v>31</v>
      </c>
      <c r="E52" s="455">
        <v>0</v>
      </c>
      <c r="F52" s="455">
        <v>1106058.5</v>
      </c>
      <c r="G52" s="455">
        <v>28755</v>
      </c>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6"/>
    </row>
    <row r="53" spans="1:51" x14ac:dyDescent="0.25">
      <c r="A53" s="454">
        <v>49496248</v>
      </c>
      <c r="B53" s="455">
        <v>771.70001220703125</v>
      </c>
      <c r="C53" s="455">
        <v>0</v>
      </c>
      <c r="D53" s="455">
        <v>31</v>
      </c>
      <c r="E53" s="455">
        <v>0</v>
      </c>
      <c r="F53" s="455">
        <v>1159263.625</v>
      </c>
      <c r="G53" s="455">
        <v>28776</v>
      </c>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row>
    <row r="54" spans="1:51" x14ac:dyDescent="0.25">
      <c r="A54" s="454">
        <v>47018548</v>
      </c>
      <c r="B54" s="455">
        <v>871.9000244140625</v>
      </c>
      <c r="C54" s="455">
        <v>0</v>
      </c>
      <c r="D54" s="455">
        <v>28</v>
      </c>
      <c r="E54" s="455">
        <v>0</v>
      </c>
      <c r="F54" s="455">
        <v>1212468.75</v>
      </c>
      <c r="G54" s="455">
        <v>28756</v>
      </c>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6"/>
    </row>
    <row r="55" spans="1:51" x14ac:dyDescent="0.25">
      <c r="A55" s="454">
        <v>45732924</v>
      </c>
      <c r="B55" s="455">
        <v>637</v>
      </c>
      <c r="C55" s="455">
        <v>0</v>
      </c>
      <c r="D55" s="455">
        <v>31</v>
      </c>
      <c r="E55" s="455">
        <v>1</v>
      </c>
      <c r="F55" s="455">
        <v>1265674</v>
      </c>
      <c r="G55" s="455">
        <v>28748</v>
      </c>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c r="AY55" s="296"/>
    </row>
    <row r="56" spans="1:51" x14ac:dyDescent="0.25">
      <c r="A56" s="454">
        <v>38385208</v>
      </c>
      <c r="B56" s="455">
        <v>330</v>
      </c>
      <c r="C56" s="455">
        <v>0</v>
      </c>
      <c r="D56" s="455">
        <v>30</v>
      </c>
      <c r="E56" s="455">
        <v>1</v>
      </c>
      <c r="F56" s="455">
        <v>1318879.125</v>
      </c>
      <c r="G56" s="455">
        <v>28733</v>
      </c>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c r="AY56" s="296"/>
    </row>
    <row r="57" spans="1:51" x14ac:dyDescent="0.25">
      <c r="A57" s="454">
        <v>37933228</v>
      </c>
      <c r="B57" s="455">
        <v>102.69999694824219</v>
      </c>
      <c r="C57" s="455">
        <v>34.200000762939453</v>
      </c>
      <c r="D57" s="455">
        <v>31</v>
      </c>
      <c r="E57" s="455">
        <v>1</v>
      </c>
      <c r="F57" s="455">
        <v>1372084.25</v>
      </c>
      <c r="G57" s="455">
        <v>28701</v>
      </c>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6"/>
      <c r="AY57" s="296"/>
    </row>
    <row r="58" spans="1:51" x14ac:dyDescent="0.25">
      <c r="A58" s="454">
        <v>39581568</v>
      </c>
      <c r="B58" s="455">
        <v>35.900001525878906</v>
      </c>
      <c r="C58" s="455">
        <v>28.600000381469727</v>
      </c>
      <c r="D58" s="455">
        <v>30</v>
      </c>
      <c r="E58" s="455">
        <v>0</v>
      </c>
      <c r="F58" s="456">
        <v>1425289.375</v>
      </c>
      <c r="G58" s="455">
        <v>28699</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6"/>
      <c r="AY58" s="296"/>
    </row>
    <row r="59" spans="1:51" x14ac:dyDescent="0.25">
      <c r="A59" s="454">
        <v>46086620</v>
      </c>
      <c r="B59" s="455">
        <v>7.5999999046325684</v>
      </c>
      <c r="C59" s="455">
        <v>79.099998474121094</v>
      </c>
      <c r="D59" s="455">
        <v>31</v>
      </c>
      <c r="E59" s="455">
        <v>0</v>
      </c>
      <c r="F59" s="455">
        <v>1478494.5</v>
      </c>
      <c r="G59" s="455">
        <v>28743</v>
      </c>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6"/>
      <c r="AY59" s="296"/>
    </row>
    <row r="60" spans="1:51" x14ac:dyDescent="0.25">
      <c r="A60" s="454">
        <v>45391564</v>
      </c>
      <c r="B60" s="455">
        <v>12</v>
      </c>
      <c r="C60" s="455">
        <v>59</v>
      </c>
      <c r="D60" s="455">
        <v>31</v>
      </c>
      <c r="E60" s="455">
        <v>0</v>
      </c>
      <c r="F60" s="455">
        <v>1531699.75</v>
      </c>
      <c r="G60" s="455">
        <v>28760</v>
      </c>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c r="AY60" s="296"/>
    </row>
    <row r="61" spans="1:51" x14ac:dyDescent="0.25">
      <c r="A61" s="454">
        <v>43332896</v>
      </c>
      <c r="B61" s="455">
        <v>37</v>
      </c>
      <c r="C61" s="455">
        <v>54.400001525878906</v>
      </c>
      <c r="D61" s="455">
        <v>30</v>
      </c>
      <c r="E61" s="455">
        <v>1</v>
      </c>
      <c r="F61" s="455">
        <v>1584904.875</v>
      </c>
      <c r="G61" s="455">
        <v>28792</v>
      </c>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6"/>
      <c r="AY61" s="296"/>
    </row>
    <row r="62" spans="1:51" x14ac:dyDescent="0.25">
      <c r="A62" s="454">
        <v>38424544</v>
      </c>
      <c r="B62" s="455">
        <v>252.30000305175781</v>
      </c>
      <c r="C62" s="455">
        <v>0.89999997615814209</v>
      </c>
      <c r="D62" s="455">
        <v>31</v>
      </c>
      <c r="E62" s="455">
        <v>1</v>
      </c>
      <c r="F62" s="455">
        <v>1638110</v>
      </c>
      <c r="G62" s="455">
        <v>28795</v>
      </c>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c r="AY62" s="296"/>
    </row>
    <row r="63" spans="1:51" x14ac:dyDescent="0.25">
      <c r="A63" s="454">
        <v>38849892</v>
      </c>
      <c r="B63" s="455">
        <v>341.39999389648438</v>
      </c>
      <c r="C63" s="455">
        <v>0</v>
      </c>
      <c r="D63" s="455">
        <v>30</v>
      </c>
      <c r="E63" s="455">
        <v>1</v>
      </c>
      <c r="F63" s="455">
        <v>1691315.125</v>
      </c>
      <c r="G63" s="455">
        <v>28801</v>
      </c>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6"/>
      <c r="AP63" s="296"/>
      <c r="AQ63" s="296"/>
      <c r="AR63" s="296"/>
      <c r="AS63" s="296"/>
      <c r="AT63" s="296"/>
      <c r="AU63" s="296"/>
      <c r="AV63" s="296"/>
      <c r="AW63" s="296"/>
      <c r="AX63" s="296"/>
      <c r="AY63" s="296"/>
    </row>
    <row r="64" spans="1:51" x14ac:dyDescent="0.25">
      <c r="A64" s="454">
        <v>41514400</v>
      </c>
      <c r="B64" s="455">
        <v>418</v>
      </c>
      <c r="C64" s="455">
        <v>0</v>
      </c>
      <c r="D64" s="455">
        <v>31</v>
      </c>
      <c r="E64" s="455">
        <v>0</v>
      </c>
      <c r="F64" s="455">
        <v>1744520.25</v>
      </c>
      <c r="G64" s="455">
        <v>28826</v>
      </c>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c r="AY64" s="296"/>
    </row>
    <row r="65" spans="1:51" x14ac:dyDescent="0.25">
      <c r="A65" s="454">
        <v>46346808</v>
      </c>
      <c r="B65" s="455">
        <v>657.20001220703125</v>
      </c>
      <c r="C65" s="455">
        <v>0</v>
      </c>
      <c r="D65" s="455">
        <v>31</v>
      </c>
      <c r="E65" s="455">
        <v>0</v>
      </c>
      <c r="F65" s="455">
        <v>1798539.375</v>
      </c>
      <c r="G65" s="455">
        <v>28830</v>
      </c>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c r="AY65" s="296"/>
    </row>
    <row r="66" spans="1:51" x14ac:dyDescent="0.25">
      <c r="A66" s="454">
        <v>43010724</v>
      </c>
      <c r="B66" s="455">
        <v>587.0999755859375</v>
      </c>
      <c r="C66" s="455">
        <v>0</v>
      </c>
      <c r="D66" s="468">
        <v>29</v>
      </c>
      <c r="E66" s="455">
        <v>0</v>
      </c>
      <c r="F66" s="455">
        <v>1852558.375</v>
      </c>
      <c r="G66" s="455">
        <v>28843</v>
      </c>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296"/>
      <c r="AY66" s="296"/>
    </row>
    <row r="67" spans="1:51" x14ac:dyDescent="0.25">
      <c r="A67" s="454">
        <v>41715724</v>
      </c>
      <c r="B67" s="455">
        <v>448.79998779296875</v>
      </c>
      <c r="C67" s="455">
        <v>0</v>
      </c>
      <c r="D67" s="455">
        <v>31</v>
      </c>
      <c r="E67" s="455">
        <v>1</v>
      </c>
      <c r="F67" s="455">
        <v>1906577.375</v>
      </c>
      <c r="G67" s="455">
        <v>28835</v>
      </c>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c r="AY67" s="296"/>
    </row>
    <row r="68" spans="1:51" x14ac:dyDescent="0.25">
      <c r="A68" s="454">
        <v>38183392</v>
      </c>
      <c r="B68" s="455">
        <v>384.10000610351563</v>
      </c>
      <c r="C68" s="455">
        <v>0</v>
      </c>
      <c r="D68" s="455">
        <v>30</v>
      </c>
      <c r="E68" s="455">
        <v>1</v>
      </c>
      <c r="F68" s="455">
        <v>1960596.375</v>
      </c>
      <c r="G68" s="455">
        <v>28853</v>
      </c>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row>
    <row r="69" spans="1:51" x14ac:dyDescent="0.25">
      <c r="A69" s="454">
        <v>37905008</v>
      </c>
      <c r="B69" s="455">
        <v>153.10000610351563</v>
      </c>
      <c r="C69" s="455">
        <v>24.399999618530273</v>
      </c>
      <c r="D69" s="455">
        <v>31</v>
      </c>
      <c r="E69" s="455">
        <v>1</v>
      </c>
      <c r="F69" s="455">
        <v>2014615.375</v>
      </c>
      <c r="G69" s="455">
        <v>28859</v>
      </c>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row>
    <row r="70" spans="1:51" x14ac:dyDescent="0.25">
      <c r="A70" s="454">
        <v>41731484</v>
      </c>
      <c r="B70" s="455">
        <v>29.200000762939453</v>
      </c>
      <c r="C70" s="455">
        <v>51.700000762939453</v>
      </c>
      <c r="D70" s="455">
        <v>30</v>
      </c>
      <c r="E70" s="455">
        <v>0</v>
      </c>
      <c r="F70" s="455">
        <v>2068634.375</v>
      </c>
      <c r="G70" s="455">
        <v>28872</v>
      </c>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c r="AY70" s="296"/>
    </row>
    <row r="71" spans="1:51" x14ac:dyDescent="0.25">
      <c r="A71" s="454">
        <v>49651544</v>
      </c>
      <c r="B71" s="455">
        <v>0</v>
      </c>
      <c r="C71" s="455">
        <v>140.69999694824219</v>
      </c>
      <c r="D71" s="455">
        <v>31</v>
      </c>
      <c r="E71" s="455">
        <v>0</v>
      </c>
      <c r="F71" s="455">
        <v>2122653.25</v>
      </c>
      <c r="G71" s="455">
        <v>28792</v>
      </c>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c r="AY71" s="296"/>
    </row>
    <row r="72" spans="1:51" x14ac:dyDescent="0.25">
      <c r="A72" s="454">
        <v>53420000</v>
      </c>
      <c r="B72" s="455">
        <v>0.10000000149011612</v>
      </c>
      <c r="C72" s="455">
        <v>159.30000305175781</v>
      </c>
      <c r="D72" s="455">
        <v>31</v>
      </c>
      <c r="E72" s="455">
        <v>0</v>
      </c>
      <c r="F72" s="455">
        <v>2176672.25</v>
      </c>
      <c r="G72" s="455">
        <v>28833</v>
      </c>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c r="AY72" s="296"/>
    </row>
    <row r="73" spans="1:51" x14ac:dyDescent="0.25">
      <c r="A73" s="454">
        <v>42224924</v>
      </c>
      <c r="B73" s="455">
        <v>34.299999237060547</v>
      </c>
      <c r="C73" s="455">
        <v>48.099998474121094</v>
      </c>
      <c r="D73" s="455">
        <v>30</v>
      </c>
      <c r="E73" s="455">
        <v>1</v>
      </c>
      <c r="F73" s="455">
        <v>2230691.5</v>
      </c>
      <c r="G73" s="455">
        <v>28864</v>
      </c>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296"/>
      <c r="AY73" s="296"/>
    </row>
    <row r="74" spans="1:51" x14ac:dyDescent="0.25">
      <c r="A74" s="454">
        <v>38494852</v>
      </c>
      <c r="B74" s="455">
        <v>198.69999694824219</v>
      </c>
      <c r="C74" s="455">
        <v>5.0999999046325684</v>
      </c>
      <c r="D74" s="455">
        <v>31</v>
      </c>
      <c r="E74" s="455">
        <v>1</v>
      </c>
      <c r="F74" s="455">
        <v>2284710.5</v>
      </c>
      <c r="G74" s="455">
        <v>28858</v>
      </c>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296"/>
      <c r="AY74" s="296"/>
    </row>
    <row r="75" spans="1:51" x14ac:dyDescent="0.25">
      <c r="A75" s="454">
        <v>39128468</v>
      </c>
      <c r="B75" s="455">
        <v>356.70001220703125</v>
      </c>
      <c r="C75" s="455">
        <v>0</v>
      </c>
      <c r="D75" s="455">
        <v>30</v>
      </c>
      <c r="E75" s="455">
        <v>1</v>
      </c>
      <c r="F75" s="455">
        <v>2338729.5</v>
      </c>
      <c r="G75" s="455">
        <v>28896</v>
      </c>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c r="AY75" s="296"/>
    </row>
    <row r="76" spans="1:51" x14ac:dyDescent="0.25">
      <c r="A76" s="454">
        <v>44968072</v>
      </c>
      <c r="B76" s="455">
        <v>581.20001220703125</v>
      </c>
      <c r="C76" s="455">
        <v>0</v>
      </c>
      <c r="D76" s="455">
        <v>31</v>
      </c>
      <c r="E76" s="455">
        <v>0</v>
      </c>
      <c r="F76" s="455">
        <v>2392748.5</v>
      </c>
      <c r="G76" s="455">
        <v>28913</v>
      </c>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row>
    <row r="77" spans="1:51" x14ac:dyDescent="0.25">
      <c r="A77" s="454">
        <v>45563984</v>
      </c>
      <c r="B77" s="455">
        <v>593.9000244140625</v>
      </c>
      <c r="C77" s="455">
        <v>0</v>
      </c>
      <c r="D77" s="455">
        <v>31</v>
      </c>
      <c r="E77" s="455">
        <v>0</v>
      </c>
      <c r="F77" s="455">
        <v>2432562.5</v>
      </c>
      <c r="G77" s="455">
        <v>28933</v>
      </c>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296"/>
      <c r="AP77" s="296"/>
      <c r="AQ77" s="296"/>
      <c r="AR77" s="296"/>
      <c r="AS77" s="296"/>
      <c r="AT77" s="296"/>
      <c r="AU77" s="296"/>
      <c r="AV77" s="296"/>
      <c r="AW77" s="296"/>
      <c r="AX77" s="296"/>
      <c r="AY77" s="296"/>
    </row>
    <row r="78" spans="1:51" x14ac:dyDescent="0.25">
      <c r="A78" s="454">
        <v>40006268</v>
      </c>
      <c r="B78" s="455">
        <v>487.79998779296875</v>
      </c>
      <c r="C78" s="455">
        <v>0</v>
      </c>
      <c r="D78" s="455">
        <v>28</v>
      </c>
      <c r="E78" s="455">
        <v>0</v>
      </c>
      <c r="F78" s="455">
        <v>2472376.5</v>
      </c>
      <c r="G78" s="455">
        <v>28960</v>
      </c>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c r="AV78" s="296"/>
      <c r="AW78" s="296"/>
      <c r="AX78" s="296"/>
      <c r="AY78" s="296"/>
    </row>
    <row r="79" spans="1:51" x14ac:dyDescent="0.25">
      <c r="A79" s="454">
        <v>44075608</v>
      </c>
      <c r="B79" s="455">
        <v>555.29998779296875</v>
      </c>
      <c r="C79" s="455">
        <v>0</v>
      </c>
      <c r="D79" s="455">
        <v>31</v>
      </c>
      <c r="E79" s="455">
        <v>1</v>
      </c>
      <c r="F79" s="455">
        <v>2512190.75</v>
      </c>
      <c r="G79" s="455">
        <v>28960</v>
      </c>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296"/>
      <c r="AY79" s="296"/>
    </row>
    <row r="80" spans="1:51" x14ac:dyDescent="0.25">
      <c r="A80" s="454">
        <v>37499468</v>
      </c>
      <c r="B80" s="455">
        <v>261.79998779296875</v>
      </c>
      <c r="C80" s="455">
        <v>0.5</v>
      </c>
      <c r="D80" s="455">
        <v>30</v>
      </c>
      <c r="E80" s="455">
        <v>1</v>
      </c>
      <c r="F80" s="455">
        <v>2552004.75</v>
      </c>
      <c r="G80" s="455">
        <v>28969</v>
      </c>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296"/>
      <c r="AY80" s="296"/>
    </row>
    <row r="81" spans="1:51" x14ac:dyDescent="0.25">
      <c r="A81" s="454">
        <v>38224944</v>
      </c>
      <c r="B81" s="455">
        <v>168.30000305175781</v>
      </c>
      <c r="C81" s="455">
        <v>6.5</v>
      </c>
      <c r="D81" s="455">
        <v>31</v>
      </c>
      <c r="E81" s="455">
        <v>1</v>
      </c>
      <c r="F81" s="455">
        <v>2591818.75</v>
      </c>
      <c r="G81" s="455">
        <v>29025</v>
      </c>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296"/>
      <c r="AY81" s="296"/>
    </row>
    <row r="82" spans="1:51" x14ac:dyDescent="0.25">
      <c r="A82" s="454">
        <v>40787416</v>
      </c>
      <c r="B82" s="455">
        <v>32.599998474121094</v>
      </c>
      <c r="C82" s="455">
        <v>62.200000762939453</v>
      </c>
      <c r="D82" s="455">
        <v>30</v>
      </c>
      <c r="E82" s="455">
        <v>0</v>
      </c>
      <c r="F82" s="456">
        <v>2631633</v>
      </c>
      <c r="G82" s="455">
        <v>29019</v>
      </c>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296"/>
      <c r="AY82" s="296"/>
    </row>
    <row r="83" spans="1:51" x14ac:dyDescent="0.25">
      <c r="A83" s="454">
        <v>46945436</v>
      </c>
      <c r="B83" s="455">
        <v>2.2000000476837158</v>
      </c>
      <c r="C83" s="455">
        <v>88.099998474121094</v>
      </c>
      <c r="D83" s="455">
        <v>31</v>
      </c>
      <c r="E83" s="455">
        <v>0</v>
      </c>
      <c r="F83" s="455">
        <v>2671447</v>
      </c>
      <c r="G83" s="455">
        <v>29037</v>
      </c>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row>
    <row r="84" spans="1:51" x14ac:dyDescent="0.25">
      <c r="A84" s="454">
        <v>46291216</v>
      </c>
      <c r="B84" s="455">
        <v>19.200000762939453</v>
      </c>
      <c r="C84" s="455">
        <v>50.799999237060547</v>
      </c>
      <c r="D84" s="455">
        <v>31</v>
      </c>
      <c r="E84" s="455">
        <v>0</v>
      </c>
      <c r="F84" s="455">
        <v>2711261</v>
      </c>
      <c r="G84" s="455">
        <v>29054</v>
      </c>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296"/>
      <c r="AY84" s="296"/>
    </row>
    <row r="85" spans="1:51" x14ac:dyDescent="0.25">
      <c r="A85" s="454">
        <v>41724060</v>
      </c>
      <c r="B85" s="455">
        <v>66.5</v>
      </c>
      <c r="C85" s="455">
        <v>49.299999237060547</v>
      </c>
      <c r="D85" s="455">
        <v>30</v>
      </c>
      <c r="E85" s="455">
        <v>1</v>
      </c>
      <c r="F85" s="455">
        <v>2751075.25</v>
      </c>
      <c r="G85" s="455">
        <v>29085</v>
      </c>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296"/>
      <c r="AY85" s="296"/>
    </row>
    <row r="86" spans="1:51" x14ac:dyDescent="0.25">
      <c r="A86" s="454">
        <v>39047668</v>
      </c>
      <c r="B86" s="455">
        <v>152</v>
      </c>
      <c r="C86" s="455">
        <v>6.4000000953674316</v>
      </c>
      <c r="D86" s="455">
        <v>31</v>
      </c>
      <c r="E86" s="455">
        <v>1</v>
      </c>
      <c r="F86" s="455">
        <v>2790889.25</v>
      </c>
      <c r="G86" s="455">
        <v>29091</v>
      </c>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296"/>
      <c r="AY86" s="296"/>
    </row>
    <row r="87" spans="1:51" x14ac:dyDescent="0.25">
      <c r="A87" s="454">
        <v>41779656</v>
      </c>
      <c r="B87" s="455">
        <v>426.39999389648438</v>
      </c>
      <c r="C87" s="455">
        <v>0</v>
      </c>
      <c r="D87" s="455">
        <v>30</v>
      </c>
      <c r="E87" s="455">
        <v>1</v>
      </c>
      <c r="F87" s="455">
        <v>2830703.25</v>
      </c>
      <c r="G87" s="455">
        <v>29149</v>
      </c>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296"/>
      <c r="AY87" s="296"/>
    </row>
    <row r="88" spans="1:51" x14ac:dyDescent="0.25">
      <c r="A88" s="454">
        <v>46781760</v>
      </c>
      <c r="B88" s="455">
        <v>711.29998779296875</v>
      </c>
      <c r="C88" s="455">
        <v>0</v>
      </c>
      <c r="D88" s="455">
        <v>31</v>
      </c>
      <c r="E88" s="455">
        <v>0</v>
      </c>
      <c r="F88" s="455">
        <v>2870517.5</v>
      </c>
      <c r="G88" s="455">
        <v>29158</v>
      </c>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296"/>
      <c r="AY88" s="296"/>
    </row>
    <row r="89" spans="1:51" x14ac:dyDescent="0.25">
      <c r="A89" s="454">
        <v>49984440</v>
      </c>
      <c r="B89" s="455">
        <v>731</v>
      </c>
      <c r="C89" s="455">
        <v>0</v>
      </c>
      <c r="D89" s="455">
        <v>31</v>
      </c>
      <c r="E89" s="455">
        <v>0</v>
      </c>
      <c r="F89" s="455">
        <v>2889719.25</v>
      </c>
      <c r="G89" s="455">
        <v>29201</v>
      </c>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c r="AY89" s="296"/>
    </row>
    <row r="90" spans="1:51" x14ac:dyDescent="0.25">
      <c r="A90" s="454">
        <v>42540524</v>
      </c>
      <c r="B90" s="455">
        <v>540.29998779296875</v>
      </c>
      <c r="C90" s="455">
        <v>0</v>
      </c>
      <c r="D90" s="455">
        <v>28</v>
      </c>
      <c r="E90" s="455">
        <v>0</v>
      </c>
      <c r="F90" s="455">
        <v>2908921.25</v>
      </c>
      <c r="G90" s="455">
        <v>29208</v>
      </c>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row>
    <row r="91" spans="1:51" x14ac:dyDescent="0.25">
      <c r="A91" s="454">
        <v>44585032</v>
      </c>
      <c r="B91" s="455">
        <v>577.70001220703125</v>
      </c>
      <c r="C91" s="455">
        <v>0</v>
      </c>
      <c r="D91" s="455">
        <v>31</v>
      </c>
      <c r="E91" s="455">
        <v>1</v>
      </c>
      <c r="F91" s="455">
        <v>2928123</v>
      </c>
      <c r="G91" s="455">
        <v>29230</v>
      </c>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296"/>
      <c r="AY91" s="296"/>
    </row>
    <row r="92" spans="1:51" x14ac:dyDescent="0.25">
      <c r="A92" s="454">
        <v>41562096</v>
      </c>
      <c r="B92" s="455">
        <v>438.29998779296875</v>
      </c>
      <c r="C92" s="455">
        <v>0</v>
      </c>
      <c r="D92" s="455">
        <v>30</v>
      </c>
      <c r="E92" s="455">
        <v>1</v>
      </c>
      <c r="F92" s="455">
        <v>2947325</v>
      </c>
      <c r="G92" s="455">
        <v>29230</v>
      </c>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c r="AY92" s="296"/>
    </row>
    <row r="93" spans="1:51" x14ac:dyDescent="0.25">
      <c r="A93" s="454">
        <v>39028400</v>
      </c>
      <c r="B93" s="455">
        <v>83.599998474121094</v>
      </c>
      <c r="C93" s="455">
        <v>30</v>
      </c>
      <c r="D93" s="455">
        <v>31</v>
      </c>
      <c r="E93" s="455">
        <v>1</v>
      </c>
      <c r="F93" s="455">
        <v>2966526.75</v>
      </c>
      <c r="G93" s="455">
        <v>29232</v>
      </c>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6"/>
      <c r="AX93" s="296"/>
      <c r="AY93" s="296"/>
    </row>
    <row r="94" spans="1:51" x14ac:dyDescent="0.25">
      <c r="A94" s="454">
        <v>41986096</v>
      </c>
      <c r="B94" s="455">
        <v>21.200000762939453</v>
      </c>
      <c r="C94" s="455">
        <v>47.799999237060547</v>
      </c>
      <c r="D94" s="455">
        <v>30</v>
      </c>
      <c r="E94" s="455">
        <v>0</v>
      </c>
      <c r="F94" s="455">
        <v>2985728.75</v>
      </c>
      <c r="G94" s="455">
        <v>29229</v>
      </c>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c r="AP94" s="296"/>
      <c r="AQ94" s="296"/>
      <c r="AR94" s="296"/>
      <c r="AS94" s="296"/>
      <c r="AT94" s="296"/>
      <c r="AU94" s="296"/>
      <c r="AV94" s="296"/>
      <c r="AW94" s="296"/>
      <c r="AX94" s="296"/>
      <c r="AY94" s="296"/>
    </row>
    <row r="95" spans="1:51" x14ac:dyDescent="0.25">
      <c r="A95" s="454">
        <v>53081244</v>
      </c>
      <c r="B95" s="455">
        <v>0</v>
      </c>
      <c r="C95" s="455">
        <v>137.5</v>
      </c>
      <c r="D95" s="455">
        <v>31</v>
      </c>
      <c r="E95" s="455">
        <v>0</v>
      </c>
      <c r="F95" s="455">
        <v>3004930.5</v>
      </c>
      <c r="G95" s="455">
        <v>29248</v>
      </c>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296"/>
      <c r="AR95" s="296"/>
      <c r="AS95" s="296"/>
      <c r="AT95" s="296"/>
      <c r="AU95" s="296"/>
      <c r="AV95" s="296"/>
      <c r="AW95" s="296"/>
      <c r="AX95" s="296"/>
      <c r="AY95" s="296"/>
    </row>
    <row r="96" spans="1:51" x14ac:dyDescent="0.25">
      <c r="A96" s="454">
        <v>52182220</v>
      </c>
      <c r="B96" s="455">
        <v>1.6000000238418579</v>
      </c>
      <c r="C96" s="455">
        <v>124</v>
      </c>
      <c r="D96" s="455">
        <v>31</v>
      </c>
      <c r="E96" s="455">
        <v>0</v>
      </c>
      <c r="F96" s="455">
        <v>3024132.25</v>
      </c>
      <c r="G96" s="455">
        <v>29265</v>
      </c>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296"/>
      <c r="AY96" s="296"/>
    </row>
    <row r="97" spans="1:51" x14ac:dyDescent="0.25">
      <c r="A97" s="454">
        <v>44539876</v>
      </c>
      <c r="B97" s="455">
        <v>57.900001525878906</v>
      </c>
      <c r="C97" s="455">
        <v>69.300003051757813</v>
      </c>
      <c r="D97" s="455">
        <v>30</v>
      </c>
      <c r="E97" s="455">
        <v>1</v>
      </c>
      <c r="F97" s="455">
        <v>3043334.25</v>
      </c>
      <c r="G97" s="455">
        <v>29273</v>
      </c>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c r="AP97" s="296"/>
      <c r="AQ97" s="296"/>
      <c r="AR97" s="296"/>
      <c r="AS97" s="296"/>
      <c r="AT97" s="296"/>
      <c r="AU97" s="296"/>
      <c r="AV97" s="296"/>
      <c r="AW97" s="296"/>
      <c r="AX97" s="296"/>
      <c r="AY97" s="296"/>
    </row>
    <row r="98" spans="1:51" x14ac:dyDescent="0.25">
      <c r="A98" s="454">
        <v>40825888</v>
      </c>
      <c r="B98" s="455">
        <v>258.20001220703125</v>
      </c>
      <c r="C98" s="455">
        <v>11.100000381469727</v>
      </c>
      <c r="D98" s="455">
        <v>31</v>
      </c>
      <c r="E98" s="455">
        <v>1</v>
      </c>
      <c r="F98" s="455">
        <v>3062536</v>
      </c>
      <c r="G98" s="455">
        <v>29290</v>
      </c>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c r="AP98" s="296"/>
      <c r="AQ98" s="296"/>
      <c r="AR98" s="296"/>
      <c r="AS98" s="296"/>
      <c r="AT98" s="296"/>
      <c r="AU98" s="296"/>
      <c r="AV98" s="296"/>
      <c r="AW98" s="296"/>
      <c r="AX98" s="296"/>
      <c r="AY98" s="296"/>
    </row>
    <row r="99" spans="1:51" x14ac:dyDescent="0.25">
      <c r="A99" s="454">
        <v>43133192</v>
      </c>
      <c r="B99" s="455">
        <v>479.79998779296875</v>
      </c>
      <c r="C99" s="455">
        <v>0</v>
      </c>
      <c r="D99" s="455">
        <v>30</v>
      </c>
      <c r="E99" s="455">
        <v>1</v>
      </c>
      <c r="F99" s="455">
        <v>3081738</v>
      </c>
      <c r="G99" s="455">
        <v>29307</v>
      </c>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c r="AP99" s="296"/>
      <c r="AQ99" s="296"/>
      <c r="AR99" s="296"/>
      <c r="AS99" s="296"/>
      <c r="AT99" s="296"/>
      <c r="AU99" s="296"/>
      <c r="AV99" s="296"/>
      <c r="AW99" s="296"/>
      <c r="AX99" s="296"/>
      <c r="AY99" s="296"/>
    </row>
    <row r="100" spans="1:51" x14ac:dyDescent="0.25">
      <c r="A100" s="454">
        <v>45120216</v>
      </c>
      <c r="B100" s="455">
        <v>550.4000244140625</v>
      </c>
      <c r="C100" s="455">
        <v>0</v>
      </c>
      <c r="D100" s="455">
        <v>31</v>
      </c>
      <c r="E100" s="455">
        <v>0</v>
      </c>
      <c r="F100" s="455">
        <v>3100939.75</v>
      </c>
      <c r="G100" s="455">
        <v>29323</v>
      </c>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296"/>
      <c r="AY100" s="296"/>
    </row>
    <row r="101" spans="1:51" x14ac:dyDescent="0.25">
      <c r="A101" s="454">
        <v>49781960</v>
      </c>
      <c r="B101" s="455">
        <v>726.29998779296875</v>
      </c>
      <c r="C101" s="455">
        <v>0</v>
      </c>
      <c r="D101" s="455">
        <v>31</v>
      </c>
      <c r="E101" s="455">
        <v>0</v>
      </c>
      <c r="F101" s="455">
        <v>3103377.5</v>
      </c>
      <c r="G101" s="455">
        <v>29344</v>
      </c>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row>
    <row r="102" spans="1:51" x14ac:dyDescent="0.25">
      <c r="A102" s="454">
        <v>44300280</v>
      </c>
      <c r="B102" s="455">
        <v>587.79998779296875</v>
      </c>
      <c r="C102" s="455">
        <v>0</v>
      </c>
      <c r="D102" s="455">
        <v>28</v>
      </c>
      <c r="E102" s="455">
        <v>0</v>
      </c>
      <c r="F102" s="455">
        <v>3105815.25</v>
      </c>
      <c r="G102" s="455">
        <v>29330</v>
      </c>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c r="AY102" s="296"/>
    </row>
    <row r="103" spans="1:51" x14ac:dyDescent="0.25">
      <c r="A103" s="454">
        <v>45198752</v>
      </c>
      <c r="B103" s="455">
        <v>598</v>
      </c>
      <c r="C103" s="455">
        <v>0</v>
      </c>
      <c r="D103" s="455">
        <v>31</v>
      </c>
      <c r="E103" s="455">
        <v>1</v>
      </c>
      <c r="F103" s="455">
        <v>3108253.25</v>
      </c>
      <c r="G103" s="455">
        <v>29340</v>
      </c>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296"/>
      <c r="AY103" s="296"/>
    </row>
    <row r="104" spans="1:51" x14ac:dyDescent="0.25">
      <c r="A104" s="454">
        <v>39650440</v>
      </c>
      <c r="B104" s="455">
        <v>334.10000610351563</v>
      </c>
      <c r="C104" s="455">
        <v>0</v>
      </c>
      <c r="D104" s="455">
        <v>30</v>
      </c>
      <c r="E104" s="455">
        <v>1</v>
      </c>
      <c r="F104" s="455">
        <v>3110691</v>
      </c>
      <c r="G104" s="455">
        <v>29411</v>
      </c>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c r="AP104" s="296"/>
      <c r="AQ104" s="296"/>
      <c r="AR104" s="296"/>
      <c r="AS104" s="296"/>
      <c r="AT104" s="296"/>
      <c r="AU104" s="296"/>
      <c r="AV104" s="296"/>
      <c r="AW104" s="296"/>
      <c r="AX104" s="296"/>
      <c r="AY104" s="296"/>
    </row>
    <row r="105" spans="1:51" x14ac:dyDescent="0.25">
      <c r="A105" s="454">
        <v>38645132</v>
      </c>
      <c r="B105" s="455">
        <v>173.69999694824219</v>
      </c>
      <c r="C105" s="455">
        <v>1.7999999523162842</v>
      </c>
      <c r="D105" s="455">
        <v>31</v>
      </c>
      <c r="E105" s="455">
        <v>1</v>
      </c>
      <c r="F105" s="455">
        <v>3113128.75</v>
      </c>
      <c r="G105" s="455">
        <v>29394</v>
      </c>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296"/>
      <c r="AP105" s="296"/>
      <c r="AQ105" s="296"/>
      <c r="AR105" s="296"/>
      <c r="AS105" s="296"/>
      <c r="AT105" s="296"/>
      <c r="AU105" s="296"/>
      <c r="AV105" s="296"/>
      <c r="AW105" s="296"/>
      <c r="AX105" s="296"/>
      <c r="AY105" s="296"/>
    </row>
    <row r="106" spans="1:51" x14ac:dyDescent="0.25">
      <c r="A106" s="454">
        <v>40266460</v>
      </c>
      <c r="B106" s="455">
        <v>33.599998474121094</v>
      </c>
      <c r="C106" s="455">
        <v>31.799999237060547</v>
      </c>
      <c r="D106" s="455">
        <v>30</v>
      </c>
      <c r="E106" s="455">
        <v>0</v>
      </c>
      <c r="F106" s="456">
        <v>3115566.5</v>
      </c>
      <c r="G106" s="455">
        <v>29406</v>
      </c>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296"/>
      <c r="AY106" s="296"/>
    </row>
    <row r="107" spans="1:51" x14ac:dyDescent="0.25">
      <c r="A107" s="454">
        <v>52282280</v>
      </c>
      <c r="B107" s="455">
        <v>0</v>
      </c>
      <c r="C107" s="455">
        <v>143.80000305175781</v>
      </c>
      <c r="D107" s="455">
        <v>31</v>
      </c>
      <c r="E107" s="455">
        <v>0</v>
      </c>
      <c r="F107" s="455">
        <v>3118004.25</v>
      </c>
      <c r="G107" s="455">
        <v>29415</v>
      </c>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c r="AP107" s="296"/>
      <c r="AQ107" s="296"/>
      <c r="AR107" s="296"/>
      <c r="AS107" s="296"/>
      <c r="AT107" s="296"/>
      <c r="AU107" s="296"/>
      <c r="AV107" s="296"/>
      <c r="AW107" s="296"/>
      <c r="AX107" s="296"/>
      <c r="AY107" s="296"/>
    </row>
    <row r="108" spans="1:51" x14ac:dyDescent="0.25">
      <c r="A108" s="454">
        <v>49027500</v>
      </c>
      <c r="B108" s="455">
        <v>4.5999999046325684</v>
      </c>
      <c r="C108" s="455">
        <v>76</v>
      </c>
      <c r="D108" s="455">
        <v>31</v>
      </c>
      <c r="E108" s="455">
        <v>0</v>
      </c>
      <c r="F108" s="455">
        <v>3120442</v>
      </c>
      <c r="G108" s="455">
        <v>29440</v>
      </c>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c r="AP108" s="296"/>
      <c r="AQ108" s="296"/>
      <c r="AR108" s="296"/>
      <c r="AS108" s="296"/>
      <c r="AT108" s="296"/>
      <c r="AU108" s="296"/>
      <c r="AV108" s="296"/>
      <c r="AW108" s="296"/>
      <c r="AX108" s="296"/>
      <c r="AY108" s="296"/>
    </row>
    <row r="109" spans="1:51" x14ac:dyDescent="0.25">
      <c r="A109" s="454">
        <v>40657028</v>
      </c>
      <c r="B109" s="455">
        <v>32</v>
      </c>
      <c r="C109" s="455">
        <v>11.600000381469727</v>
      </c>
      <c r="D109" s="455">
        <v>30</v>
      </c>
      <c r="E109" s="455">
        <v>1</v>
      </c>
      <c r="F109" s="455">
        <v>3122879.75</v>
      </c>
      <c r="G109" s="455">
        <v>29481</v>
      </c>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c r="AY109" s="296"/>
    </row>
    <row r="110" spans="1:51" x14ac:dyDescent="0.25">
      <c r="A110" s="454">
        <v>39301848</v>
      </c>
      <c r="B110" s="455">
        <v>220.89999389648438</v>
      </c>
      <c r="C110" s="455">
        <v>3.9000000953674316</v>
      </c>
      <c r="D110" s="455">
        <v>31</v>
      </c>
      <c r="E110" s="455">
        <v>1</v>
      </c>
      <c r="F110" s="455">
        <v>3125317.5</v>
      </c>
      <c r="G110" s="455">
        <v>29505</v>
      </c>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c r="AY110" s="296"/>
    </row>
    <row r="111" spans="1:51" x14ac:dyDescent="0.25">
      <c r="A111" s="454">
        <v>42865196</v>
      </c>
      <c r="B111" s="455">
        <v>502.70001220703125</v>
      </c>
      <c r="C111" s="455">
        <v>0</v>
      </c>
      <c r="D111" s="455">
        <v>30</v>
      </c>
      <c r="E111" s="455">
        <v>1</v>
      </c>
      <c r="F111" s="455">
        <v>3127755.25</v>
      </c>
      <c r="G111" s="455">
        <v>29533</v>
      </c>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296"/>
      <c r="AG111" s="296"/>
      <c r="AH111" s="296"/>
      <c r="AI111" s="296"/>
      <c r="AJ111" s="296"/>
      <c r="AK111" s="296"/>
      <c r="AL111" s="296"/>
      <c r="AM111" s="296"/>
      <c r="AN111" s="296"/>
      <c r="AO111" s="296"/>
      <c r="AP111" s="296"/>
      <c r="AQ111" s="296"/>
      <c r="AR111" s="296"/>
      <c r="AS111" s="296"/>
      <c r="AT111" s="296"/>
      <c r="AU111" s="296"/>
      <c r="AV111" s="296"/>
      <c r="AW111" s="296"/>
      <c r="AX111" s="296"/>
      <c r="AY111" s="296"/>
    </row>
    <row r="112" spans="1:51" x14ac:dyDescent="0.25">
      <c r="A112" s="454">
        <v>45454040</v>
      </c>
      <c r="B112" s="455">
        <v>564.5999755859375</v>
      </c>
      <c r="C112" s="455">
        <v>0</v>
      </c>
      <c r="D112" s="455">
        <v>31</v>
      </c>
      <c r="E112" s="455">
        <v>0</v>
      </c>
      <c r="F112" s="455">
        <v>3130193</v>
      </c>
      <c r="G112" s="455">
        <v>29573</v>
      </c>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c r="AJ112" s="296"/>
      <c r="AK112" s="296"/>
      <c r="AL112" s="296"/>
      <c r="AM112" s="296"/>
      <c r="AN112" s="296"/>
      <c r="AO112" s="296"/>
      <c r="AP112" s="296"/>
      <c r="AQ112" s="296"/>
      <c r="AR112" s="296"/>
      <c r="AS112" s="296"/>
      <c r="AT112" s="296"/>
      <c r="AU112" s="296"/>
      <c r="AV112" s="296"/>
      <c r="AW112" s="296"/>
      <c r="AX112" s="296"/>
      <c r="AY112" s="296"/>
    </row>
    <row r="113" spans="1:51" x14ac:dyDescent="0.25">
      <c r="A113" s="454">
        <v>46627280</v>
      </c>
      <c r="B113" s="455">
        <v>566.4000244140625</v>
      </c>
      <c r="C113" s="455">
        <v>0</v>
      </c>
      <c r="D113" s="455">
        <v>31</v>
      </c>
      <c r="E113" s="455">
        <v>0</v>
      </c>
      <c r="F113" s="455">
        <v>3128290.75</v>
      </c>
      <c r="G113" s="455">
        <v>29597</v>
      </c>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row>
    <row r="114" spans="1:51" x14ac:dyDescent="0.25">
      <c r="A114" s="454">
        <v>43893612</v>
      </c>
      <c r="B114" s="455">
        <v>586.9000244140625</v>
      </c>
      <c r="C114" s="455">
        <v>0</v>
      </c>
      <c r="D114" s="468">
        <v>29</v>
      </c>
      <c r="E114" s="455">
        <v>0</v>
      </c>
      <c r="F114" s="455">
        <v>3126388.75</v>
      </c>
      <c r="G114" s="455">
        <v>29634</v>
      </c>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c r="AY114" s="296"/>
    </row>
    <row r="115" spans="1:51" x14ac:dyDescent="0.25">
      <c r="A115" s="454">
        <v>42577132</v>
      </c>
      <c r="B115" s="455">
        <v>433.79998779296875</v>
      </c>
      <c r="C115" s="455">
        <v>0</v>
      </c>
      <c r="D115" s="455">
        <v>31</v>
      </c>
      <c r="E115" s="455">
        <v>1</v>
      </c>
      <c r="F115" s="455">
        <v>3124486.5</v>
      </c>
      <c r="G115" s="455">
        <v>29659</v>
      </c>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c r="AY115" s="296"/>
    </row>
    <row r="116" spans="1:51" x14ac:dyDescent="0.25">
      <c r="A116" s="454">
        <v>37611548</v>
      </c>
      <c r="B116" s="455">
        <v>372.89999389648438</v>
      </c>
      <c r="C116" s="455">
        <v>0</v>
      </c>
      <c r="D116" s="455">
        <v>30</v>
      </c>
      <c r="E116" s="455">
        <v>1</v>
      </c>
      <c r="F116" s="455">
        <v>3122584.5</v>
      </c>
      <c r="G116" s="455">
        <v>29701</v>
      </c>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96"/>
    </row>
    <row r="117" spans="1:51" x14ac:dyDescent="0.25">
      <c r="A117" s="454">
        <v>38131292</v>
      </c>
      <c r="B117" s="455">
        <v>207.89999389648438</v>
      </c>
      <c r="C117" s="455">
        <v>22.799999237060547</v>
      </c>
      <c r="D117" s="455">
        <v>31</v>
      </c>
      <c r="E117" s="455">
        <v>1</v>
      </c>
      <c r="F117" s="455">
        <v>3120682.5</v>
      </c>
      <c r="G117" s="455">
        <v>29709</v>
      </c>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row>
    <row r="118" spans="1:51" x14ac:dyDescent="0.25">
      <c r="A118" s="454">
        <v>42157080</v>
      </c>
      <c r="B118" s="455">
        <v>27.5</v>
      </c>
      <c r="C118" s="455">
        <v>73.699996948242188</v>
      </c>
      <c r="D118" s="455">
        <v>30</v>
      </c>
      <c r="E118" s="455">
        <v>0</v>
      </c>
      <c r="F118" s="455">
        <v>3118780.25</v>
      </c>
      <c r="G118" s="455">
        <v>29739</v>
      </c>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c r="AY118" s="296"/>
    </row>
    <row r="119" spans="1:51" x14ac:dyDescent="0.25">
      <c r="A119" s="454">
        <v>54824440</v>
      </c>
      <c r="B119" s="455">
        <v>0</v>
      </c>
      <c r="C119" s="455">
        <v>168.5</v>
      </c>
      <c r="D119" s="455">
        <v>31</v>
      </c>
      <c r="E119" s="455">
        <v>0</v>
      </c>
      <c r="F119" s="455">
        <v>3116878.25</v>
      </c>
      <c r="G119" s="455">
        <v>29749</v>
      </c>
      <c r="H119" s="296"/>
      <c r="I119" s="296"/>
      <c r="J119" s="296"/>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c r="AY119" s="296"/>
    </row>
    <row r="120" spans="1:51" x14ac:dyDescent="0.25">
      <c r="A120" s="454">
        <v>49369900</v>
      </c>
      <c r="B120" s="455">
        <v>1.6000000238418579</v>
      </c>
      <c r="C120" s="455">
        <v>95.599998474121094</v>
      </c>
      <c r="D120" s="455">
        <v>31</v>
      </c>
      <c r="E120" s="455">
        <v>0</v>
      </c>
      <c r="F120" s="455">
        <v>3114976</v>
      </c>
      <c r="G120" s="455">
        <v>29752</v>
      </c>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6"/>
      <c r="AL120" s="296"/>
      <c r="AM120" s="296"/>
      <c r="AN120" s="296"/>
      <c r="AO120" s="296"/>
      <c r="AP120" s="296"/>
      <c r="AQ120" s="296"/>
      <c r="AR120" s="296"/>
      <c r="AS120" s="296"/>
      <c r="AT120" s="296"/>
      <c r="AU120" s="296"/>
      <c r="AV120" s="296"/>
      <c r="AW120" s="296"/>
      <c r="AX120" s="296"/>
      <c r="AY120" s="296"/>
    </row>
    <row r="121" spans="1:51" x14ac:dyDescent="0.25">
      <c r="A121" s="454">
        <v>39821248</v>
      </c>
      <c r="B121" s="455">
        <v>75</v>
      </c>
      <c r="C121" s="455">
        <v>23.399999618530273</v>
      </c>
      <c r="D121" s="455">
        <v>30</v>
      </c>
      <c r="E121" s="455">
        <v>1</v>
      </c>
      <c r="F121" s="455">
        <v>3113074</v>
      </c>
      <c r="G121" s="455">
        <v>29726</v>
      </c>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296"/>
      <c r="AL121" s="296"/>
      <c r="AM121" s="296"/>
      <c r="AN121" s="296"/>
      <c r="AO121" s="296"/>
      <c r="AP121" s="296"/>
      <c r="AQ121" s="296"/>
      <c r="AR121" s="296"/>
      <c r="AS121" s="296"/>
      <c r="AT121" s="296"/>
      <c r="AU121" s="296"/>
      <c r="AV121" s="296"/>
      <c r="AW121" s="296"/>
      <c r="AX121" s="296"/>
      <c r="AY121" s="296"/>
    </row>
    <row r="122" spans="1:51" x14ac:dyDescent="0.25">
      <c r="A122" s="454">
        <v>38909224</v>
      </c>
      <c r="B122" s="455">
        <v>252.5</v>
      </c>
      <c r="C122" s="455">
        <v>0</v>
      </c>
      <c r="D122" s="455">
        <v>31</v>
      </c>
      <c r="E122" s="455">
        <v>1</v>
      </c>
      <c r="F122" s="455">
        <v>3111171.75</v>
      </c>
      <c r="G122" s="455">
        <v>29745</v>
      </c>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c r="AY122" s="296"/>
    </row>
    <row r="123" spans="1:51" x14ac:dyDescent="0.25">
      <c r="A123" s="454">
        <v>40007616</v>
      </c>
      <c r="B123" s="455">
        <v>329.20001220703125</v>
      </c>
      <c r="C123" s="455">
        <v>0</v>
      </c>
      <c r="D123" s="455">
        <v>30</v>
      </c>
      <c r="E123" s="455">
        <v>1</v>
      </c>
      <c r="F123" s="455">
        <v>3109269.75</v>
      </c>
      <c r="G123" s="455">
        <v>29783</v>
      </c>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c r="AY123" s="296"/>
    </row>
    <row r="124" spans="1:51" x14ac:dyDescent="0.25">
      <c r="A124" s="454">
        <v>45977612</v>
      </c>
      <c r="B124" s="455">
        <v>540.4000244140625</v>
      </c>
      <c r="C124" s="455">
        <v>0</v>
      </c>
      <c r="D124" s="455">
        <v>31</v>
      </c>
      <c r="E124" s="455">
        <v>0</v>
      </c>
      <c r="F124" s="455">
        <v>3107367.5</v>
      </c>
      <c r="G124" s="455">
        <v>29827</v>
      </c>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c r="AY124" s="296"/>
    </row>
    <row r="125" spans="1:51" x14ac:dyDescent="0.25">
      <c r="A125" s="295"/>
      <c r="B125" s="296"/>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row>
    <row r="126" spans="1:51" x14ac:dyDescent="0.25">
      <c r="A126" s="295"/>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c r="AY126" s="296"/>
    </row>
    <row r="127" spans="1:51" x14ac:dyDescent="0.25">
      <c r="A127" s="295"/>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c r="AY127" s="296"/>
    </row>
    <row r="128" spans="1:51" x14ac:dyDescent="0.25">
      <c r="A128" s="295"/>
      <c r="B128" s="296"/>
      <c r="C128" s="296"/>
      <c r="D128" s="296"/>
      <c r="E128" s="296"/>
      <c r="F128" s="296"/>
      <c r="G128" s="296"/>
      <c r="H128" s="296"/>
      <c r="I128" s="296"/>
      <c r="J128" s="296"/>
      <c r="K128" s="296"/>
      <c r="L128" s="296"/>
      <c r="M128" s="296"/>
      <c r="N128" s="296"/>
      <c r="O128" s="296"/>
      <c r="P128" s="296"/>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c r="AX128" s="296"/>
      <c r="AY128" s="296"/>
    </row>
    <row r="129" spans="1:51" x14ac:dyDescent="0.25">
      <c r="A129" s="295"/>
      <c r="B129" s="296"/>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c r="AX129" s="296"/>
      <c r="AY129" s="296"/>
    </row>
    <row r="130" spans="1:51" x14ac:dyDescent="0.25">
      <c r="A130" s="295"/>
      <c r="B130" s="296"/>
      <c r="C130" s="296"/>
      <c r="D130" s="296"/>
      <c r="E130" s="296"/>
      <c r="F130" s="296"/>
      <c r="G130" s="296"/>
      <c r="H130" s="296"/>
      <c r="I130" s="296"/>
      <c r="J130" s="296"/>
      <c r="K130" s="296"/>
      <c r="L130" s="296"/>
      <c r="M130" s="296"/>
      <c r="N130" s="296"/>
      <c r="O130" s="296"/>
      <c r="P130" s="296"/>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c r="AP130" s="296"/>
      <c r="AQ130" s="296"/>
      <c r="AR130" s="296"/>
      <c r="AS130" s="296"/>
      <c r="AT130" s="296"/>
      <c r="AU130" s="296"/>
      <c r="AV130" s="296"/>
      <c r="AW130" s="296"/>
      <c r="AX130" s="296"/>
      <c r="AY130" s="296"/>
    </row>
    <row r="131" spans="1:51" x14ac:dyDescent="0.25">
      <c r="A131" s="295"/>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6"/>
      <c r="AW131" s="296"/>
      <c r="AX131" s="296"/>
      <c r="AY131" s="296"/>
    </row>
    <row r="132" spans="1:51" x14ac:dyDescent="0.25">
      <c r="A132" s="295"/>
      <c r="B132" s="296"/>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c r="AY132" s="296"/>
    </row>
    <row r="133" spans="1:51" x14ac:dyDescent="0.25">
      <c r="A133" s="295"/>
      <c r="B133" s="296"/>
      <c r="C133" s="296"/>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c r="AY133" s="296"/>
    </row>
    <row r="134" spans="1:51" x14ac:dyDescent="0.25">
      <c r="A134" s="295"/>
      <c r="B134" s="296"/>
      <c r="C134" s="296"/>
      <c r="D134" s="296"/>
      <c r="E134" s="296"/>
      <c r="F134" s="296"/>
      <c r="G134" s="296"/>
      <c r="H134" s="296"/>
      <c r="I134" s="296"/>
      <c r="J134" s="296"/>
      <c r="K134" s="296"/>
      <c r="L134" s="296"/>
      <c r="M134" s="296"/>
      <c r="N134" s="296"/>
      <c r="O134" s="296"/>
      <c r="P134" s="296"/>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c r="AY134" s="296"/>
    </row>
    <row r="135" spans="1:51" x14ac:dyDescent="0.25">
      <c r="A135" s="295"/>
      <c r="B135" s="296"/>
      <c r="C135" s="296"/>
      <c r="D135" s="296"/>
      <c r="E135" s="296"/>
      <c r="F135" s="296"/>
      <c r="G135" s="296"/>
      <c r="H135" s="296"/>
      <c r="I135" s="296"/>
      <c r="J135" s="296"/>
      <c r="K135" s="296"/>
      <c r="L135" s="296"/>
      <c r="M135" s="296"/>
      <c r="N135" s="296"/>
      <c r="O135" s="296"/>
      <c r="P135" s="296"/>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c r="AX135" s="296"/>
      <c r="AY135" s="296"/>
    </row>
    <row r="136" spans="1:51" x14ac:dyDescent="0.25">
      <c r="A136" s="295"/>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6"/>
      <c r="AY136" s="296"/>
    </row>
    <row r="137" spans="1:51" x14ac:dyDescent="0.25">
      <c r="A137" s="295"/>
      <c r="B137" s="296"/>
      <c r="C137" s="296"/>
      <c r="D137" s="296"/>
      <c r="E137" s="296"/>
      <c r="F137" s="296"/>
      <c r="G137" s="296"/>
      <c r="H137" s="296"/>
      <c r="I137" s="296"/>
      <c r="J137" s="296"/>
      <c r="K137" s="296"/>
      <c r="L137" s="296"/>
      <c r="M137" s="296"/>
      <c r="N137" s="296"/>
      <c r="O137" s="296"/>
      <c r="P137" s="296"/>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c r="AY137" s="296"/>
    </row>
    <row r="138" spans="1:51" x14ac:dyDescent="0.25">
      <c r="A138" s="295"/>
      <c r="B138" s="296"/>
      <c r="C138" s="296"/>
      <c r="D138" s="296"/>
      <c r="E138" s="296"/>
      <c r="F138" s="296"/>
      <c r="G138" s="296"/>
      <c r="H138" s="296"/>
      <c r="I138" s="296"/>
      <c r="J138" s="296"/>
      <c r="K138" s="296"/>
      <c r="L138" s="296"/>
      <c r="M138" s="296"/>
      <c r="N138" s="296"/>
      <c r="O138" s="296"/>
      <c r="P138" s="296"/>
      <c r="Q138" s="296"/>
      <c r="R138" s="296"/>
      <c r="S138" s="296"/>
      <c r="T138" s="296"/>
      <c r="U138" s="296"/>
      <c r="V138" s="296"/>
      <c r="W138" s="296"/>
      <c r="X138" s="296"/>
      <c r="Y138" s="296"/>
      <c r="Z138" s="296"/>
      <c r="AA138" s="296"/>
      <c r="AB138" s="296"/>
      <c r="AC138" s="296"/>
      <c r="AD138" s="296"/>
      <c r="AE138" s="296"/>
      <c r="AF138" s="296"/>
      <c r="AG138" s="296"/>
      <c r="AH138" s="296"/>
      <c r="AI138" s="296"/>
      <c r="AJ138" s="296"/>
      <c r="AK138" s="296"/>
      <c r="AL138" s="296"/>
      <c r="AM138" s="296"/>
      <c r="AN138" s="296"/>
      <c r="AO138" s="296"/>
      <c r="AP138" s="296"/>
      <c r="AQ138" s="296"/>
      <c r="AR138" s="296"/>
      <c r="AS138" s="296"/>
      <c r="AT138" s="296"/>
      <c r="AU138" s="296"/>
      <c r="AV138" s="296"/>
      <c r="AW138" s="296"/>
      <c r="AX138" s="296"/>
      <c r="AY138" s="296"/>
    </row>
    <row r="139" spans="1:51" x14ac:dyDescent="0.25">
      <c r="A139" s="295"/>
      <c r="B139" s="296"/>
      <c r="C139" s="296"/>
      <c r="D139" s="296"/>
      <c r="E139" s="296"/>
      <c r="F139" s="296"/>
      <c r="G139" s="296"/>
      <c r="H139" s="296"/>
      <c r="I139" s="296"/>
      <c r="J139" s="296"/>
      <c r="K139" s="296"/>
      <c r="L139" s="296"/>
      <c r="M139" s="296"/>
      <c r="N139" s="296"/>
      <c r="O139" s="296"/>
      <c r="P139" s="296"/>
      <c r="Q139" s="296"/>
      <c r="R139" s="296"/>
      <c r="S139" s="296"/>
      <c r="T139" s="296"/>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c r="AY139" s="296"/>
    </row>
    <row r="140" spans="1:51" x14ac:dyDescent="0.25">
      <c r="A140" s="295"/>
      <c r="B140" s="296"/>
      <c r="C140" s="296"/>
      <c r="D140" s="296"/>
      <c r="E140" s="296"/>
      <c r="F140" s="296"/>
      <c r="G140" s="296"/>
      <c r="H140" s="296"/>
      <c r="I140" s="296"/>
      <c r="J140" s="296"/>
      <c r="K140" s="296"/>
      <c r="L140" s="296"/>
      <c r="M140" s="296"/>
      <c r="N140" s="296"/>
      <c r="O140" s="296"/>
      <c r="P140" s="296"/>
      <c r="Q140" s="296"/>
      <c r="R140" s="296"/>
      <c r="S140" s="296"/>
      <c r="T140" s="296"/>
      <c r="U140" s="296"/>
      <c r="V140" s="296"/>
      <c r="W140" s="296"/>
      <c r="X140" s="296"/>
      <c r="Y140" s="296"/>
      <c r="Z140" s="296"/>
      <c r="AA140" s="296"/>
      <c r="AB140" s="296"/>
      <c r="AC140" s="296"/>
      <c r="AD140" s="296"/>
      <c r="AE140" s="296"/>
      <c r="AF140" s="296"/>
      <c r="AG140" s="296"/>
      <c r="AH140" s="296"/>
      <c r="AI140" s="296"/>
      <c r="AJ140" s="296"/>
      <c r="AK140" s="296"/>
      <c r="AL140" s="296"/>
      <c r="AM140" s="296"/>
      <c r="AN140" s="296"/>
      <c r="AO140" s="296"/>
      <c r="AP140" s="296"/>
      <c r="AQ140" s="296"/>
      <c r="AR140" s="296"/>
      <c r="AS140" s="296"/>
      <c r="AT140" s="296"/>
      <c r="AU140" s="296"/>
      <c r="AV140" s="296"/>
      <c r="AW140" s="296"/>
      <c r="AX140" s="296"/>
      <c r="AY140" s="296"/>
    </row>
    <row r="141" spans="1:51" x14ac:dyDescent="0.25">
      <c r="A141" s="295"/>
      <c r="B141" s="296"/>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c r="AY141" s="296"/>
    </row>
    <row r="142" spans="1:51" x14ac:dyDescent="0.25">
      <c r="A142" s="295"/>
      <c r="B142" s="296"/>
      <c r="C142" s="296"/>
      <c r="D142" s="296"/>
      <c r="E142" s="296"/>
      <c r="F142" s="296"/>
      <c r="G142" s="296"/>
      <c r="H142" s="296"/>
      <c r="I142" s="296"/>
      <c r="J142" s="296"/>
      <c r="K142" s="296"/>
      <c r="L142" s="296"/>
      <c r="M142" s="296"/>
      <c r="N142" s="296"/>
      <c r="O142" s="296"/>
      <c r="P142" s="296"/>
      <c r="Q142" s="296"/>
      <c r="R142" s="296"/>
      <c r="S142" s="296"/>
      <c r="T142" s="296"/>
      <c r="U142" s="296"/>
      <c r="V142" s="296"/>
      <c r="W142" s="296"/>
      <c r="X142" s="296"/>
      <c r="Y142" s="296"/>
      <c r="Z142" s="296"/>
      <c r="AA142" s="296"/>
      <c r="AB142" s="296"/>
      <c r="AC142" s="296"/>
      <c r="AD142" s="296"/>
      <c r="AE142" s="296"/>
      <c r="AF142" s="296"/>
      <c r="AG142" s="296"/>
      <c r="AH142" s="296"/>
      <c r="AI142" s="296"/>
      <c r="AJ142" s="296"/>
      <c r="AK142" s="296"/>
      <c r="AL142" s="296"/>
      <c r="AM142" s="296"/>
      <c r="AN142" s="296"/>
      <c r="AO142" s="296"/>
      <c r="AP142" s="296"/>
      <c r="AQ142" s="296"/>
      <c r="AR142" s="296"/>
      <c r="AS142" s="296"/>
      <c r="AT142" s="296"/>
      <c r="AU142" s="296"/>
      <c r="AV142" s="296"/>
      <c r="AW142" s="296"/>
      <c r="AX142" s="296"/>
      <c r="AY142" s="296"/>
    </row>
    <row r="143" spans="1:51" x14ac:dyDescent="0.25">
      <c r="A143" s="295"/>
      <c r="B143" s="296"/>
      <c r="C143" s="296"/>
      <c r="D143" s="296"/>
      <c r="E143" s="296"/>
      <c r="F143" s="296"/>
      <c r="G143" s="296"/>
      <c r="H143" s="296"/>
      <c r="I143" s="296"/>
      <c r="J143" s="296"/>
      <c r="K143" s="296"/>
      <c r="L143" s="296"/>
      <c r="M143" s="296"/>
      <c r="N143" s="296"/>
      <c r="O143" s="296"/>
      <c r="P143" s="296"/>
      <c r="Q143" s="296"/>
      <c r="R143" s="296"/>
      <c r="S143" s="296"/>
      <c r="T143" s="296"/>
      <c r="U143" s="296"/>
      <c r="V143" s="296"/>
      <c r="W143" s="296"/>
      <c r="X143" s="296"/>
      <c r="Y143" s="296"/>
      <c r="Z143" s="296"/>
      <c r="AA143" s="296"/>
      <c r="AB143" s="296"/>
      <c r="AC143" s="296"/>
      <c r="AD143" s="296"/>
      <c r="AE143" s="296"/>
      <c r="AF143" s="296"/>
      <c r="AG143" s="296"/>
      <c r="AH143" s="296"/>
      <c r="AI143" s="296"/>
      <c r="AJ143" s="296"/>
      <c r="AK143" s="296"/>
      <c r="AL143" s="296"/>
      <c r="AM143" s="296"/>
      <c r="AN143" s="296"/>
      <c r="AO143" s="296"/>
      <c r="AP143" s="296"/>
      <c r="AQ143" s="296"/>
      <c r="AR143" s="296"/>
      <c r="AS143" s="296"/>
      <c r="AT143" s="296"/>
      <c r="AU143" s="296"/>
      <c r="AV143" s="296"/>
      <c r="AW143" s="296"/>
      <c r="AX143" s="296"/>
      <c r="AY143" s="296"/>
    </row>
    <row r="144" spans="1:51" x14ac:dyDescent="0.25">
      <c r="A144" s="295"/>
      <c r="B144" s="296"/>
      <c r="C144" s="296"/>
      <c r="D144" s="296"/>
      <c r="E144" s="296"/>
      <c r="F144" s="296"/>
      <c r="G144" s="296"/>
      <c r="H144" s="296"/>
      <c r="I144" s="296"/>
      <c r="J144" s="296"/>
      <c r="K144" s="296"/>
      <c r="L144" s="296"/>
      <c r="M144" s="296"/>
      <c r="N144" s="296"/>
      <c r="O144" s="296"/>
      <c r="P144" s="296"/>
      <c r="Q144" s="296"/>
      <c r="R144" s="296"/>
      <c r="S144" s="296"/>
      <c r="T144" s="296"/>
      <c r="U144" s="296"/>
      <c r="V144" s="296"/>
      <c r="W144" s="296"/>
      <c r="X144" s="296"/>
      <c r="Y144" s="296"/>
      <c r="Z144" s="296"/>
      <c r="AA144" s="296"/>
      <c r="AB144" s="296"/>
      <c r="AC144" s="296"/>
      <c r="AD144" s="296"/>
      <c r="AE144" s="296"/>
      <c r="AF144" s="296"/>
      <c r="AG144" s="296"/>
      <c r="AH144" s="296"/>
      <c r="AI144" s="296"/>
      <c r="AJ144" s="296"/>
      <c r="AK144" s="296"/>
      <c r="AL144" s="296"/>
      <c r="AM144" s="296"/>
      <c r="AN144" s="296"/>
      <c r="AO144" s="296"/>
      <c r="AP144" s="296"/>
      <c r="AQ144" s="296"/>
      <c r="AR144" s="296"/>
      <c r="AS144" s="296"/>
      <c r="AT144" s="296"/>
      <c r="AU144" s="296"/>
      <c r="AV144" s="296"/>
      <c r="AW144" s="296"/>
      <c r="AX144" s="296"/>
      <c r="AY144" s="296"/>
    </row>
    <row r="145" spans="1:51" x14ac:dyDescent="0.25">
      <c r="A145" s="295"/>
      <c r="B145" s="296"/>
      <c r="C145" s="296"/>
      <c r="D145" s="296"/>
      <c r="E145" s="296"/>
      <c r="F145" s="296"/>
      <c r="G145" s="296"/>
      <c r="H145" s="296"/>
      <c r="I145" s="296"/>
      <c r="J145" s="296"/>
      <c r="K145" s="296"/>
      <c r="L145" s="296"/>
      <c r="M145" s="296"/>
      <c r="N145" s="296"/>
      <c r="O145" s="296"/>
      <c r="P145" s="296"/>
      <c r="Q145" s="296"/>
      <c r="R145" s="296"/>
      <c r="S145" s="296"/>
      <c r="T145" s="296"/>
      <c r="U145" s="296"/>
      <c r="V145" s="296"/>
      <c r="W145" s="296"/>
      <c r="X145" s="296"/>
      <c r="Y145" s="296"/>
      <c r="Z145" s="296"/>
      <c r="AA145" s="296"/>
      <c r="AB145" s="296"/>
      <c r="AC145" s="296"/>
      <c r="AD145" s="296"/>
      <c r="AE145" s="296"/>
      <c r="AF145" s="296"/>
      <c r="AG145" s="296"/>
      <c r="AH145" s="296"/>
      <c r="AI145" s="296"/>
      <c r="AJ145" s="296"/>
      <c r="AK145" s="296"/>
      <c r="AL145" s="296"/>
      <c r="AM145" s="296"/>
      <c r="AN145" s="296"/>
      <c r="AO145" s="296"/>
      <c r="AP145" s="296"/>
      <c r="AQ145" s="296"/>
      <c r="AR145" s="296"/>
      <c r="AS145" s="296"/>
      <c r="AT145" s="296"/>
      <c r="AU145" s="296"/>
      <c r="AV145" s="296"/>
      <c r="AW145" s="296"/>
      <c r="AX145" s="296"/>
      <c r="AY145" s="296"/>
    </row>
    <row r="146" spans="1:51" x14ac:dyDescent="0.25">
      <c r="A146" s="295"/>
      <c r="B146" s="296"/>
      <c r="C146" s="296"/>
      <c r="D146" s="296"/>
      <c r="E146" s="296"/>
      <c r="F146" s="296"/>
      <c r="G146" s="296"/>
      <c r="H146" s="296"/>
      <c r="I146" s="296"/>
      <c r="J146" s="296"/>
      <c r="K146" s="296"/>
      <c r="L146" s="296"/>
      <c r="M146" s="296"/>
      <c r="N146" s="296"/>
      <c r="O146" s="296"/>
      <c r="P146" s="296"/>
      <c r="Q146" s="296"/>
      <c r="R146" s="296"/>
      <c r="S146" s="296"/>
      <c r="T146" s="296"/>
      <c r="U146" s="296"/>
      <c r="V146" s="296"/>
      <c r="W146" s="296"/>
      <c r="X146" s="296"/>
      <c r="Y146" s="296"/>
      <c r="Z146" s="296"/>
      <c r="AA146" s="296"/>
      <c r="AB146" s="296"/>
      <c r="AC146" s="296"/>
      <c r="AD146" s="296"/>
      <c r="AE146" s="296"/>
      <c r="AF146" s="296"/>
      <c r="AG146" s="296"/>
      <c r="AH146" s="296"/>
      <c r="AI146" s="296"/>
      <c r="AJ146" s="296"/>
      <c r="AK146" s="296"/>
      <c r="AL146" s="296"/>
      <c r="AM146" s="296"/>
      <c r="AN146" s="296"/>
      <c r="AO146" s="296"/>
      <c r="AP146" s="296"/>
      <c r="AQ146" s="296"/>
      <c r="AR146" s="296"/>
      <c r="AS146" s="296"/>
      <c r="AT146" s="296"/>
      <c r="AU146" s="296"/>
      <c r="AV146" s="296"/>
      <c r="AW146" s="296"/>
      <c r="AX146" s="296"/>
      <c r="AY146" s="296"/>
    </row>
    <row r="147" spans="1:51" x14ac:dyDescent="0.25">
      <c r="A147" s="295"/>
      <c r="B147" s="296"/>
      <c r="C147" s="296"/>
      <c r="D147" s="296"/>
      <c r="E147" s="296"/>
      <c r="F147" s="296"/>
      <c r="G147" s="296"/>
      <c r="H147" s="296"/>
      <c r="I147" s="296"/>
      <c r="J147" s="296"/>
      <c r="K147" s="296"/>
      <c r="L147" s="296"/>
      <c r="M147" s="296"/>
      <c r="N147" s="296"/>
      <c r="O147" s="296"/>
      <c r="P147" s="296"/>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296"/>
      <c r="AM147" s="296"/>
      <c r="AN147" s="296"/>
      <c r="AO147" s="296"/>
      <c r="AP147" s="296"/>
      <c r="AQ147" s="296"/>
      <c r="AR147" s="296"/>
      <c r="AS147" s="296"/>
      <c r="AT147" s="296"/>
      <c r="AU147" s="296"/>
      <c r="AV147" s="296"/>
      <c r="AW147" s="296"/>
      <c r="AX147" s="296"/>
      <c r="AY147" s="296"/>
    </row>
    <row r="148" spans="1:51" x14ac:dyDescent="0.25">
      <c r="A148" s="295"/>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296"/>
      <c r="AM148" s="296"/>
      <c r="AN148" s="296"/>
      <c r="AO148" s="296"/>
      <c r="AP148" s="296"/>
      <c r="AQ148" s="296"/>
      <c r="AR148" s="296"/>
      <c r="AS148" s="296"/>
      <c r="AT148" s="296"/>
      <c r="AU148" s="296"/>
      <c r="AV148" s="296"/>
      <c r="AW148" s="296"/>
      <c r="AX148" s="296"/>
      <c r="AY148" s="296"/>
    </row>
    <row r="149" spans="1:51" x14ac:dyDescent="0.25">
      <c r="A149" s="295"/>
      <c r="B149" s="296"/>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296"/>
      <c r="Z149" s="296"/>
      <c r="AA149" s="296"/>
      <c r="AB149" s="296"/>
      <c r="AC149" s="296"/>
      <c r="AD149" s="296"/>
      <c r="AE149" s="296"/>
      <c r="AF149" s="296"/>
      <c r="AG149" s="296"/>
      <c r="AH149" s="296"/>
      <c r="AI149" s="296"/>
      <c r="AJ149" s="296"/>
      <c r="AK149" s="296"/>
      <c r="AL149" s="296"/>
      <c r="AM149" s="296"/>
      <c r="AN149" s="296"/>
      <c r="AO149" s="296"/>
      <c r="AP149" s="296"/>
      <c r="AQ149" s="296"/>
      <c r="AR149" s="296"/>
      <c r="AS149" s="296"/>
      <c r="AT149" s="296"/>
      <c r="AU149" s="296"/>
      <c r="AV149" s="296"/>
      <c r="AW149" s="296"/>
      <c r="AX149" s="296"/>
      <c r="AY149" s="296"/>
    </row>
    <row r="150" spans="1:51" x14ac:dyDescent="0.25">
      <c r="A150" s="295"/>
      <c r="B150" s="296"/>
      <c r="C150" s="296"/>
      <c r="D150" s="296"/>
      <c r="E150" s="296"/>
      <c r="F150" s="296"/>
      <c r="G150" s="296"/>
      <c r="H150" s="296"/>
      <c r="I150" s="296"/>
      <c r="J150" s="296"/>
      <c r="K150" s="296"/>
      <c r="L150" s="296"/>
      <c r="M150" s="296"/>
      <c r="N150" s="296"/>
      <c r="O150" s="296"/>
      <c r="P150" s="296"/>
      <c r="Q150" s="296"/>
      <c r="R150" s="296"/>
      <c r="S150" s="296"/>
      <c r="T150" s="296"/>
      <c r="U150" s="296"/>
      <c r="V150" s="296"/>
      <c r="W150" s="296"/>
      <c r="X150" s="296"/>
      <c r="Y150" s="296"/>
      <c r="Z150" s="296"/>
      <c r="AA150" s="296"/>
      <c r="AB150" s="296"/>
      <c r="AC150" s="296"/>
      <c r="AD150" s="296"/>
      <c r="AE150" s="296"/>
      <c r="AF150" s="296"/>
      <c r="AG150" s="296"/>
      <c r="AH150" s="296"/>
      <c r="AI150" s="296"/>
      <c r="AJ150" s="296"/>
      <c r="AK150" s="296"/>
      <c r="AL150" s="296"/>
      <c r="AM150" s="296"/>
      <c r="AN150" s="296"/>
      <c r="AO150" s="296"/>
      <c r="AP150" s="296"/>
      <c r="AQ150" s="296"/>
      <c r="AR150" s="296"/>
      <c r="AS150" s="296"/>
      <c r="AT150" s="296"/>
      <c r="AU150" s="296"/>
      <c r="AV150" s="296"/>
      <c r="AW150" s="296"/>
      <c r="AX150" s="296"/>
      <c r="AY150" s="296"/>
    </row>
    <row r="151" spans="1:51" x14ac:dyDescent="0.25">
      <c r="A151" s="295"/>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c r="AP151" s="296"/>
      <c r="AQ151" s="296"/>
      <c r="AR151" s="296"/>
      <c r="AS151" s="296"/>
      <c r="AT151" s="296"/>
      <c r="AU151" s="296"/>
      <c r="AV151" s="296"/>
      <c r="AW151" s="296"/>
      <c r="AX151" s="296"/>
      <c r="AY151" s="296"/>
    </row>
    <row r="152" spans="1:51" x14ac:dyDescent="0.25">
      <c r="A152" s="295"/>
      <c r="B152" s="296"/>
      <c r="C152" s="296"/>
      <c r="D152" s="296"/>
      <c r="E152" s="296"/>
      <c r="F152" s="296"/>
      <c r="G152" s="296"/>
      <c r="H152" s="296"/>
      <c r="I152" s="296"/>
      <c r="J152" s="296"/>
      <c r="K152" s="296"/>
      <c r="L152" s="296"/>
      <c r="M152" s="296"/>
      <c r="N152" s="296"/>
      <c r="O152" s="296"/>
      <c r="P152" s="296"/>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c r="AP152" s="296"/>
      <c r="AQ152" s="296"/>
      <c r="AR152" s="296"/>
      <c r="AS152" s="296"/>
      <c r="AT152" s="296"/>
      <c r="AU152" s="296"/>
      <c r="AV152" s="296"/>
      <c r="AW152" s="296"/>
      <c r="AX152" s="296"/>
      <c r="AY152" s="296"/>
    </row>
    <row r="153" spans="1:51" x14ac:dyDescent="0.25">
      <c r="A153" s="295"/>
      <c r="B153" s="296"/>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c r="AP153" s="296"/>
      <c r="AQ153" s="296"/>
      <c r="AR153" s="296"/>
      <c r="AS153" s="296"/>
      <c r="AT153" s="296"/>
      <c r="AU153" s="296"/>
      <c r="AV153" s="296"/>
      <c r="AW153" s="296"/>
      <c r="AX153" s="296"/>
      <c r="AY153" s="296"/>
    </row>
    <row r="154" spans="1:51" x14ac:dyDescent="0.25">
      <c r="A154" s="295"/>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c r="AP154" s="296"/>
      <c r="AQ154" s="296"/>
      <c r="AR154" s="296"/>
      <c r="AS154" s="296"/>
      <c r="AT154" s="296"/>
      <c r="AU154" s="296"/>
      <c r="AV154" s="296"/>
      <c r="AW154" s="296"/>
      <c r="AX154" s="296"/>
      <c r="AY154" s="296"/>
    </row>
    <row r="155" spans="1:51" x14ac:dyDescent="0.25">
      <c r="A155" s="295"/>
      <c r="B155" s="296"/>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c r="AP155" s="296"/>
      <c r="AQ155" s="296"/>
      <c r="AR155" s="296"/>
      <c r="AS155" s="296"/>
      <c r="AT155" s="296"/>
      <c r="AU155" s="296"/>
      <c r="AV155" s="296"/>
      <c r="AW155" s="296"/>
      <c r="AX155" s="296"/>
      <c r="AY155" s="296"/>
    </row>
    <row r="156" spans="1:51" x14ac:dyDescent="0.25">
      <c r="A156" s="295"/>
      <c r="B156" s="296"/>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6"/>
      <c r="AO156" s="296"/>
      <c r="AP156" s="296"/>
      <c r="AQ156" s="296"/>
      <c r="AR156" s="296"/>
      <c r="AS156" s="296"/>
      <c r="AT156" s="296"/>
      <c r="AU156" s="296"/>
      <c r="AV156" s="296"/>
      <c r="AW156" s="296"/>
      <c r="AX156" s="296"/>
      <c r="AY156" s="296"/>
    </row>
    <row r="157" spans="1:51" x14ac:dyDescent="0.25">
      <c r="A157" s="295"/>
      <c r="B157" s="296"/>
      <c r="C157" s="296"/>
      <c r="D157" s="296"/>
      <c r="E157" s="296"/>
      <c r="F157" s="296"/>
      <c r="G157" s="296"/>
      <c r="H157" s="296"/>
      <c r="I157" s="296"/>
      <c r="J157" s="296"/>
      <c r="K157" s="296"/>
      <c r="L157" s="296"/>
      <c r="M157" s="296"/>
      <c r="N157" s="296"/>
      <c r="O157" s="296"/>
      <c r="P157" s="296"/>
      <c r="Q157" s="296"/>
      <c r="R157" s="296"/>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6"/>
      <c r="AO157" s="296"/>
      <c r="AP157" s="296"/>
      <c r="AQ157" s="296"/>
      <c r="AR157" s="296"/>
      <c r="AS157" s="296"/>
      <c r="AT157" s="296"/>
      <c r="AU157" s="296"/>
      <c r="AV157" s="296"/>
      <c r="AW157" s="296"/>
      <c r="AX157" s="296"/>
      <c r="AY157" s="296"/>
    </row>
    <row r="158" spans="1:51" x14ac:dyDescent="0.25">
      <c r="A158" s="295"/>
      <c r="B158" s="296"/>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6"/>
      <c r="AO158" s="296"/>
      <c r="AP158" s="296"/>
      <c r="AQ158" s="296"/>
      <c r="AR158" s="296"/>
      <c r="AS158" s="296"/>
      <c r="AT158" s="296"/>
      <c r="AU158" s="296"/>
      <c r="AV158" s="296"/>
      <c r="AW158" s="296"/>
      <c r="AX158" s="296"/>
      <c r="AY158" s="296"/>
    </row>
    <row r="159" spans="1:51" x14ac:dyDescent="0.25">
      <c r="A159" s="295"/>
      <c r="B159" s="296"/>
      <c r="C159" s="296"/>
      <c r="D159" s="296"/>
      <c r="E159" s="296"/>
      <c r="F159" s="296"/>
      <c r="G159" s="296"/>
      <c r="H159" s="296"/>
      <c r="I159" s="296"/>
      <c r="J159" s="296"/>
      <c r="K159" s="296"/>
      <c r="L159" s="296"/>
      <c r="M159" s="296"/>
      <c r="N159" s="296"/>
      <c r="O159" s="296"/>
      <c r="P159" s="296"/>
      <c r="Q159" s="296"/>
      <c r="R159" s="296"/>
      <c r="S159" s="296"/>
      <c r="T159" s="296"/>
      <c r="U159" s="296"/>
      <c r="V159" s="296"/>
      <c r="W159" s="296"/>
      <c r="X159" s="296"/>
      <c r="Y159" s="296"/>
      <c r="Z159" s="296"/>
      <c r="AA159" s="296"/>
      <c r="AB159" s="296"/>
      <c r="AC159" s="296"/>
      <c r="AD159" s="296"/>
      <c r="AE159" s="296"/>
      <c r="AF159" s="296"/>
      <c r="AG159" s="296"/>
      <c r="AH159" s="296"/>
      <c r="AI159" s="296"/>
      <c r="AJ159" s="296"/>
      <c r="AK159" s="296"/>
      <c r="AL159" s="296"/>
      <c r="AM159" s="296"/>
      <c r="AN159" s="296"/>
      <c r="AO159" s="296"/>
      <c r="AP159" s="296"/>
      <c r="AQ159" s="296"/>
      <c r="AR159" s="296"/>
      <c r="AS159" s="296"/>
      <c r="AT159" s="296"/>
      <c r="AU159" s="296"/>
      <c r="AV159" s="296"/>
      <c r="AW159" s="296"/>
      <c r="AX159" s="296"/>
      <c r="AY159" s="296"/>
    </row>
    <row r="160" spans="1:51" x14ac:dyDescent="0.25">
      <c r="A160" s="295"/>
      <c r="B160" s="296"/>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296"/>
      <c r="Z160" s="296"/>
      <c r="AA160" s="296"/>
      <c r="AB160" s="296"/>
      <c r="AC160" s="296"/>
      <c r="AD160" s="296"/>
      <c r="AE160" s="296"/>
      <c r="AF160" s="296"/>
      <c r="AG160" s="296"/>
      <c r="AH160" s="296"/>
      <c r="AI160" s="296"/>
      <c r="AJ160" s="296"/>
      <c r="AK160" s="296"/>
      <c r="AL160" s="296"/>
      <c r="AM160" s="296"/>
      <c r="AN160" s="296"/>
      <c r="AO160" s="296"/>
      <c r="AP160" s="296"/>
      <c r="AQ160" s="296"/>
      <c r="AR160" s="296"/>
      <c r="AS160" s="296"/>
      <c r="AT160" s="296"/>
      <c r="AU160" s="296"/>
      <c r="AV160" s="296"/>
      <c r="AW160" s="296"/>
      <c r="AX160" s="296"/>
      <c r="AY160" s="296"/>
    </row>
    <row r="161" spans="1:51" x14ac:dyDescent="0.25">
      <c r="A161" s="295"/>
      <c r="B161" s="296"/>
      <c r="C161" s="296"/>
      <c r="D161" s="296"/>
      <c r="E161" s="296"/>
      <c r="F161" s="296"/>
      <c r="G161" s="296"/>
      <c r="H161" s="296"/>
      <c r="I161" s="296"/>
      <c r="J161" s="296"/>
      <c r="K161" s="296"/>
      <c r="L161" s="296"/>
      <c r="M161" s="296"/>
      <c r="N161" s="296"/>
      <c r="O161" s="296"/>
      <c r="P161" s="296"/>
      <c r="Q161" s="296"/>
      <c r="R161" s="296"/>
      <c r="S161" s="296"/>
      <c r="T161" s="296"/>
      <c r="U161" s="296"/>
      <c r="V161" s="296"/>
      <c r="W161" s="296"/>
      <c r="X161" s="296"/>
      <c r="Y161" s="296"/>
      <c r="Z161" s="296"/>
      <c r="AA161" s="296"/>
      <c r="AB161" s="296"/>
      <c r="AC161" s="296"/>
      <c r="AD161" s="296"/>
      <c r="AE161" s="296"/>
      <c r="AF161" s="296"/>
      <c r="AG161" s="296"/>
      <c r="AH161" s="296"/>
      <c r="AI161" s="296"/>
      <c r="AJ161" s="296"/>
      <c r="AK161" s="296"/>
      <c r="AL161" s="296"/>
      <c r="AM161" s="296"/>
      <c r="AN161" s="296"/>
      <c r="AO161" s="296"/>
      <c r="AP161" s="296"/>
      <c r="AQ161" s="296"/>
      <c r="AR161" s="296"/>
      <c r="AS161" s="296"/>
      <c r="AT161" s="296"/>
      <c r="AU161" s="296"/>
      <c r="AV161" s="296"/>
      <c r="AW161" s="296"/>
      <c r="AX161" s="296"/>
      <c r="AY161" s="296"/>
    </row>
    <row r="162" spans="1:51" x14ac:dyDescent="0.25">
      <c r="A162" s="295"/>
      <c r="B162" s="296"/>
      <c r="C162" s="296"/>
      <c r="D162" s="296"/>
      <c r="E162" s="296"/>
      <c r="F162" s="296"/>
      <c r="G162" s="296"/>
      <c r="H162" s="296"/>
      <c r="I162" s="296"/>
      <c r="J162" s="296"/>
      <c r="K162" s="296"/>
      <c r="L162" s="296"/>
      <c r="M162" s="296"/>
      <c r="N162" s="296"/>
      <c r="O162" s="296"/>
      <c r="P162" s="296"/>
      <c r="Q162" s="296"/>
      <c r="R162" s="296"/>
      <c r="S162" s="296"/>
      <c r="T162" s="296"/>
      <c r="U162" s="296"/>
      <c r="V162" s="296"/>
      <c r="W162" s="296"/>
      <c r="X162" s="296"/>
      <c r="Y162" s="296"/>
      <c r="Z162" s="296"/>
      <c r="AA162" s="296"/>
      <c r="AB162" s="296"/>
      <c r="AC162" s="296"/>
      <c r="AD162" s="296"/>
      <c r="AE162" s="296"/>
      <c r="AF162" s="296"/>
      <c r="AG162" s="296"/>
      <c r="AH162" s="296"/>
      <c r="AI162" s="296"/>
      <c r="AJ162" s="296"/>
      <c r="AK162" s="296"/>
      <c r="AL162" s="296"/>
      <c r="AM162" s="296"/>
      <c r="AN162" s="296"/>
      <c r="AO162" s="296"/>
      <c r="AP162" s="296"/>
      <c r="AQ162" s="296"/>
      <c r="AR162" s="296"/>
      <c r="AS162" s="296"/>
      <c r="AT162" s="296"/>
      <c r="AU162" s="296"/>
      <c r="AV162" s="296"/>
      <c r="AW162" s="296"/>
      <c r="AX162" s="296"/>
      <c r="AY162" s="296"/>
    </row>
    <row r="163" spans="1:51" x14ac:dyDescent="0.25">
      <c r="A163" s="295"/>
      <c r="B163" s="296"/>
      <c r="C163" s="296"/>
      <c r="D163" s="296"/>
      <c r="E163" s="296"/>
      <c r="F163" s="296"/>
      <c r="G163" s="296"/>
      <c r="H163" s="296"/>
      <c r="I163" s="296"/>
      <c r="J163" s="296"/>
      <c r="K163" s="296"/>
      <c r="L163" s="296"/>
      <c r="M163" s="296"/>
      <c r="N163" s="296"/>
      <c r="O163" s="296"/>
      <c r="P163" s="296"/>
      <c r="Q163" s="296"/>
      <c r="R163" s="296"/>
      <c r="S163" s="296"/>
      <c r="T163" s="296"/>
      <c r="U163" s="296"/>
      <c r="V163" s="296"/>
      <c r="W163" s="296"/>
      <c r="X163" s="296"/>
      <c r="Y163" s="296"/>
      <c r="Z163" s="296"/>
      <c r="AA163" s="296"/>
      <c r="AB163" s="296"/>
      <c r="AC163" s="296"/>
      <c r="AD163" s="296"/>
      <c r="AE163" s="296"/>
      <c r="AF163" s="296"/>
      <c r="AG163" s="296"/>
      <c r="AH163" s="296"/>
      <c r="AI163" s="296"/>
      <c r="AJ163" s="296"/>
      <c r="AK163" s="296"/>
      <c r="AL163" s="296"/>
      <c r="AM163" s="296"/>
      <c r="AN163" s="296"/>
      <c r="AO163" s="296"/>
      <c r="AP163" s="296"/>
      <c r="AQ163" s="296"/>
      <c r="AR163" s="296"/>
      <c r="AS163" s="296"/>
      <c r="AT163" s="296"/>
      <c r="AU163" s="296"/>
      <c r="AV163" s="296"/>
      <c r="AW163" s="296"/>
      <c r="AX163" s="296"/>
      <c r="AY163" s="296"/>
    </row>
    <row r="164" spans="1:51" x14ac:dyDescent="0.25">
      <c r="A164" s="295"/>
      <c r="B164" s="296"/>
      <c r="C164" s="296"/>
      <c r="D164" s="296"/>
      <c r="E164" s="296"/>
      <c r="F164" s="296"/>
      <c r="G164" s="296"/>
      <c r="H164" s="296"/>
      <c r="I164" s="296"/>
      <c r="J164" s="296"/>
      <c r="K164" s="296"/>
      <c r="L164" s="296"/>
      <c r="M164" s="296"/>
      <c r="N164" s="296"/>
      <c r="O164" s="296"/>
      <c r="P164" s="296"/>
      <c r="Q164" s="296"/>
      <c r="R164" s="296"/>
      <c r="S164" s="296"/>
      <c r="T164" s="296"/>
      <c r="U164" s="296"/>
      <c r="V164" s="296"/>
      <c r="W164" s="296"/>
      <c r="X164" s="296"/>
      <c r="Y164" s="296"/>
      <c r="Z164" s="296"/>
      <c r="AA164" s="296"/>
      <c r="AB164" s="296"/>
      <c r="AC164" s="296"/>
      <c r="AD164" s="296"/>
      <c r="AE164" s="296"/>
      <c r="AF164" s="296"/>
      <c r="AG164" s="296"/>
      <c r="AH164" s="296"/>
      <c r="AI164" s="296"/>
      <c r="AJ164" s="296"/>
      <c r="AK164" s="296"/>
      <c r="AL164" s="296"/>
      <c r="AM164" s="296"/>
      <c r="AN164" s="296"/>
      <c r="AO164" s="296"/>
      <c r="AP164" s="296"/>
      <c r="AQ164" s="296"/>
      <c r="AR164" s="296"/>
      <c r="AS164" s="296"/>
      <c r="AT164" s="296"/>
      <c r="AU164" s="296"/>
      <c r="AV164" s="296"/>
      <c r="AW164" s="296"/>
      <c r="AX164" s="296"/>
      <c r="AY164" s="296"/>
    </row>
    <row r="165" spans="1:51" x14ac:dyDescent="0.25">
      <c r="A165" s="295"/>
      <c r="B165" s="296"/>
      <c r="C165" s="296"/>
      <c r="D165" s="296"/>
      <c r="E165" s="296"/>
      <c r="F165" s="296"/>
      <c r="G165" s="296"/>
      <c r="H165" s="296"/>
      <c r="I165" s="296"/>
      <c r="J165" s="296"/>
      <c r="K165" s="296"/>
      <c r="L165" s="296"/>
      <c r="M165" s="296"/>
      <c r="N165" s="296"/>
      <c r="O165" s="296"/>
      <c r="P165" s="296"/>
      <c r="Q165" s="296"/>
      <c r="R165" s="296"/>
      <c r="S165" s="296"/>
      <c r="T165" s="296"/>
      <c r="U165" s="296"/>
      <c r="V165" s="296"/>
      <c r="W165" s="296"/>
      <c r="X165" s="296"/>
      <c r="Y165" s="296"/>
      <c r="Z165" s="296"/>
      <c r="AA165" s="296"/>
      <c r="AB165" s="296"/>
      <c r="AC165" s="296"/>
      <c r="AD165" s="296"/>
      <c r="AE165" s="296"/>
      <c r="AF165" s="296"/>
      <c r="AG165" s="296"/>
      <c r="AH165" s="296"/>
      <c r="AI165" s="296"/>
      <c r="AJ165" s="296"/>
      <c r="AK165" s="296"/>
      <c r="AL165" s="296"/>
      <c r="AM165" s="296"/>
      <c r="AN165" s="296"/>
      <c r="AO165" s="296"/>
      <c r="AP165" s="296"/>
      <c r="AQ165" s="296"/>
      <c r="AR165" s="296"/>
      <c r="AS165" s="296"/>
      <c r="AT165" s="296"/>
      <c r="AU165" s="296"/>
      <c r="AV165" s="296"/>
      <c r="AW165" s="296"/>
      <c r="AX165" s="296"/>
      <c r="AY165" s="296"/>
    </row>
    <row r="166" spans="1:51" x14ac:dyDescent="0.25">
      <c r="A166" s="295"/>
      <c r="B166" s="296"/>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296"/>
      <c r="Z166" s="296"/>
      <c r="AA166" s="296"/>
      <c r="AB166" s="296"/>
      <c r="AC166" s="296"/>
      <c r="AD166" s="296"/>
      <c r="AE166" s="296"/>
      <c r="AF166" s="296"/>
      <c r="AG166" s="296"/>
      <c r="AH166" s="296"/>
      <c r="AI166" s="296"/>
      <c r="AJ166" s="296"/>
      <c r="AK166" s="296"/>
      <c r="AL166" s="296"/>
      <c r="AM166" s="296"/>
      <c r="AN166" s="296"/>
      <c r="AO166" s="296"/>
      <c r="AP166" s="296"/>
      <c r="AQ166" s="296"/>
      <c r="AR166" s="296"/>
      <c r="AS166" s="296"/>
      <c r="AT166" s="296"/>
      <c r="AU166" s="296"/>
      <c r="AV166" s="296"/>
      <c r="AW166" s="296"/>
      <c r="AX166" s="296"/>
      <c r="AY166" s="296"/>
    </row>
    <row r="167" spans="1:51" x14ac:dyDescent="0.25">
      <c r="A167" s="295"/>
      <c r="B167" s="296"/>
      <c r="C167" s="296"/>
      <c r="D167" s="296"/>
      <c r="E167" s="296"/>
      <c r="F167" s="296"/>
      <c r="G167" s="296"/>
      <c r="H167" s="296"/>
      <c r="I167" s="296"/>
      <c r="J167" s="296"/>
      <c r="K167" s="296"/>
      <c r="L167" s="296"/>
      <c r="M167" s="296"/>
      <c r="N167" s="296"/>
      <c r="O167" s="296"/>
      <c r="P167" s="296"/>
      <c r="Q167" s="296"/>
      <c r="R167" s="296"/>
      <c r="S167" s="296"/>
      <c r="T167" s="296"/>
      <c r="U167" s="296"/>
      <c r="V167" s="296"/>
      <c r="W167" s="296"/>
      <c r="X167" s="296"/>
      <c r="Y167" s="296"/>
      <c r="Z167" s="296"/>
      <c r="AA167" s="296"/>
      <c r="AB167" s="296"/>
      <c r="AC167" s="296"/>
      <c r="AD167" s="296"/>
      <c r="AE167" s="296"/>
      <c r="AF167" s="296"/>
      <c r="AG167" s="296"/>
      <c r="AH167" s="296"/>
      <c r="AI167" s="296"/>
      <c r="AJ167" s="296"/>
      <c r="AK167" s="296"/>
      <c r="AL167" s="296"/>
      <c r="AM167" s="296"/>
      <c r="AN167" s="296"/>
      <c r="AO167" s="296"/>
      <c r="AP167" s="296"/>
      <c r="AQ167" s="296"/>
      <c r="AR167" s="296"/>
      <c r="AS167" s="296"/>
      <c r="AT167" s="296"/>
      <c r="AU167" s="296"/>
      <c r="AV167" s="296"/>
      <c r="AW167" s="296"/>
      <c r="AX167" s="296"/>
      <c r="AY167" s="296"/>
    </row>
    <row r="168" spans="1:51" x14ac:dyDescent="0.25">
      <c r="A168" s="295"/>
      <c r="B168" s="296"/>
      <c r="C168" s="296"/>
      <c r="D168" s="296"/>
      <c r="E168" s="296"/>
      <c r="F168" s="296"/>
      <c r="G168" s="296"/>
      <c r="H168" s="296"/>
      <c r="I168" s="296"/>
      <c r="J168" s="296"/>
      <c r="K168" s="296"/>
      <c r="L168" s="296"/>
      <c r="M168" s="296"/>
      <c r="N168" s="296"/>
      <c r="O168" s="296"/>
      <c r="P168" s="296"/>
      <c r="Q168" s="296"/>
      <c r="R168" s="296"/>
      <c r="S168" s="296"/>
      <c r="T168" s="296"/>
      <c r="U168" s="296"/>
      <c r="V168" s="296"/>
      <c r="W168" s="296"/>
      <c r="X168" s="296"/>
      <c r="Y168" s="296"/>
      <c r="Z168" s="296"/>
      <c r="AA168" s="296"/>
      <c r="AB168" s="296"/>
      <c r="AC168" s="296"/>
      <c r="AD168" s="296"/>
      <c r="AE168" s="296"/>
      <c r="AF168" s="296"/>
      <c r="AG168" s="296"/>
      <c r="AH168" s="296"/>
      <c r="AI168" s="296"/>
      <c r="AJ168" s="296"/>
      <c r="AK168" s="296"/>
      <c r="AL168" s="296"/>
      <c r="AM168" s="296"/>
      <c r="AN168" s="296"/>
      <c r="AO168" s="296"/>
      <c r="AP168" s="296"/>
      <c r="AQ168" s="296"/>
      <c r="AR168" s="296"/>
      <c r="AS168" s="296"/>
      <c r="AT168" s="296"/>
      <c r="AU168" s="296"/>
      <c r="AV168" s="296"/>
      <c r="AW168" s="296"/>
      <c r="AX168" s="296"/>
      <c r="AY168" s="296"/>
    </row>
    <row r="169" spans="1:51" x14ac:dyDescent="0.25">
      <c r="A169" s="295"/>
      <c r="B169" s="296"/>
      <c r="C169" s="296"/>
      <c r="D169" s="296"/>
      <c r="E169" s="296"/>
      <c r="F169" s="296"/>
      <c r="G169" s="296"/>
      <c r="H169" s="296"/>
      <c r="I169" s="296"/>
      <c r="J169" s="296"/>
      <c r="K169" s="296"/>
      <c r="L169" s="296"/>
      <c r="M169" s="296"/>
      <c r="N169" s="296"/>
      <c r="O169" s="296"/>
      <c r="P169" s="296"/>
      <c r="Q169" s="296"/>
      <c r="R169" s="296"/>
      <c r="S169" s="296"/>
      <c r="T169" s="296"/>
      <c r="U169" s="296"/>
      <c r="V169" s="296"/>
      <c r="W169" s="296"/>
      <c r="X169" s="296"/>
      <c r="Y169" s="296"/>
      <c r="Z169" s="296"/>
      <c r="AA169" s="296"/>
      <c r="AB169" s="296"/>
      <c r="AC169" s="296"/>
      <c r="AD169" s="296"/>
      <c r="AE169" s="296"/>
      <c r="AF169" s="296"/>
      <c r="AG169" s="296"/>
      <c r="AH169" s="296"/>
      <c r="AI169" s="296"/>
      <c r="AJ169" s="296"/>
      <c r="AK169" s="296"/>
      <c r="AL169" s="296"/>
      <c r="AM169" s="296"/>
      <c r="AN169" s="296"/>
      <c r="AO169" s="296"/>
      <c r="AP169" s="296"/>
      <c r="AQ169" s="296"/>
      <c r="AR169" s="296"/>
      <c r="AS169" s="296"/>
      <c r="AT169" s="296"/>
      <c r="AU169" s="296"/>
      <c r="AV169" s="296"/>
      <c r="AW169" s="296"/>
      <c r="AX169" s="296"/>
      <c r="AY169" s="296"/>
    </row>
    <row r="170" spans="1:51" x14ac:dyDescent="0.25">
      <c r="A170" s="295"/>
      <c r="B170" s="296"/>
      <c r="C170" s="296"/>
      <c r="D170" s="296"/>
      <c r="E170" s="296"/>
      <c r="F170" s="296"/>
      <c r="G170" s="296"/>
      <c r="H170" s="296"/>
      <c r="I170" s="296"/>
      <c r="J170" s="296"/>
      <c r="K170" s="296"/>
      <c r="L170" s="296"/>
      <c r="M170" s="296"/>
      <c r="N170" s="296"/>
      <c r="O170" s="296"/>
      <c r="P170" s="296"/>
      <c r="Q170" s="296"/>
      <c r="R170" s="296"/>
      <c r="S170" s="296"/>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296"/>
      <c r="AP170" s="296"/>
      <c r="AQ170" s="296"/>
      <c r="AR170" s="296"/>
      <c r="AS170" s="296"/>
      <c r="AT170" s="296"/>
      <c r="AU170" s="296"/>
      <c r="AV170" s="296"/>
      <c r="AW170" s="296"/>
      <c r="AX170" s="296"/>
      <c r="AY170" s="296"/>
    </row>
    <row r="171" spans="1:51" x14ac:dyDescent="0.25">
      <c r="A171" s="295"/>
      <c r="B171" s="296"/>
      <c r="C171" s="296"/>
      <c r="D171" s="296"/>
      <c r="E171" s="296"/>
      <c r="F171" s="296"/>
      <c r="G171" s="296"/>
      <c r="H171" s="296"/>
      <c r="I171" s="296"/>
      <c r="J171" s="296"/>
      <c r="K171" s="296"/>
      <c r="L171" s="296"/>
      <c r="M171" s="296"/>
      <c r="N171" s="296"/>
      <c r="O171" s="296"/>
      <c r="P171" s="296"/>
      <c r="Q171" s="296"/>
      <c r="R171" s="296"/>
      <c r="S171" s="296"/>
      <c r="T171" s="296"/>
      <c r="U171" s="296"/>
      <c r="V171" s="296"/>
      <c r="W171" s="296"/>
      <c r="X171" s="296"/>
      <c r="Y171" s="296"/>
      <c r="Z171" s="296"/>
      <c r="AA171" s="296"/>
      <c r="AB171" s="296"/>
      <c r="AC171" s="296"/>
      <c r="AD171" s="296"/>
      <c r="AE171" s="296"/>
      <c r="AF171" s="296"/>
      <c r="AG171" s="296"/>
      <c r="AH171" s="296"/>
      <c r="AI171" s="296"/>
      <c r="AJ171" s="296"/>
      <c r="AK171" s="296"/>
      <c r="AL171" s="296"/>
      <c r="AM171" s="296"/>
      <c r="AN171" s="296"/>
      <c r="AO171" s="296"/>
      <c r="AP171" s="296"/>
      <c r="AQ171" s="296"/>
      <c r="AR171" s="296"/>
      <c r="AS171" s="296"/>
      <c r="AT171" s="296"/>
      <c r="AU171" s="296"/>
      <c r="AV171" s="296"/>
      <c r="AW171" s="296"/>
      <c r="AX171" s="296"/>
      <c r="AY171" s="296"/>
    </row>
    <row r="172" spans="1:51" x14ac:dyDescent="0.25">
      <c r="A172" s="295"/>
      <c r="B172" s="296"/>
      <c r="C172" s="296"/>
      <c r="D172" s="296"/>
      <c r="E172" s="296"/>
      <c r="F172" s="296"/>
      <c r="G172" s="296"/>
      <c r="H172" s="296"/>
      <c r="I172" s="296"/>
      <c r="J172" s="296"/>
      <c r="K172" s="296"/>
      <c r="L172" s="296"/>
      <c r="M172" s="296"/>
      <c r="N172" s="296"/>
      <c r="O172" s="296"/>
      <c r="P172" s="296"/>
      <c r="Q172" s="296"/>
      <c r="R172" s="296"/>
      <c r="S172" s="296"/>
      <c r="T172" s="296"/>
      <c r="U172" s="296"/>
      <c r="V172" s="296"/>
      <c r="W172" s="296"/>
      <c r="X172" s="296"/>
      <c r="Y172" s="296"/>
      <c r="Z172" s="296"/>
      <c r="AA172" s="296"/>
      <c r="AB172" s="296"/>
      <c r="AC172" s="296"/>
      <c r="AD172" s="296"/>
      <c r="AE172" s="296"/>
      <c r="AF172" s="296"/>
      <c r="AG172" s="296"/>
      <c r="AH172" s="296"/>
      <c r="AI172" s="296"/>
      <c r="AJ172" s="296"/>
      <c r="AK172" s="296"/>
      <c r="AL172" s="296"/>
      <c r="AM172" s="296"/>
      <c r="AN172" s="296"/>
      <c r="AO172" s="296"/>
      <c r="AP172" s="296"/>
      <c r="AQ172" s="296"/>
      <c r="AR172" s="296"/>
      <c r="AS172" s="296"/>
      <c r="AT172" s="296"/>
      <c r="AU172" s="296"/>
      <c r="AV172" s="296"/>
      <c r="AW172" s="296"/>
      <c r="AX172" s="296"/>
      <c r="AY172" s="296"/>
    </row>
    <row r="173" spans="1:51" x14ac:dyDescent="0.25">
      <c r="A173" s="295"/>
      <c r="B173" s="296"/>
      <c r="C173" s="296"/>
      <c r="D173" s="296"/>
      <c r="E173" s="296"/>
      <c r="F173" s="296"/>
      <c r="G173" s="296"/>
      <c r="H173" s="296"/>
      <c r="I173" s="296"/>
      <c r="J173" s="296"/>
      <c r="K173" s="296"/>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96"/>
      <c r="AP173" s="296"/>
      <c r="AQ173" s="296"/>
      <c r="AR173" s="296"/>
      <c r="AS173" s="296"/>
      <c r="AT173" s="296"/>
      <c r="AU173" s="296"/>
      <c r="AV173" s="296"/>
      <c r="AW173" s="296"/>
      <c r="AX173" s="296"/>
      <c r="AY173" s="296"/>
    </row>
    <row r="174" spans="1:51" x14ac:dyDescent="0.25">
      <c r="A174" s="295"/>
      <c r="B174" s="296"/>
      <c r="C174" s="296"/>
      <c r="D174" s="296"/>
      <c r="E174" s="296"/>
      <c r="F174" s="296"/>
      <c r="G174" s="296"/>
      <c r="H174" s="296"/>
      <c r="I174" s="296"/>
      <c r="J174" s="296"/>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96"/>
      <c r="AP174" s="296"/>
      <c r="AQ174" s="296"/>
      <c r="AR174" s="296"/>
      <c r="AS174" s="296"/>
      <c r="AT174" s="296"/>
      <c r="AU174" s="296"/>
      <c r="AV174" s="296"/>
      <c r="AW174" s="296"/>
      <c r="AX174" s="296"/>
      <c r="AY174" s="296"/>
    </row>
    <row r="175" spans="1:51" x14ac:dyDescent="0.25">
      <c r="A175" s="295"/>
      <c r="B175" s="296"/>
      <c r="C175" s="296"/>
      <c r="D175" s="296"/>
      <c r="E175" s="296"/>
      <c r="F175" s="296"/>
      <c r="G175" s="296"/>
      <c r="H175" s="296"/>
      <c r="I175" s="296"/>
      <c r="J175" s="296"/>
      <c r="K175" s="296"/>
      <c r="L175" s="296"/>
      <c r="M175" s="296"/>
      <c r="N175" s="296"/>
      <c r="O175" s="296"/>
      <c r="P175" s="296"/>
      <c r="Q175" s="296"/>
      <c r="R175" s="296"/>
      <c r="S175" s="296"/>
      <c r="T175" s="296"/>
      <c r="U175" s="296"/>
      <c r="V175" s="296"/>
      <c r="W175" s="296"/>
      <c r="X175" s="296"/>
      <c r="Y175" s="296"/>
      <c r="Z175" s="296"/>
      <c r="AA175" s="296"/>
      <c r="AB175" s="296"/>
      <c r="AC175" s="296"/>
      <c r="AD175" s="296"/>
      <c r="AE175" s="296"/>
      <c r="AF175" s="296"/>
      <c r="AG175" s="296"/>
      <c r="AH175" s="296"/>
      <c r="AI175" s="296"/>
      <c r="AJ175" s="296"/>
      <c r="AK175" s="296"/>
      <c r="AL175" s="296"/>
      <c r="AM175" s="296"/>
      <c r="AN175" s="296"/>
      <c r="AO175" s="296"/>
      <c r="AP175" s="296"/>
      <c r="AQ175" s="296"/>
      <c r="AR175" s="296"/>
      <c r="AS175" s="296"/>
      <c r="AT175" s="296"/>
      <c r="AU175" s="296"/>
      <c r="AV175" s="296"/>
      <c r="AW175" s="296"/>
      <c r="AX175" s="296"/>
      <c r="AY175" s="296"/>
    </row>
    <row r="176" spans="1:51" x14ac:dyDescent="0.25">
      <c r="A176" s="295"/>
      <c r="B176" s="296"/>
      <c r="C176" s="296"/>
      <c r="D176" s="296"/>
      <c r="E176" s="296"/>
      <c r="F176" s="296"/>
      <c r="G176" s="296"/>
      <c r="H176" s="296"/>
      <c r="I176" s="296"/>
      <c r="J176" s="296"/>
      <c r="K176" s="296"/>
      <c r="L176" s="296"/>
      <c r="M176" s="296"/>
      <c r="N176" s="296"/>
      <c r="O176" s="296"/>
      <c r="P176" s="296"/>
      <c r="Q176" s="296"/>
      <c r="R176" s="296"/>
      <c r="S176" s="296"/>
      <c r="T176" s="296"/>
      <c r="U176" s="296"/>
      <c r="V176" s="296"/>
      <c r="W176" s="296"/>
      <c r="X176" s="296"/>
      <c r="Y176" s="296"/>
      <c r="Z176" s="296"/>
      <c r="AA176" s="296"/>
      <c r="AB176" s="296"/>
      <c r="AC176" s="296"/>
      <c r="AD176" s="296"/>
      <c r="AE176" s="296"/>
      <c r="AF176" s="296"/>
      <c r="AG176" s="296"/>
      <c r="AH176" s="296"/>
      <c r="AI176" s="296"/>
      <c r="AJ176" s="296"/>
      <c r="AK176" s="296"/>
      <c r="AL176" s="296"/>
      <c r="AM176" s="296"/>
      <c r="AN176" s="296"/>
      <c r="AO176" s="296"/>
      <c r="AP176" s="296"/>
      <c r="AQ176" s="296"/>
      <c r="AR176" s="296"/>
      <c r="AS176" s="296"/>
      <c r="AT176" s="296"/>
      <c r="AU176" s="296"/>
      <c r="AV176" s="296"/>
      <c r="AW176" s="296"/>
      <c r="AX176" s="296"/>
      <c r="AY176" s="296"/>
    </row>
    <row r="177" spans="1:51" x14ac:dyDescent="0.25">
      <c r="A177" s="295"/>
      <c r="B177" s="296"/>
      <c r="C177" s="296"/>
      <c r="D177" s="296"/>
      <c r="E177" s="296"/>
      <c r="F177" s="296"/>
      <c r="G177" s="296"/>
      <c r="H177" s="296"/>
      <c r="I177" s="296"/>
      <c r="J177" s="296"/>
      <c r="K177" s="296"/>
      <c r="L177" s="296"/>
      <c r="M177" s="296"/>
      <c r="N177" s="296"/>
      <c r="O177" s="296"/>
      <c r="P177" s="296"/>
      <c r="Q177" s="296"/>
      <c r="R177" s="296"/>
      <c r="S177" s="296"/>
      <c r="T177" s="296"/>
      <c r="U177" s="296"/>
      <c r="V177" s="296"/>
      <c r="W177" s="296"/>
      <c r="X177" s="296"/>
      <c r="Y177" s="296"/>
      <c r="Z177" s="296"/>
      <c r="AA177" s="296"/>
      <c r="AB177" s="296"/>
      <c r="AC177" s="296"/>
      <c r="AD177" s="296"/>
      <c r="AE177" s="296"/>
      <c r="AF177" s="296"/>
      <c r="AG177" s="296"/>
      <c r="AH177" s="296"/>
      <c r="AI177" s="296"/>
      <c r="AJ177" s="296"/>
      <c r="AK177" s="296"/>
      <c r="AL177" s="296"/>
      <c r="AM177" s="296"/>
      <c r="AN177" s="296"/>
      <c r="AO177" s="296"/>
      <c r="AP177" s="296"/>
      <c r="AQ177" s="296"/>
      <c r="AR177" s="296"/>
      <c r="AS177" s="296"/>
      <c r="AT177" s="296"/>
      <c r="AU177" s="296"/>
      <c r="AV177" s="296"/>
      <c r="AW177" s="296"/>
      <c r="AX177" s="296"/>
      <c r="AY177" s="296"/>
    </row>
    <row r="178" spans="1:51" x14ac:dyDescent="0.25">
      <c r="A178" s="295"/>
      <c r="B178" s="296"/>
      <c r="C178" s="296"/>
      <c r="D178" s="296"/>
      <c r="E178" s="296"/>
      <c r="F178" s="296"/>
      <c r="G178" s="296"/>
      <c r="H178" s="296"/>
      <c r="I178" s="296"/>
      <c r="J178" s="296"/>
      <c r="K178" s="296"/>
      <c r="L178" s="296"/>
      <c r="M178" s="296"/>
      <c r="N178" s="296"/>
      <c r="O178" s="296"/>
      <c r="P178" s="296"/>
      <c r="Q178" s="296"/>
      <c r="R178" s="296"/>
      <c r="S178" s="296"/>
      <c r="T178" s="296"/>
      <c r="U178" s="296"/>
      <c r="V178" s="296"/>
      <c r="W178" s="296"/>
      <c r="X178" s="296"/>
      <c r="Y178" s="296"/>
      <c r="Z178" s="296"/>
      <c r="AA178" s="296"/>
      <c r="AB178" s="296"/>
      <c r="AC178" s="296"/>
      <c r="AD178" s="296"/>
      <c r="AE178" s="296"/>
      <c r="AF178" s="296"/>
      <c r="AG178" s="296"/>
      <c r="AH178" s="296"/>
      <c r="AI178" s="296"/>
      <c r="AJ178" s="296"/>
      <c r="AK178" s="296"/>
      <c r="AL178" s="296"/>
      <c r="AM178" s="296"/>
      <c r="AN178" s="296"/>
      <c r="AO178" s="296"/>
      <c r="AP178" s="296"/>
      <c r="AQ178" s="296"/>
      <c r="AR178" s="296"/>
      <c r="AS178" s="296"/>
      <c r="AT178" s="296"/>
      <c r="AU178" s="296"/>
      <c r="AV178" s="296"/>
      <c r="AW178" s="296"/>
      <c r="AX178" s="296"/>
      <c r="AY178" s="296"/>
    </row>
    <row r="179" spans="1:51" x14ac:dyDescent="0.25">
      <c r="A179" s="295"/>
      <c r="B179" s="296"/>
      <c r="C179" s="296"/>
      <c r="D179" s="296"/>
      <c r="E179" s="296"/>
      <c r="F179" s="296"/>
      <c r="G179" s="296"/>
      <c r="H179" s="296"/>
      <c r="I179" s="296"/>
      <c r="J179" s="296"/>
      <c r="K179" s="296"/>
      <c r="L179" s="296"/>
      <c r="M179" s="296"/>
      <c r="N179" s="296"/>
      <c r="O179" s="296"/>
      <c r="P179" s="296"/>
      <c r="Q179" s="296"/>
      <c r="R179" s="296"/>
      <c r="S179" s="296"/>
      <c r="T179" s="296"/>
      <c r="U179" s="296"/>
      <c r="V179" s="296"/>
      <c r="W179" s="296"/>
      <c r="X179" s="296"/>
      <c r="Y179" s="296"/>
      <c r="Z179" s="296"/>
      <c r="AA179" s="296"/>
      <c r="AB179" s="296"/>
      <c r="AC179" s="296"/>
      <c r="AD179" s="296"/>
      <c r="AE179" s="296"/>
      <c r="AF179" s="296"/>
      <c r="AG179" s="296"/>
      <c r="AH179" s="296"/>
      <c r="AI179" s="296"/>
      <c r="AJ179" s="296"/>
      <c r="AK179" s="296"/>
      <c r="AL179" s="296"/>
      <c r="AM179" s="296"/>
      <c r="AN179" s="296"/>
      <c r="AO179" s="296"/>
      <c r="AP179" s="296"/>
      <c r="AQ179" s="296"/>
      <c r="AR179" s="296"/>
      <c r="AS179" s="296"/>
      <c r="AT179" s="296"/>
      <c r="AU179" s="296"/>
      <c r="AV179" s="296"/>
      <c r="AW179" s="296"/>
      <c r="AX179" s="296"/>
      <c r="AY179" s="296"/>
    </row>
    <row r="180" spans="1:51" x14ac:dyDescent="0.25">
      <c r="A180" s="295"/>
      <c r="B180" s="296"/>
      <c r="C180" s="296"/>
      <c r="D180" s="296"/>
      <c r="E180" s="296"/>
      <c r="F180" s="296"/>
      <c r="G180" s="296"/>
      <c r="H180" s="296"/>
      <c r="I180" s="296"/>
      <c r="J180" s="296"/>
      <c r="K180" s="296"/>
      <c r="L180" s="296"/>
      <c r="M180" s="296"/>
      <c r="N180" s="296"/>
      <c r="O180" s="296"/>
      <c r="P180" s="296"/>
      <c r="Q180" s="296"/>
      <c r="R180" s="296"/>
      <c r="S180" s="296"/>
      <c r="T180" s="296"/>
      <c r="U180" s="296"/>
      <c r="V180" s="296"/>
      <c r="W180" s="296"/>
      <c r="X180" s="296"/>
      <c r="Y180" s="296"/>
      <c r="Z180" s="296"/>
      <c r="AA180" s="296"/>
      <c r="AB180" s="296"/>
      <c r="AC180" s="296"/>
      <c r="AD180" s="296"/>
      <c r="AE180" s="296"/>
      <c r="AF180" s="296"/>
      <c r="AG180" s="296"/>
      <c r="AH180" s="296"/>
      <c r="AI180" s="296"/>
      <c r="AJ180" s="296"/>
      <c r="AK180" s="296"/>
      <c r="AL180" s="296"/>
      <c r="AM180" s="296"/>
      <c r="AN180" s="296"/>
      <c r="AO180" s="296"/>
      <c r="AP180" s="296"/>
      <c r="AQ180" s="296"/>
      <c r="AR180" s="296"/>
      <c r="AS180" s="296"/>
      <c r="AT180" s="296"/>
      <c r="AU180" s="296"/>
      <c r="AV180" s="296"/>
      <c r="AW180" s="296"/>
      <c r="AX180" s="296"/>
      <c r="AY180" s="296"/>
    </row>
    <row r="181" spans="1:51" x14ac:dyDescent="0.25">
      <c r="A181" s="295"/>
      <c r="B181" s="296"/>
      <c r="C181" s="296"/>
      <c r="D181" s="296"/>
      <c r="E181" s="296"/>
      <c r="F181" s="296"/>
      <c r="G181" s="296"/>
      <c r="H181" s="296"/>
      <c r="I181" s="296"/>
      <c r="J181" s="296"/>
      <c r="K181" s="296"/>
      <c r="L181" s="296"/>
      <c r="M181" s="296"/>
      <c r="N181" s="296"/>
      <c r="O181" s="296"/>
      <c r="P181" s="296"/>
      <c r="Q181" s="296"/>
      <c r="R181" s="296"/>
      <c r="S181" s="296"/>
      <c r="T181" s="296"/>
      <c r="U181" s="296"/>
      <c r="V181" s="296"/>
      <c r="W181" s="296"/>
      <c r="X181" s="296"/>
      <c r="Y181" s="296"/>
      <c r="Z181" s="296"/>
      <c r="AA181" s="296"/>
      <c r="AB181" s="296"/>
      <c r="AC181" s="296"/>
      <c r="AD181" s="296"/>
      <c r="AE181" s="296"/>
      <c r="AF181" s="296"/>
      <c r="AG181" s="296"/>
      <c r="AH181" s="296"/>
      <c r="AI181" s="296"/>
      <c r="AJ181" s="296"/>
      <c r="AK181" s="296"/>
      <c r="AL181" s="296"/>
      <c r="AM181" s="296"/>
      <c r="AN181" s="296"/>
      <c r="AO181" s="296"/>
      <c r="AP181" s="296"/>
      <c r="AQ181" s="296"/>
      <c r="AR181" s="296"/>
      <c r="AS181" s="296"/>
      <c r="AT181" s="296"/>
      <c r="AU181" s="296"/>
      <c r="AV181" s="296"/>
      <c r="AW181" s="296"/>
      <c r="AX181" s="296"/>
      <c r="AY181" s="296"/>
    </row>
    <row r="182" spans="1:51" x14ac:dyDescent="0.25">
      <c r="A182" s="295"/>
      <c r="B182" s="296"/>
      <c r="C182" s="296"/>
      <c r="D182" s="296"/>
      <c r="E182" s="296"/>
      <c r="F182" s="296"/>
      <c r="G182" s="296"/>
      <c r="H182" s="296"/>
      <c r="I182" s="296"/>
      <c r="J182" s="296"/>
      <c r="K182" s="296"/>
      <c r="L182" s="296"/>
      <c r="M182" s="296"/>
      <c r="N182" s="296"/>
      <c r="O182" s="296"/>
      <c r="P182" s="296"/>
      <c r="Q182" s="296"/>
      <c r="R182" s="296"/>
      <c r="S182" s="296"/>
      <c r="T182" s="296"/>
      <c r="U182" s="296"/>
      <c r="V182" s="296"/>
      <c r="W182" s="296"/>
      <c r="X182" s="296"/>
      <c r="Y182" s="296"/>
      <c r="Z182" s="296"/>
      <c r="AA182" s="296"/>
      <c r="AB182" s="296"/>
      <c r="AC182" s="296"/>
      <c r="AD182" s="296"/>
      <c r="AE182" s="296"/>
      <c r="AF182" s="296"/>
      <c r="AG182" s="296"/>
      <c r="AH182" s="296"/>
      <c r="AI182" s="296"/>
      <c r="AJ182" s="296"/>
      <c r="AK182" s="296"/>
      <c r="AL182" s="296"/>
      <c r="AM182" s="296"/>
      <c r="AN182" s="296"/>
      <c r="AO182" s="296"/>
      <c r="AP182" s="296"/>
      <c r="AQ182" s="296"/>
      <c r="AR182" s="296"/>
      <c r="AS182" s="296"/>
      <c r="AT182" s="296"/>
      <c r="AU182" s="296"/>
      <c r="AV182" s="296"/>
      <c r="AW182" s="296"/>
      <c r="AX182" s="296"/>
      <c r="AY182" s="296"/>
    </row>
    <row r="183" spans="1:51" x14ac:dyDescent="0.25">
      <c r="A183" s="295"/>
      <c r="B183" s="296"/>
      <c r="C183" s="296"/>
      <c r="D183" s="296"/>
      <c r="E183" s="296"/>
      <c r="F183" s="296"/>
      <c r="G183" s="296"/>
      <c r="H183" s="296"/>
      <c r="I183" s="296"/>
      <c r="J183" s="296"/>
      <c r="K183" s="296"/>
      <c r="L183" s="296"/>
      <c r="M183" s="296"/>
      <c r="N183" s="296"/>
      <c r="O183" s="296"/>
      <c r="P183" s="296"/>
      <c r="Q183" s="296"/>
      <c r="R183" s="296"/>
      <c r="S183" s="296"/>
      <c r="T183" s="296"/>
      <c r="U183" s="296"/>
      <c r="V183" s="296"/>
      <c r="W183" s="296"/>
      <c r="X183" s="296"/>
      <c r="Y183" s="296"/>
      <c r="Z183" s="296"/>
      <c r="AA183" s="296"/>
      <c r="AB183" s="296"/>
      <c r="AC183" s="296"/>
      <c r="AD183" s="296"/>
      <c r="AE183" s="296"/>
      <c r="AF183" s="296"/>
      <c r="AG183" s="296"/>
      <c r="AH183" s="296"/>
      <c r="AI183" s="296"/>
      <c r="AJ183" s="296"/>
      <c r="AK183" s="296"/>
      <c r="AL183" s="296"/>
      <c r="AM183" s="296"/>
      <c r="AN183" s="296"/>
      <c r="AO183" s="296"/>
      <c r="AP183" s="296"/>
      <c r="AQ183" s="296"/>
      <c r="AR183" s="296"/>
      <c r="AS183" s="296"/>
      <c r="AT183" s="296"/>
      <c r="AU183" s="296"/>
      <c r="AV183" s="296"/>
      <c r="AW183" s="296"/>
      <c r="AX183" s="296"/>
      <c r="AY183" s="296"/>
    </row>
    <row r="184" spans="1:51" x14ac:dyDescent="0.25">
      <c r="A184" s="295"/>
      <c r="B184" s="296"/>
      <c r="C184" s="296"/>
      <c r="D184" s="296"/>
      <c r="E184" s="296"/>
      <c r="F184" s="296"/>
      <c r="G184" s="296"/>
      <c r="H184" s="296"/>
      <c r="I184" s="296"/>
      <c r="J184" s="296"/>
      <c r="K184" s="296"/>
      <c r="L184" s="296"/>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c r="AH184" s="296"/>
      <c r="AI184" s="296"/>
      <c r="AJ184" s="296"/>
      <c r="AK184" s="296"/>
      <c r="AL184" s="296"/>
      <c r="AM184" s="296"/>
      <c r="AN184" s="296"/>
      <c r="AO184" s="296"/>
      <c r="AP184" s="296"/>
      <c r="AQ184" s="296"/>
      <c r="AR184" s="296"/>
      <c r="AS184" s="296"/>
      <c r="AT184" s="296"/>
      <c r="AU184" s="296"/>
      <c r="AV184" s="296"/>
      <c r="AW184" s="296"/>
      <c r="AX184" s="296"/>
      <c r="AY184" s="296"/>
    </row>
    <row r="185" spans="1:51" x14ac:dyDescent="0.25">
      <c r="A185" s="295"/>
      <c r="B185" s="296"/>
      <c r="C185" s="296"/>
      <c r="D185" s="296"/>
      <c r="E185" s="296"/>
      <c r="F185" s="296"/>
      <c r="G185" s="296"/>
      <c r="H185" s="296"/>
      <c r="I185" s="296"/>
      <c r="J185" s="296"/>
      <c r="K185" s="296"/>
      <c r="L185" s="296"/>
      <c r="M185" s="296"/>
      <c r="N185" s="296"/>
      <c r="O185" s="296"/>
      <c r="P185" s="296"/>
      <c r="Q185" s="296"/>
      <c r="R185" s="296"/>
      <c r="S185" s="296"/>
      <c r="T185" s="296"/>
      <c r="U185" s="296"/>
      <c r="V185" s="296"/>
      <c r="W185" s="296"/>
      <c r="X185" s="296"/>
      <c r="Y185" s="296"/>
      <c r="Z185" s="296"/>
      <c r="AA185" s="296"/>
      <c r="AB185" s="296"/>
      <c r="AC185" s="296"/>
      <c r="AD185" s="296"/>
      <c r="AE185" s="296"/>
      <c r="AF185" s="296"/>
      <c r="AG185" s="296"/>
      <c r="AH185" s="296"/>
      <c r="AI185" s="296"/>
      <c r="AJ185" s="296"/>
      <c r="AK185" s="296"/>
      <c r="AL185" s="296"/>
      <c r="AM185" s="296"/>
      <c r="AN185" s="296"/>
      <c r="AO185" s="296"/>
      <c r="AP185" s="296"/>
      <c r="AQ185" s="296"/>
      <c r="AR185" s="296"/>
      <c r="AS185" s="296"/>
      <c r="AT185" s="296"/>
      <c r="AU185" s="296"/>
      <c r="AV185" s="296"/>
      <c r="AW185" s="296"/>
      <c r="AX185" s="296"/>
      <c r="AY185" s="296"/>
    </row>
    <row r="186" spans="1:51" x14ac:dyDescent="0.25">
      <c r="A186" s="295"/>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296"/>
      <c r="AC186" s="296"/>
      <c r="AD186" s="296"/>
      <c r="AE186" s="296"/>
      <c r="AF186" s="296"/>
      <c r="AG186" s="296"/>
      <c r="AH186" s="296"/>
      <c r="AI186" s="296"/>
      <c r="AJ186" s="296"/>
      <c r="AK186" s="296"/>
      <c r="AL186" s="296"/>
      <c r="AM186" s="296"/>
      <c r="AN186" s="296"/>
      <c r="AO186" s="296"/>
      <c r="AP186" s="296"/>
      <c r="AQ186" s="296"/>
      <c r="AR186" s="296"/>
      <c r="AS186" s="296"/>
      <c r="AT186" s="296"/>
      <c r="AU186" s="296"/>
      <c r="AV186" s="296"/>
      <c r="AW186" s="296"/>
      <c r="AX186" s="296"/>
      <c r="AY186" s="296"/>
    </row>
    <row r="187" spans="1:51" x14ac:dyDescent="0.25">
      <c r="A187" s="295"/>
      <c r="B187" s="296"/>
      <c r="C187" s="296"/>
      <c r="D187" s="296"/>
      <c r="E187" s="296"/>
      <c r="F187" s="296"/>
      <c r="G187" s="296"/>
      <c r="H187" s="296"/>
      <c r="I187" s="296"/>
      <c r="J187" s="296"/>
      <c r="K187" s="296"/>
      <c r="L187" s="296"/>
      <c r="M187" s="296"/>
      <c r="N187" s="296"/>
      <c r="O187" s="296"/>
      <c r="P187" s="296"/>
      <c r="Q187" s="296"/>
      <c r="R187" s="296"/>
      <c r="S187" s="296"/>
      <c r="T187" s="296"/>
      <c r="U187" s="296"/>
      <c r="V187" s="296"/>
      <c r="W187" s="296"/>
      <c r="X187" s="296"/>
      <c r="Y187" s="296"/>
      <c r="Z187" s="296"/>
      <c r="AA187" s="296"/>
      <c r="AB187" s="296"/>
      <c r="AC187" s="296"/>
      <c r="AD187" s="296"/>
      <c r="AE187" s="296"/>
      <c r="AF187" s="296"/>
      <c r="AG187" s="296"/>
      <c r="AH187" s="296"/>
      <c r="AI187" s="296"/>
      <c r="AJ187" s="296"/>
      <c r="AK187" s="296"/>
      <c r="AL187" s="296"/>
      <c r="AM187" s="296"/>
      <c r="AN187" s="296"/>
      <c r="AO187" s="296"/>
      <c r="AP187" s="296"/>
      <c r="AQ187" s="296"/>
      <c r="AR187" s="296"/>
      <c r="AS187" s="296"/>
      <c r="AT187" s="296"/>
      <c r="AU187" s="296"/>
      <c r="AV187" s="296"/>
      <c r="AW187" s="296"/>
      <c r="AX187" s="296"/>
      <c r="AY187" s="296"/>
    </row>
    <row r="188" spans="1:51" x14ac:dyDescent="0.25">
      <c r="A188" s="295"/>
      <c r="B188" s="296"/>
      <c r="C188" s="296"/>
      <c r="D188" s="296"/>
      <c r="E188" s="296"/>
      <c r="F188" s="296"/>
      <c r="G188" s="296"/>
      <c r="H188" s="296"/>
      <c r="I188" s="296"/>
      <c r="J188" s="296"/>
      <c r="K188" s="296"/>
      <c r="L188" s="296"/>
      <c r="M188" s="296"/>
      <c r="N188" s="296"/>
      <c r="O188" s="296"/>
      <c r="P188" s="296"/>
      <c r="Q188" s="296"/>
      <c r="R188" s="296"/>
      <c r="S188" s="296"/>
      <c r="T188" s="296"/>
      <c r="U188" s="296"/>
      <c r="V188" s="296"/>
      <c r="W188" s="296"/>
      <c r="X188" s="296"/>
      <c r="Y188" s="296"/>
      <c r="Z188" s="296"/>
      <c r="AA188" s="296"/>
      <c r="AB188" s="296"/>
      <c r="AC188" s="296"/>
      <c r="AD188" s="296"/>
      <c r="AE188" s="296"/>
      <c r="AF188" s="296"/>
      <c r="AG188" s="296"/>
      <c r="AH188" s="296"/>
      <c r="AI188" s="296"/>
      <c r="AJ188" s="296"/>
      <c r="AK188" s="296"/>
      <c r="AL188" s="296"/>
      <c r="AM188" s="296"/>
      <c r="AN188" s="296"/>
      <c r="AO188" s="296"/>
      <c r="AP188" s="296"/>
      <c r="AQ188" s="296"/>
      <c r="AR188" s="296"/>
      <c r="AS188" s="296"/>
      <c r="AT188" s="296"/>
      <c r="AU188" s="296"/>
      <c r="AV188" s="296"/>
      <c r="AW188" s="296"/>
      <c r="AX188" s="296"/>
      <c r="AY188" s="296"/>
    </row>
    <row r="189" spans="1:51" x14ac:dyDescent="0.25">
      <c r="A189" s="295"/>
      <c r="B189" s="296"/>
      <c r="C189" s="296"/>
      <c r="D189" s="296"/>
      <c r="E189" s="296"/>
      <c r="F189" s="296"/>
      <c r="G189" s="296"/>
      <c r="H189" s="296"/>
      <c r="I189" s="296"/>
      <c r="J189" s="296"/>
      <c r="K189" s="296"/>
      <c r="L189" s="296"/>
      <c r="M189" s="296"/>
      <c r="N189" s="296"/>
      <c r="O189" s="296"/>
      <c r="P189" s="296"/>
      <c r="Q189" s="296"/>
      <c r="R189" s="296"/>
      <c r="S189" s="296"/>
      <c r="T189" s="296"/>
      <c r="U189" s="296"/>
      <c r="V189" s="296"/>
      <c r="W189" s="296"/>
      <c r="X189" s="296"/>
      <c r="Y189" s="296"/>
      <c r="Z189" s="296"/>
      <c r="AA189" s="296"/>
      <c r="AB189" s="296"/>
      <c r="AC189" s="296"/>
      <c r="AD189" s="296"/>
      <c r="AE189" s="296"/>
      <c r="AF189" s="296"/>
      <c r="AG189" s="296"/>
      <c r="AH189" s="296"/>
      <c r="AI189" s="296"/>
      <c r="AJ189" s="296"/>
      <c r="AK189" s="296"/>
      <c r="AL189" s="296"/>
      <c r="AM189" s="296"/>
      <c r="AN189" s="296"/>
      <c r="AO189" s="296"/>
      <c r="AP189" s="296"/>
      <c r="AQ189" s="296"/>
      <c r="AR189" s="296"/>
      <c r="AS189" s="296"/>
      <c r="AT189" s="296"/>
      <c r="AU189" s="296"/>
      <c r="AV189" s="296"/>
      <c r="AW189" s="296"/>
      <c r="AX189" s="296"/>
      <c r="AY189" s="296"/>
    </row>
    <row r="190" spans="1:51" x14ac:dyDescent="0.25">
      <c r="A190" s="295"/>
      <c r="B190" s="296"/>
      <c r="C190" s="296"/>
      <c r="D190" s="296"/>
      <c r="E190" s="296"/>
      <c r="F190" s="296"/>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6"/>
      <c r="AI190" s="296"/>
      <c r="AJ190" s="296"/>
      <c r="AK190" s="296"/>
      <c r="AL190" s="296"/>
      <c r="AM190" s="296"/>
      <c r="AN190" s="296"/>
      <c r="AO190" s="296"/>
      <c r="AP190" s="296"/>
      <c r="AQ190" s="296"/>
      <c r="AR190" s="296"/>
      <c r="AS190" s="296"/>
      <c r="AT190" s="296"/>
      <c r="AU190" s="296"/>
      <c r="AV190" s="296"/>
      <c r="AW190" s="296"/>
      <c r="AX190" s="296"/>
      <c r="AY190" s="296"/>
    </row>
    <row r="191" spans="1:51" x14ac:dyDescent="0.25">
      <c r="A191" s="295"/>
      <c r="B191" s="296"/>
      <c r="C191" s="296"/>
      <c r="D191" s="296"/>
      <c r="E191" s="296"/>
      <c r="F191" s="296"/>
      <c r="G191" s="296"/>
      <c r="H191" s="296"/>
      <c r="I191" s="296"/>
      <c r="J191" s="296"/>
      <c r="K191" s="296"/>
      <c r="L191" s="296"/>
      <c r="M191" s="296"/>
      <c r="N191" s="296"/>
      <c r="O191" s="296"/>
      <c r="P191" s="296"/>
      <c r="Q191" s="296"/>
      <c r="R191" s="296"/>
      <c r="S191" s="296"/>
      <c r="T191" s="296"/>
      <c r="U191" s="296"/>
      <c r="V191" s="296"/>
      <c r="W191" s="296"/>
      <c r="X191" s="296"/>
      <c r="Y191" s="296"/>
      <c r="Z191" s="296"/>
      <c r="AA191" s="296"/>
      <c r="AB191" s="296"/>
      <c r="AC191" s="296"/>
      <c r="AD191" s="296"/>
      <c r="AE191" s="296"/>
      <c r="AF191" s="296"/>
      <c r="AG191" s="296"/>
      <c r="AH191" s="296"/>
      <c r="AI191" s="296"/>
      <c r="AJ191" s="296"/>
      <c r="AK191" s="296"/>
      <c r="AL191" s="296"/>
      <c r="AM191" s="296"/>
      <c r="AN191" s="296"/>
      <c r="AO191" s="296"/>
      <c r="AP191" s="296"/>
      <c r="AQ191" s="296"/>
      <c r="AR191" s="296"/>
      <c r="AS191" s="296"/>
      <c r="AT191" s="296"/>
      <c r="AU191" s="296"/>
      <c r="AV191" s="296"/>
      <c r="AW191" s="296"/>
      <c r="AX191" s="296"/>
      <c r="AY191" s="296"/>
    </row>
    <row r="192" spans="1:51" x14ac:dyDescent="0.25">
      <c r="A192" s="295"/>
      <c r="B192" s="296"/>
      <c r="C192" s="296"/>
      <c r="D192" s="296"/>
      <c r="E192" s="296"/>
      <c r="F192" s="296"/>
      <c r="G192" s="296"/>
      <c r="H192" s="296"/>
      <c r="I192" s="296"/>
      <c r="J192" s="296"/>
      <c r="K192" s="296"/>
      <c r="L192" s="296"/>
      <c r="M192" s="296"/>
      <c r="N192" s="296"/>
      <c r="O192" s="296"/>
      <c r="P192" s="296"/>
      <c r="Q192" s="296"/>
      <c r="R192" s="296"/>
      <c r="S192" s="296"/>
      <c r="T192" s="296"/>
      <c r="U192" s="296"/>
      <c r="V192" s="296"/>
      <c r="W192" s="296"/>
      <c r="X192" s="296"/>
      <c r="Y192" s="296"/>
      <c r="Z192" s="296"/>
      <c r="AA192" s="296"/>
      <c r="AB192" s="296"/>
      <c r="AC192" s="296"/>
      <c r="AD192" s="296"/>
      <c r="AE192" s="296"/>
      <c r="AF192" s="296"/>
      <c r="AG192" s="296"/>
      <c r="AH192" s="296"/>
      <c r="AI192" s="296"/>
      <c r="AJ192" s="296"/>
      <c r="AK192" s="296"/>
      <c r="AL192" s="296"/>
      <c r="AM192" s="296"/>
      <c r="AN192" s="296"/>
      <c r="AO192" s="296"/>
      <c r="AP192" s="296"/>
      <c r="AQ192" s="296"/>
      <c r="AR192" s="296"/>
      <c r="AS192" s="296"/>
      <c r="AT192" s="296"/>
      <c r="AU192" s="296"/>
      <c r="AV192" s="296"/>
      <c r="AW192" s="296"/>
      <c r="AX192" s="296"/>
      <c r="AY192" s="296"/>
    </row>
    <row r="193" spans="1:51" x14ac:dyDescent="0.25">
      <c r="A193" s="295"/>
      <c r="B193" s="296"/>
      <c r="C193" s="296"/>
      <c r="D193" s="296"/>
      <c r="E193" s="296"/>
      <c r="F193" s="296"/>
      <c r="G193" s="296"/>
      <c r="H193" s="296"/>
      <c r="I193" s="296"/>
      <c r="J193" s="296"/>
      <c r="K193" s="296"/>
      <c r="L193" s="296"/>
      <c r="M193" s="296"/>
      <c r="N193" s="296"/>
      <c r="O193" s="296"/>
      <c r="P193" s="296"/>
      <c r="Q193" s="296"/>
      <c r="R193" s="296"/>
      <c r="S193" s="296"/>
      <c r="T193" s="296"/>
      <c r="U193" s="296"/>
      <c r="V193" s="296"/>
      <c r="W193" s="296"/>
      <c r="X193" s="296"/>
      <c r="Y193" s="296"/>
      <c r="Z193" s="296"/>
      <c r="AA193" s="296"/>
      <c r="AB193" s="296"/>
      <c r="AC193" s="296"/>
      <c r="AD193" s="296"/>
      <c r="AE193" s="296"/>
      <c r="AF193" s="296"/>
      <c r="AG193" s="296"/>
      <c r="AH193" s="296"/>
      <c r="AI193" s="296"/>
      <c r="AJ193" s="296"/>
      <c r="AK193" s="296"/>
      <c r="AL193" s="296"/>
      <c r="AM193" s="296"/>
      <c r="AN193" s="296"/>
      <c r="AO193" s="296"/>
      <c r="AP193" s="296"/>
      <c r="AQ193" s="296"/>
      <c r="AR193" s="296"/>
      <c r="AS193" s="296"/>
      <c r="AT193" s="296"/>
      <c r="AU193" s="296"/>
      <c r="AV193" s="296"/>
      <c r="AW193" s="296"/>
      <c r="AX193" s="296"/>
      <c r="AY193" s="296"/>
    </row>
    <row r="194" spans="1:51" x14ac:dyDescent="0.25">
      <c r="A194" s="295"/>
      <c r="B194" s="296"/>
      <c r="C194" s="296"/>
      <c r="D194" s="296"/>
      <c r="E194" s="296"/>
      <c r="F194" s="296"/>
      <c r="G194" s="296"/>
      <c r="H194" s="296"/>
      <c r="I194" s="296"/>
      <c r="J194" s="296"/>
      <c r="K194" s="296"/>
      <c r="L194" s="296"/>
      <c r="M194" s="296"/>
      <c r="N194" s="296"/>
      <c r="O194" s="296"/>
      <c r="P194" s="296"/>
      <c r="Q194" s="296"/>
      <c r="R194" s="296"/>
      <c r="S194" s="296"/>
      <c r="T194" s="296"/>
      <c r="U194" s="296"/>
      <c r="V194" s="296"/>
      <c r="W194" s="296"/>
      <c r="X194" s="296"/>
      <c r="Y194" s="296"/>
      <c r="Z194" s="296"/>
      <c r="AA194" s="296"/>
      <c r="AB194" s="296"/>
      <c r="AC194" s="296"/>
      <c r="AD194" s="296"/>
      <c r="AE194" s="296"/>
      <c r="AF194" s="296"/>
      <c r="AG194" s="296"/>
      <c r="AH194" s="296"/>
      <c r="AI194" s="296"/>
      <c r="AJ194" s="296"/>
      <c r="AK194" s="296"/>
      <c r="AL194" s="296"/>
      <c r="AM194" s="296"/>
      <c r="AN194" s="296"/>
      <c r="AO194" s="296"/>
      <c r="AP194" s="296"/>
      <c r="AQ194" s="296"/>
      <c r="AR194" s="296"/>
      <c r="AS194" s="296"/>
      <c r="AT194" s="296"/>
      <c r="AU194" s="296"/>
      <c r="AV194" s="296"/>
      <c r="AW194" s="296"/>
      <c r="AX194" s="296"/>
      <c r="AY194" s="296"/>
    </row>
    <row r="195" spans="1:51" x14ac:dyDescent="0.25">
      <c r="A195" s="295"/>
      <c r="B195" s="296"/>
      <c r="C195" s="296"/>
      <c r="D195" s="296"/>
      <c r="E195" s="296"/>
      <c r="F195" s="296"/>
      <c r="G195" s="296"/>
      <c r="H195" s="296"/>
      <c r="I195" s="296"/>
      <c r="J195" s="296"/>
      <c r="K195" s="296"/>
      <c r="L195" s="296"/>
      <c r="M195" s="296"/>
      <c r="N195" s="296"/>
      <c r="O195" s="296"/>
      <c r="P195" s="296"/>
      <c r="Q195" s="296"/>
      <c r="R195" s="296"/>
      <c r="S195" s="296"/>
      <c r="T195" s="296"/>
      <c r="U195" s="296"/>
      <c r="V195" s="296"/>
      <c r="W195" s="296"/>
      <c r="X195" s="296"/>
      <c r="Y195" s="296"/>
      <c r="Z195" s="296"/>
      <c r="AA195" s="296"/>
      <c r="AB195" s="296"/>
      <c r="AC195" s="296"/>
      <c r="AD195" s="296"/>
      <c r="AE195" s="296"/>
      <c r="AF195" s="296"/>
      <c r="AG195" s="296"/>
      <c r="AH195" s="296"/>
      <c r="AI195" s="296"/>
      <c r="AJ195" s="296"/>
      <c r="AK195" s="296"/>
      <c r="AL195" s="296"/>
      <c r="AM195" s="296"/>
      <c r="AN195" s="296"/>
      <c r="AO195" s="296"/>
      <c r="AP195" s="296"/>
      <c r="AQ195" s="296"/>
      <c r="AR195" s="296"/>
      <c r="AS195" s="296"/>
      <c r="AT195" s="296"/>
      <c r="AU195" s="296"/>
      <c r="AV195" s="296"/>
      <c r="AW195" s="296"/>
      <c r="AX195" s="296"/>
      <c r="AY195" s="296"/>
    </row>
    <row r="196" spans="1:51" x14ac:dyDescent="0.25">
      <c r="A196" s="295"/>
      <c r="B196" s="296"/>
      <c r="C196" s="296"/>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c r="AA196" s="296"/>
      <c r="AB196" s="296"/>
      <c r="AC196" s="296"/>
      <c r="AD196" s="296"/>
      <c r="AE196" s="296"/>
      <c r="AF196" s="296"/>
      <c r="AG196" s="296"/>
      <c r="AH196" s="296"/>
      <c r="AI196" s="296"/>
      <c r="AJ196" s="296"/>
      <c r="AK196" s="296"/>
      <c r="AL196" s="296"/>
      <c r="AM196" s="296"/>
      <c r="AN196" s="296"/>
      <c r="AO196" s="296"/>
      <c r="AP196" s="296"/>
      <c r="AQ196" s="296"/>
      <c r="AR196" s="296"/>
      <c r="AS196" s="296"/>
      <c r="AT196" s="296"/>
      <c r="AU196" s="296"/>
      <c r="AV196" s="296"/>
      <c r="AW196" s="296"/>
      <c r="AX196" s="296"/>
      <c r="AY196" s="296"/>
    </row>
    <row r="197" spans="1:51" x14ac:dyDescent="0.25">
      <c r="A197" s="295"/>
      <c r="B197" s="296"/>
      <c r="C197" s="296"/>
      <c r="D197" s="296"/>
      <c r="E197" s="296"/>
      <c r="F197" s="296"/>
      <c r="G197" s="296"/>
      <c r="H197" s="296"/>
      <c r="I197" s="296"/>
      <c r="J197" s="296"/>
      <c r="K197" s="296"/>
      <c r="L197" s="296"/>
      <c r="M197" s="296"/>
      <c r="N197" s="296"/>
      <c r="O197" s="296"/>
      <c r="P197" s="296"/>
      <c r="Q197" s="296"/>
      <c r="R197" s="296"/>
      <c r="S197" s="296"/>
      <c r="T197" s="296"/>
      <c r="U197" s="296"/>
      <c r="V197" s="296"/>
      <c r="W197" s="296"/>
      <c r="X197" s="296"/>
      <c r="Y197" s="296"/>
      <c r="Z197" s="296"/>
      <c r="AA197" s="296"/>
      <c r="AB197" s="296"/>
      <c r="AC197" s="296"/>
      <c r="AD197" s="296"/>
      <c r="AE197" s="296"/>
      <c r="AF197" s="296"/>
      <c r="AG197" s="296"/>
      <c r="AH197" s="296"/>
      <c r="AI197" s="296"/>
      <c r="AJ197" s="296"/>
      <c r="AK197" s="296"/>
      <c r="AL197" s="296"/>
      <c r="AM197" s="296"/>
      <c r="AN197" s="296"/>
      <c r="AO197" s="296"/>
      <c r="AP197" s="296"/>
      <c r="AQ197" s="296"/>
      <c r="AR197" s="296"/>
      <c r="AS197" s="296"/>
      <c r="AT197" s="296"/>
      <c r="AU197" s="296"/>
      <c r="AV197" s="296"/>
      <c r="AW197" s="296"/>
      <c r="AX197" s="296"/>
      <c r="AY197" s="296"/>
    </row>
    <row r="198" spans="1:51" x14ac:dyDescent="0.25">
      <c r="A198" s="295"/>
      <c r="B198" s="296"/>
      <c r="C198" s="296"/>
      <c r="D198" s="296"/>
      <c r="E198" s="296"/>
      <c r="F198" s="296"/>
      <c r="G198" s="296"/>
      <c r="H198" s="296"/>
      <c r="I198" s="296"/>
      <c r="J198" s="296"/>
      <c r="K198" s="296"/>
      <c r="L198" s="296"/>
      <c r="M198" s="296"/>
      <c r="N198" s="296"/>
      <c r="O198" s="296"/>
      <c r="P198" s="296"/>
      <c r="Q198" s="296"/>
      <c r="R198" s="296"/>
      <c r="S198" s="296"/>
      <c r="T198" s="296"/>
      <c r="U198" s="296"/>
      <c r="V198" s="296"/>
      <c r="W198" s="296"/>
      <c r="X198" s="296"/>
      <c r="Y198" s="296"/>
      <c r="Z198" s="296"/>
      <c r="AA198" s="296"/>
      <c r="AB198" s="296"/>
      <c r="AC198" s="296"/>
      <c r="AD198" s="296"/>
      <c r="AE198" s="296"/>
      <c r="AF198" s="296"/>
      <c r="AG198" s="296"/>
      <c r="AH198" s="296"/>
      <c r="AI198" s="296"/>
      <c r="AJ198" s="296"/>
      <c r="AK198" s="296"/>
      <c r="AL198" s="296"/>
      <c r="AM198" s="296"/>
      <c r="AN198" s="296"/>
      <c r="AO198" s="296"/>
      <c r="AP198" s="296"/>
      <c r="AQ198" s="296"/>
      <c r="AR198" s="296"/>
      <c r="AS198" s="296"/>
      <c r="AT198" s="296"/>
      <c r="AU198" s="296"/>
      <c r="AV198" s="296"/>
      <c r="AW198" s="296"/>
      <c r="AX198" s="296"/>
      <c r="AY198" s="296"/>
    </row>
    <row r="199" spans="1:51" x14ac:dyDescent="0.25">
      <c r="A199" s="295"/>
      <c r="B199" s="296"/>
      <c r="C199" s="296"/>
      <c r="D199" s="296"/>
      <c r="E199" s="296"/>
      <c r="F199" s="296"/>
      <c r="G199" s="296"/>
      <c r="H199" s="296"/>
      <c r="I199" s="296"/>
      <c r="J199" s="296"/>
      <c r="K199" s="296"/>
      <c r="L199" s="296"/>
      <c r="M199" s="296"/>
      <c r="N199" s="296"/>
      <c r="O199" s="296"/>
      <c r="P199" s="296"/>
      <c r="Q199" s="296"/>
      <c r="R199" s="296"/>
      <c r="S199" s="296"/>
      <c r="T199" s="296"/>
      <c r="U199" s="296"/>
      <c r="V199" s="296"/>
      <c r="W199" s="296"/>
      <c r="X199" s="296"/>
      <c r="Y199" s="296"/>
      <c r="Z199" s="296"/>
      <c r="AA199" s="296"/>
      <c r="AB199" s="296"/>
      <c r="AC199" s="296"/>
      <c r="AD199" s="296"/>
      <c r="AE199" s="296"/>
      <c r="AF199" s="296"/>
      <c r="AG199" s="296"/>
      <c r="AH199" s="296"/>
      <c r="AI199" s="296"/>
      <c r="AJ199" s="296"/>
      <c r="AK199" s="296"/>
      <c r="AL199" s="296"/>
      <c r="AM199" s="296"/>
      <c r="AN199" s="296"/>
      <c r="AO199" s="296"/>
      <c r="AP199" s="296"/>
      <c r="AQ199" s="296"/>
      <c r="AR199" s="296"/>
      <c r="AS199" s="296"/>
      <c r="AT199" s="296"/>
      <c r="AU199" s="296"/>
      <c r="AV199" s="296"/>
      <c r="AW199" s="296"/>
      <c r="AX199" s="296"/>
      <c r="AY199" s="296"/>
    </row>
    <row r="200" spans="1:51" x14ac:dyDescent="0.25">
      <c r="A200" s="295"/>
      <c r="B200" s="296"/>
      <c r="C200" s="296"/>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c r="Z200" s="296"/>
      <c r="AA200" s="296"/>
      <c r="AB200" s="296"/>
      <c r="AC200" s="296"/>
      <c r="AD200" s="296"/>
      <c r="AE200" s="296"/>
      <c r="AF200" s="296"/>
      <c r="AG200" s="296"/>
      <c r="AH200" s="296"/>
      <c r="AI200" s="296"/>
      <c r="AJ200" s="296"/>
      <c r="AK200" s="296"/>
      <c r="AL200" s="296"/>
      <c r="AM200" s="296"/>
      <c r="AN200" s="296"/>
      <c r="AO200" s="296"/>
      <c r="AP200" s="296"/>
      <c r="AQ200" s="296"/>
      <c r="AR200" s="296"/>
      <c r="AS200" s="296"/>
      <c r="AT200" s="296"/>
      <c r="AU200" s="296"/>
      <c r="AV200" s="296"/>
      <c r="AW200" s="296"/>
      <c r="AX200" s="296"/>
      <c r="AY200" s="296"/>
    </row>
    <row r="201" spans="1:51" x14ac:dyDescent="0.25">
      <c r="A201" s="295"/>
      <c r="B201" s="296"/>
      <c r="C201" s="296"/>
      <c r="D201" s="296"/>
      <c r="E201" s="296"/>
      <c r="F201" s="296"/>
      <c r="G201" s="296"/>
      <c r="H201" s="296"/>
      <c r="I201" s="296"/>
      <c r="J201" s="296"/>
      <c r="K201" s="296"/>
      <c r="L201" s="296"/>
      <c r="M201" s="296"/>
      <c r="N201" s="296"/>
      <c r="O201" s="296"/>
      <c r="P201" s="296"/>
      <c r="Q201" s="296"/>
      <c r="R201" s="296"/>
      <c r="S201" s="296"/>
      <c r="T201" s="296"/>
      <c r="U201" s="296"/>
      <c r="V201" s="296"/>
      <c r="W201" s="296"/>
      <c r="X201" s="296"/>
      <c r="Y201" s="296"/>
      <c r="Z201" s="296"/>
      <c r="AA201" s="296"/>
      <c r="AB201" s="296"/>
      <c r="AC201" s="296"/>
      <c r="AD201" s="296"/>
      <c r="AE201" s="296"/>
      <c r="AF201" s="296"/>
      <c r="AG201" s="296"/>
      <c r="AH201" s="296"/>
      <c r="AI201" s="296"/>
      <c r="AJ201" s="296"/>
      <c r="AK201" s="296"/>
      <c r="AL201" s="296"/>
      <c r="AM201" s="296"/>
      <c r="AN201" s="296"/>
      <c r="AO201" s="296"/>
      <c r="AP201" s="296"/>
      <c r="AQ201" s="296"/>
      <c r="AR201" s="296"/>
      <c r="AS201" s="296"/>
      <c r="AT201" s="296"/>
      <c r="AU201" s="296"/>
      <c r="AV201" s="296"/>
      <c r="AW201" s="296"/>
      <c r="AX201" s="296"/>
      <c r="AY201" s="296"/>
    </row>
    <row r="202" spans="1:51" x14ac:dyDescent="0.25">
      <c r="A202" s="295"/>
      <c r="B202" s="296"/>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296"/>
      <c r="AE202" s="296"/>
      <c r="AF202" s="296"/>
      <c r="AG202" s="296"/>
      <c r="AH202" s="296"/>
      <c r="AI202" s="296"/>
      <c r="AJ202" s="296"/>
      <c r="AK202" s="296"/>
      <c r="AL202" s="296"/>
      <c r="AM202" s="296"/>
      <c r="AN202" s="296"/>
      <c r="AO202" s="296"/>
      <c r="AP202" s="296"/>
      <c r="AQ202" s="296"/>
      <c r="AR202" s="296"/>
      <c r="AS202" s="296"/>
      <c r="AT202" s="296"/>
      <c r="AU202" s="296"/>
      <c r="AV202" s="296"/>
      <c r="AW202" s="296"/>
      <c r="AX202" s="296"/>
      <c r="AY202" s="296"/>
    </row>
    <row r="203" spans="1:51" x14ac:dyDescent="0.25">
      <c r="A203" s="295"/>
      <c r="B203" s="296"/>
      <c r="C203" s="296"/>
      <c r="D203" s="296"/>
      <c r="E203" s="296"/>
      <c r="F203" s="296"/>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296"/>
      <c r="AE203" s="296"/>
      <c r="AF203" s="296"/>
      <c r="AG203" s="296"/>
      <c r="AH203" s="296"/>
      <c r="AI203" s="296"/>
      <c r="AJ203" s="296"/>
      <c r="AK203" s="296"/>
      <c r="AL203" s="296"/>
      <c r="AM203" s="296"/>
      <c r="AN203" s="296"/>
      <c r="AO203" s="296"/>
      <c r="AP203" s="296"/>
      <c r="AQ203" s="296"/>
      <c r="AR203" s="296"/>
      <c r="AS203" s="296"/>
      <c r="AT203" s="296"/>
      <c r="AU203" s="296"/>
      <c r="AV203" s="296"/>
      <c r="AW203" s="296"/>
      <c r="AX203" s="296"/>
      <c r="AY203" s="296"/>
    </row>
    <row r="204" spans="1:51" ht="13" thickBot="1" x14ac:dyDescent="0.3">
      <c r="A204" s="297"/>
      <c r="B204" s="296"/>
      <c r="C204" s="296"/>
      <c r="D204" s="296"/>
      <c r="E204" s="296"/>
      <c r="F204" s="296"/>
      <c r="G204" s="296"/>
      <c r="H204" s="296"/>
      <c r="I204" s="296"/>
      <c r="J204" s="296"/>
      <c r="K204" s="296"/>
      <c r="L204" s="296"/>
      <c r="M204" s="296"/>
      <c r="N204" s="296"/>
      <c r="O204" s="296"/>
      <c r="P204" s="296"/>
      <c r="Q204" s="296"/>
      <c r="R204" s="296"/>
      <c r="S204" s="296"/>
      <c r="T204" s="296"/>
      <c r="U204" s="296"/>
      <c r="V204" s="296"/>
      <c r="W204" s="296"/>
      <c r="X204" s="296"/>
      <c r="Y204" s="296"/>
      <c r="Z204" s="296"/>
      <c r="AA204" s="296"/>
      <c r="AB204" s="296"/>
      <c r="AC204" s="296"/>
      <c r="AD204" s="296"/>
      <c r="AE204" s="296"/>
      <c r="AF204" s="296"/>
      <c r="AG204" s="296"/>
      <c r="AH204" s="296"/>
      <c r="AI204" s="296"/>
      <c r="AJ204" s="296"/>
      <c r="AK204" s="296"/>
      <c r="AL204" s="296"/>
      <c r="AM204" s="296"/>
      <c r="AN204" s="296"/>
      <c r="AO204" s="296"/>
      <c r="AP204" s="296"/>
      <c r="AQ204" s="296"/>
      <c r="AR204" s="296"/>
      <c r="AS204" s="296"/>
      <c r="AT204" s="296"/>
      <c r="AU204" s="296"/>
      <c r="AV204" s="296"/>
      <c r="AW204" s="296"/>
      <c r="AX204" s="296"/>
      <c r="AY204" s="296"/>
    </row>
    <row r="205" spans="1:51" x14ac:dyDescent="0.25">
      <c r="A205" s="1"/>
    </row>
    <row r="206" spans="1:51" x14ac:dyDescent="0.25">
      <c r="A206" s="1"/>
    </row>
    <row r="207" spans="1:51" x14ac:dyDescent="0.25">
      <c r="A207" s="1"/>
    </row>
    <row r="208" spans="1:5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3"/>
    </row>
    <row r="256" spans="1:1" x14ac:dyDescent="0.25">
      <c r="A256" s="3"/>
    </row>
    <row r="257" spans="1:1" x14ac:dyDescent="0.25">
      <c r="A257" s="3"/>
    </row>
    <row r="258" spans="1:1" x14ac:dyDescent="0.25">
      <c r="A258" s="3"/>
    </row>
    <row r="259" spans="1:1" x14ac:dyDescent="0.25">
      <c r="A259" s="3"/>
    </row>
    <row r="260" spans="1:1" x14ac:dyDescent="0.25">
      <c r="A260" s="3"/>
    </row>
    <row r="261" spans="1:1" x14ac:dyDescent="0.25">
      <c r="A261" s="3"/>
    </row>
    <row r="262" spans="1:1" x14ac:dyDescent="0.25">
      <c r="A262" s="3"/>
    </row>
    <row r="263" spans="1:1" x14ac:dyDescent="0.25">
      <c r="A263" s="3"/>
    </row>
    <row r="264" spans="1:1" x14ac:dyDescent="0.25">
      <c r="A264" s="3"/>
    </row>
    <row r="265" spans="1:1" x14ac:dyDescent="0.25">
      <c r="A265" s="3"/>
    </row>
    <row r="266" spans="1:1" x14ac:dyDescent="0.25">
      <c r="A266" s="3"/>
    </row>
    <row r="267" spans="1:1" x14ac:dyDescent="0.25">
      <c r="A267" s="3"/>
    </row>
    <row r="268" spans="1:1" x14ac:dyDescent="0.25">
      <c r="A268" s="3"/>
    </row>
    <row r="269" spans="1:1" x14ac:dyDescent="0.25">
      <c r="A269" s="3"/>
    </row>
    <row r="270" spans="1:1" x14ac:dyDescent="0.25">
      <c r="A270" s="3"/>
    </row>
    <row r="271" spans="1:1" x14ac:dyDescent="0.25">
      <c r="A271" s="3"/>
    </row>
    <row r="272" spans="1:1" x14ac:dyDescent="0.25">
      <c r="A272" s="3"/>
    </row>
    <row r="273" spans="1:1" x14ac:dyDescent="0.25">
      <c r="A273" s="3"/>
    </row>
    <row r="274" spans="1:1" x14ac:dyDescent="0.25">
      <c r="A274" s="3"/>
    </row>
    <row r="275" spans="1:1" x14ac:dyDescent="0.25">
      <c r="A275" s="3"/>
    </row>
    <row r="276" spans="1:1" x14ac:dyDescent="0.25">
      <c r="A276" s="3"/>
    </row>
    <row r="277" spans="1:1" x14ac:dyDescent="0.25">
      <c r="A277" s="3"/>
    </row>
    <row r="278" spans="1:1" x14ac:dyDescent="0.25">
      <c r="A278" s="3"/>
    </row>
    <row r="279" spans="1:1" x14ac:dyDescent="0.25">
      <c r="A279" s="3"/>
    </row>
    <row r="280" spans="1:1" x14ac:dyDescent="0.25">
      <c r="A280" s="3"/>
    </row>
    <row r="281" spans="1:1" x14ac:dyDescent="0.25">
      <c r="A281" s="3"/>
    </row>
    <row r="282" spans="1:1" x14ac:dyDescent="0.25">
      <c r="A282" s="3"/>
    </row>
    <row r="283" spans="1:1" x14ac:dyDescent="0.25">
      <c r="A283" s="3"/>
    </row>
    <row r="284" spans="1:1" x14ac:dyDescent="0.25">
      <c r="A284" s="3"/>
    </row>
    <row r="285" spans="1:1" x14ac:dyDescent="0.25">
      <c r="A285" s="3"/>
    </row>
    <row r="286" spans="1:1" x14ac:dyDescent="0.25">
      <c r="A286" s="3"/>
    </row>
    <row r="287" spans="1:1" x14ac:dyDescent="0.25">
      <c r="A287" s="3"/>
    </row>
    <row r="288" spans="1:1" x14ac:dyDescent="0.25">
      <c r="A288" s="3"/>
    </row>
    <row r="289" spans="1:1" x14ac:dyDescent="0.25">
      <c r="A289" s="3"/>
    </row>
    <row r="290" spans="1:1" x14ac:dyDescent="0.25">
      <c r="A290" s="3"/>
    </row>
    <row r="291" spans="1:1" x14ac:dyDescent="0.25">
      <c r="A291" s="3"/>
    </row>
    <row r="292" spans="1:1" x14ac:dyDescent="0.25">
      <c r="A292" s="3"/>
    </row>
    <row r="293" spans="1:1" x14ac:dyDescent="0.25">
      <c r="A293" s="3"/>
    </row>
    <row r="294" spans="1:1" x14ac:dyDescent="0.25">
      <c r="A294" s="3"/>
    </row>
    <row r="295" spans="1:1" x14ac:dyDescent="0.25">
      <c r="A295" s="3"/>
    </row>
    <row r="296" spans="1:1" x14ac:dyDescent="0.25">
      <c r="A296" s="3"/>
    </row>
    <row r="297" spans="1:1" x14ac:dyDescent="0.25">
      <c r="A297" s="3"/>
    </row>
    <row r="298" spans="1:1" x14ac:dyDescent="0.25">
      <c r="A298" s="3"/>
    </row>
    <row r="299" spans="1:1" x14ac:dyDescent="0.25">
      <c r="A299" s="3"/>
    </row>
    <row r="300" spans="1:1" x14ac:dyDescent="0.25">
      <c r="A300" s="3"/>
    </row>
    <row r="301" spans="1:1" x14ac:dyDescent="0.25">
      <c r="A301" s="3"/>
    </row>
    <row r="302" spans="1:1" x14ac:dyDescent="0.25">
      <c r="A302" s="3"/>
    </row>
    <row r="303" spans="1:1" x14ac:dyDescent="0.25">
      <c r="A303" s="3"/>
    </row>
    <row r="304" spans="1:1" x14ac:dyDescent="0.25">
      <c r="A304" s="3"/>
    </row>
    <row r="305" spans="1:1" x14ac:dyDescent="0.25">
      <c r="A305" s="3"/>
    </row>
    <row r="306" spans="1:1" x14ac:dyDescent="0.25">
      <c r="A306" s="3"/>
    </row>
    <row r="307" spans="1:1" x14ac:dyDescent="0.25">
      <c r="A307" s="3"/>
    </row>
    <row r="308" spans="1:1" x14ac:dyDescent="0.25">
      <c r="A308" s="3"/>
    </row>
    <row r="309" spans="1:1" x14ac:dyDescent="0.25">
      <c r="A309" s="3"/>
    </row>
    <row r="310" spans="1:1" x14ac:dyDescent="0.25">
      <c r="A310" s="3"/>
    </row>
    <row r="311" spans="1:1" x14ac:dyDescent="0.25">
      <c r="A311" s="3"/>
    </row>
    <row r="312" spans="1:1" x14ac:dyDescent="0.25">
      <c r="A312" s="3"/>
    </row>
    <row r="313" spans="1:1" x14ac:dyDescent="0.25">
      <c r="A313" s="3"/>
    </row>
    <row r="314" spans="1:1" x14ac:dyDescent="0.25">
      <c r="A314" s="3"/>
    </row>
    <row r="315" spans="1:1" x14ac:dyDescent="0.25">
      <c r="A315" s="3"/>
    </row>
    <row r="316" spans="1:1" x14ac:dyDescent="0.25">
      <c r="A316" s="3"/>
    </row>
    <row r="317" spans="1:1" x14ac:dyDescent="0.25">
      <c r="A317" s="3"/>
    </row>
    <row r="318" spans="1:1" x14ac:dyDescent="0.25">
      <c r="A318" s="3"/>
    </row>
    <row r="319" spans="1:1" x14ac:dyDescent="0.25">
      <c r="A319" s="3"/>
    </row>
    <row r="320" spans="1:1" x14ac:dyDescent="0.25">
      <c r="A320" s="3"/>
    </row>
    <row r="321" spans="1:1" x14ac:dyDescent="0.25">
      <c r="A321" s="3"/>
    </row>
    <row r="322" spans="1:1" x14ac:dyDescent="0.25">
      <c r="A322" s="3"/>
    </row>
    <row r="323" spans="1:1" x14ac:dyDescent="0.25">
      <c r="A323" s="3"/>
    </row>
    <row r="324" spans="1:1" x14ac:dyDescent="0.25">
      <c r="A324" s="3"/>
    </row>
    <row r="325" spans="1:1" x14ac:dyDescent="0.25">
      <c r="A325" s="3"/>
    </row>
    <row r="326" spans="1:1" x14ac:dyDescent="0.25">
      <c r="A326" s="3"/>
    </row>
    <row r="327" spans="1:1" x14ac:dyDescent="0.25">
      <c r="A327" s="3"/>
    </row>
    <row r="328" spans="1:1" x14ac:dyDescent="0.25">
      <c r="A328" s="3"/>
    </row>
    <row r="329" spans="1:1" x14ac:dyDescent="0.25">
      <c r="A329" s="3"/>
    </row>
    <row r="330" spans="1:1" x14ac:dyDescent="0.25">
      <c r="A330" s="3"/>
    </row>
    <row r="331" spans="1:1" x14ac:dyDescent="0.25">
      <c r="A331" s="3"/>
    </row>
    <row r="332" spans="1:1" x14ac:dyDescent="0.25">
      <c r="A332" s="3"/>
    </row>
    <row r="333" spans="1:1" x14ac:dyDescent="0.25">
      <c r="A333" s="3"/>
    </row>
    <row r="334" spans="1:1" x14ac:dyDescent="0.25">
      <c r="A334" s="3"/>
    </row>
    <row r="335" spans="1:1" x14ac:dyDescent="0.25">
      <c r="A335" s="3"/>
    </row>
    <row r="336" spans="1:1" x14ac:dyDescent="0.25">
      <c r="A336" s="3"/>
    </row>
    <row r="337" spans="1:1" x14ac:dyDescent="0.25">
      <c r="A337" s="3"/>
    </row>
    <row r="338" spans="1:1" x14ac:dyDescent="0.25">
      <c r="A338" s="3"/>
    </row>
    <row r="339" spans="1:1" x14ac:dyDescent="0.25">
      <c r="A339" s="3"/>
    </row>
    <row r="340" spans="1:1" x14ac:dyDescent="0.25">
      <c r="A340" s="3"/>
    </row>
    <row r="341" spans="1:1" x14ac:dyDescent="0.25">
      <c r="A341" s="3"/>
    </row>
    <row r="342" spans="1:1" x14ac:dyDescent="0.25">
      <c r="A342" s="3"/>
    </row>
    <row r="343" spans="1:1" x14ac:dyDescent="0.25">
      <c r="A343" s="3"/>
    </row>
    <row r="344" spans="1:1" x14ac:dyDescent="0.25">
      <c r="A344" s="3"/>
    </row>
    <row r="345" spans="1:1" x14ac:dyDescent="0.25">
      <c r="A345" s="3"/>
    </row>
    <row r="346" spans="1:1" x14ac:dyDescent="0.25">
      <c r="A346" s="3"/>
    </row>
    <row r="347" spans="1:1" x14ac:dyDescent="0.25">
      <c r="A347" s="3"/>
    </row>
    <row r="348" spans="1:1" x14ac:dyDescent="0.25">
      <c r="A348" s="3"/>
    </row>
    <row r="349" spans="1:1" x14ac:dyDescent="0.25">
      <c r="A349" s="3"/>
    </row>
    <row r="350" spans="1:1" x14ac:dyDescent="0.25">
      <c r="A350" s="3"/>
    </row>
    <row r="351" spans="1:1" x14ac:dyDescent="0.25">
      <c r="A351" s="3"/>
    </row>
    <row r="352" spans="1:1" x14ac:dyDescent="0.25">
      <c r="A352" s="3"/>
    </row>
    <row r="353" spans="1:1" x14ac:dyDescent="0.25">
      <c r="A353" s="3"/>
    </row>
    <row r="354" spans="1:1" x14ac:dyDescent="0.25">
      <c r="A354" s="3"/>
    </row>
    <row r="355" spans="1:1" x14ac:dyDescent="0.25">
      <c r="A355" s="3"/>
    </row>
    <row r="356" spans="1:1" x14ac:dyDescent="0.25">
      <c r="A356" s="3"/>
    </row>
    <row r="357" spans="1:1" x14ac:dyDescent="0.25">
      <c r="A357" s="3"/>
    </row>
    <row r="358" spans="1:1" x14ac:dyDescent="0.25">
      <c r="A358" s="3"/>
    </row>
    <row r="359" spans="1:1" x14ac:dyDescent="0.25">
      <c r="A359" s="3"/>
    </row>
    <row r="360" spans="1:1" x14ac:dyDescent="0.25">
      <c r="A360" s="3"/>
    </row>
    <row r="361" spans="1:1" x14ac:dyDescent="0.25">
      <c r="A361" s="3"/>
    </row>
    <row r="362" spans="1:1" x14ac:dyDescent="0.25">
      <c r="A362" s="3"/>
    </row>
    <row r="363" spans="1:1" x14ac:dyDescent="0.25">
      <c r="A363" s="3"/>
    </row>
    <row r="364" spans="1:1" x14ac:dyDescent="0.25">
      <c r="A364" s="3"/>
    </row>
    <row r="365" spans="1:1" x14ac:dyDescent="0.25">
      <c r="A365" s="3"/>
    </row>
    <row r="366" spans="1:1" x14ac:dyDescent="0.25">
      <c r="A366" s="3"/>
    </row>
    <row r="367" spans="1:1" x14ac:dyDescent="0.25">
      <c r="A367" s="3"/>
    </row>
    <row r="368" spans="1:1" x14ac:dyDescent="0.25">
      <c r="A368" s="3"/>
    </row>
    <row r="369" spans="1:1" x14ac:dyDescent="0.25">
      <c r="A369" s="3"/>
    </row>
    <row r="370" spans="1:1" x14ac:dyDescent="0.25">
      <c r="A370" s="3"/>
    </row>
    <row r="371" spans="1:1" x14ac:dyDescent="0.25">
      <c r="A371" s="3"/>
    </row>
    <row r="372" spans="1:1" x14ac:dyDescent="0.25">
      <c r="A372" s="3"/>
    </row>
    <row r="373" spans="1:1" x14ac:dyDescent="0.25">
      <c r="A373" s="3"/>
    </row>
    <row r="374" spans="1:1" x14ac:dyDescent="0.25">
      <c r="A374" s="3"/>
    </row>
    <row r="375" spans="1:1" x14ac:dyDescent="0.25">
      <c r="A375" s="3"/>
    </row>
    <row r="376" spans="1:1" x14ac:dyDescent="0.25">
      <c r="A376" s="3"/>
    </row>
    <row r="377" spans="1:1" x14ac:dyDescent="0.25">
      <c r="A377" s="3"/>
    </row>
    <row r="378" spans="1:1" x14ac:dyDescent="0.25">
      <c r="A378" s="3"/>
    </row>
    <row r="379" spans="1:1" x14ac:dyDescent="0.25">
      <c r="A379" s="3"/>
    </row>
    <row r="380" spans="1:1" x14ac:dyDescent="0.25">
      <c r="A380" s="3"/>
    </row>
    <row r="381" spans="1:1" x14ac:dyDescent="0.25">
      <c r="A381" s="3"/>
    </row>
    <row r="382" spans="1:1" x14ac:dyDescent="0.25">
      <c r="A382" s="3"/>
    </row>
    <row r="383" spans="1:1" x14ac:dyDescent="0.25">
      <c r="A383" s="3"/>
    </row>
    <row r="384" spans="1:1" x14ac:dyDescent="0.25">
      <c r="A384" s="3"/>
    </row>
    <row r="385" spans="1:1" x14ac:dyDescent="0.25">
      <c r="A385" s="3"/>
    </row>
    <row r="386" spans="1:1" x14ac:dyDescent="0.25">
      <c r="A386" s="3"/>
    </row>
    <row r="387" spans="1:1" x14ac:dyDescent="0.25">
      <c r="A387" s="3"/>
    </row>
    <row r="388" spans="1:1" x14ac:dyDescent="0.25">
      <c r="A388" s="3"/>
    </row>
    <row r="389" spans="1:1" x14ac:dyDescent="0.25">
      <c r="A389" s="3"/>
    </row>
    <row r="390" spans="1:1" x14ac:dyDescent="0.25">
      <c r="A390" s="3"/>
    </row>
    <row r="391" spans="1:1" x14ac:dyDescent="0.25">
      <c r="A391" s="3"/>
    </row>
    <row r="392" spans="1:1" x14ac:dyDescent="0.25">
      <c r="A392" s="3"/>
    </row>
    <row r="393" spans="1:1" x14ac:dyDescent="0.25">
      <c r="A393" s="3"/>
    </row>
    <row r="394" spans="1:1" x14ac:dyDescent="0.25">
      <c r="A394" s="3"/>
    </row>
    <row r="395" spans="1:1" x14ac:dyDescent="0.25">
      <c r="A395" s="3"/>
    </row>
    <row r="396" spans="1:1" x14ac:dyDescent="0.25">
      <c r="A396" s="3"/>
    </row>
    <row r="397" spans="1:1" x14ac:dyDescent="0.25">
      <c r="A397" s="3"/>
    </row>
    <row r="398" spans="1:1" x14ac:dyDescent="0.25">
      <c r="A398" s="3"/>
    </row>
    <row r="399" spans="1:1" x14ac:dyDescent="0.25">
      <c r="A399" s="3"/>
    </row>
    <row r="400" spans="1:1" x14ac:dyDescent="0.25">
      <c r="A400" s="3"/>
    </row>
    <row r="401" spans="1:1" x14ac:dyDescent="0.25">
      <c r="A401" s="3"/>
    </row>
    <row r="402" spans="1:1" x14ac:dyDescent="0.25">
      <c r="A402" s="3"/>
    </row>
    <row r="403" spans="1:1" x14ac:dyDescent="0.25">
      <c r="A403" s="3"/>
    </row>
    <row r="404" spans="1:1" x14ac:dyDescent="0.25">
      <c r="A404" s="3"/>
    </row>
    <row r="405" spans="1:1" x14ac:dyDescent="0.25">
      <c r="A405" s="3"/>
    </row>
    <row r="406" spans="1:1" x14ac:dyDescent="0.25">
      <c r="A406" s="3"/>
    </row>
    <row r="407" spans="1:1" x14ac:dyDescent="0.25">
      <c r="A407" s="3"/>
    </row>
    <row r="408" spans="1:1" x14ac:dyDescent="0.25">
      <c r="A408" s="3"/>
    </row>
    <row r="409" spans="1:1" x14ac:dyDescent="0.25">
      <c r="A409" s="3"/>
    </row>
    <row r="410" spans="1:1" x14ac:dyDescent="0.25">
      <c r="A410" s="3"/>
    </row>
    <row r="411" spans="1:1" x14ac:dyDescent="0.25">
      <c r="A411" s="3"/>
    </row>
    <row r="412" spans="1:1" x14ac:dyDescent="0.25">
      <c r="A412" s="3"/>
    </row>
    <row r="413" spans="1:1" x14ac:dyDescent="0.25">
      <c r="A413" s="3"/>
    </row>
    <row r="414" spans="1:1" x14ac:dyDescent="0.25">
      <c r="A414" s="3"/>
    </row>
    <row r="415" spans="1:1" x14ac:dyDescent="0.25">
      <c r="A415" s="3"/>
    </row>
    <row r="416" spans="1:1" x14ac:dyDescent="0.25">
      <c r="A416" s="3"/>
    </row>
    <row r="417" spans="1:1" x14ac:dyDescent="0.25">
      <c r="A417" s="3"/>
    </row>
    <row r="418" spans="1:1" x14ac:dyDescent="0.25">
      <c r="A418" s="3"/>
    </row>
    <row r="419" spans="1:1" x14ac:dyDescent="0.25">
      <c r="A419" s="3"/>
    </row>
    <row r="420" spans="1:1" x14ac:dyDescent="0.25">
      <c r="A420" s="3"/>
    </row>
    <row r="421" spans="1:1" x14ac:dyDescent="0.25">
      <c r="A421" s="3"/>
    </row>
    <row r="422" spans="1:1" x14ac:dyDescent="0.25">
      <c r="A422" s="3"/>
    </row>
    <row r="423" spans="1:1" x14ac:dyDescent="0.25">
      <c r="A423" s="3"/>
    </row>
    <row r="424" spans="1:1" x14ac:dyDescent="0.25">
      <c r="A424" s="3"/>
    </row>
    <row r="425" spans="1:1" x14ac:dyDescent="0.25">
      <c r="A425" s="3"/>
    </row>
    <row r="426" spans="1:1" x14ac:dyDescent="0.25">
      <c r="A426" s="3"/>
    </row>
    <row r="427" spans="1:1" x14ac:dyDescent="0.25">
      <c r="A427" s="3"/>
    </row>
    <row r="428" spans="1:1" x14ac:dyDescent="0.25">
      <c r="A428" s="3"/>
    </row>
    <row r="429" spans="1:1" x14ac:dyDescent="0.25">
      <c r="A429" s="3"/>
    </row>
    <row r="430" spans="1:1" x14ac:dyDescent="0.25">
      <c r="A430" s="3"/>
    </row>
    <row r="431" spans="1:1" x14ac:dyDescent="0.25">
      <c r="A431" s="3"/>
    </row>
    <row r="432" spans="1:1" x14ac:dyDescent="0.25">
      <c r="A432" s="3"/>
    </row>
    <row r="433" spans="1:1" x14ac:dyDescent="0.25">
      <c r="A433" s="3"/>
    </row>
    <row r="434" spans="1:1" x14ac:dyDescent="0.25">
      <c r="A434" s="3"/>
    </row>
    <row r="435" spans="1:1" x14ac:dyDescent="0.25">
      <c r="A435" s="3"/>
    </row>
    <row r="436" spans="1:1" x14ac:dyDescent="0.25">
      <c r="A436" s="3"/>
    </row>
    <row r="437" spans="1:1" x14ac:dyDescent="0.25">
      <c r="A437" s="3"/>
    </row>
    <row r="438" spans="1:1" x14ac:dyDescent="0.25">
      <c r="A438" s="3"/>
    </row>
    <row r="439" spans="1:1" x14ac:dyDescent="0.25">
      <c r="A439" s="3"/>
    </row>
    <row r="440" spans="1:1" x14ac:dyDescent="0.25">
      <c r="A440" s="3"/>
    </row>
    <row r="441" spans="1:1" x14ac:dyDescent="0.25">
      <c r="A441" s="3"/>
    </row>
    <row r="442" spans="1:1" x14ac:dyDescent="0.25">
      <c r="A442" s="3"/>
    </row>
    <row r="443" spans="1:1" x14ac:dyDescent="0.25">
      <c r="A443" s="3"/>
    </row>
    <row r="444" spans="1:1" x14ac:dyDescent="0.25">
      <c r="A444" s="3"/>
    </row>
    <row r="445" spans="1:1" x14ac:dyDescent="0.25">
      <c r="A445" s="3"/>
    </row>
    <row r="446" spans="1:1" x14ac:dyDescent="0.25">
      <c r="A446" s="3"/>
    </row>
    <row r="447" spans="1:1" x14ac:dyDescent="0.25">
      <c r="A447" s="3"/>
    </row>
    <row r="448" spans="1:1" x14ac:dyDescent="0.25">
      <c r="A448" s="3"/>
    </row>
    <row r="449" spans="1:1" x14ac:dyDescent="0.25">
      <c r="A449" s="3"/>
    </row>
    <row r="450" spans="1:1" x14ac:dyDescent="0.25">
      <c r="A450" s="3"/>
    </row>
    <row r="451" spans="1:1" x14ac:dyDescent="0.25">
      <c r="A451" s="3"/>
    </row>
    <row r="452" spans="1:1" x14ac:dyDescent="0.25">
      <c r="A452" s="3"/>
    </row>
    <row r="453" spans="1:1" x14ac:dyDescent="0.25">
      <c r="A453" s="3"/>
    </row>
    <row r="454" spans="1:1" x14ac:dyDescent="0.25">
      <c r="A454" s="3"/>
    </row>
    <row r="455" spans="1:1" x14ac:dyDescent="0.25">
      <c r="A455" s="3"/>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5"/>
    </row>
    <row r="541" spans="1:1" x14ac:dyDescent="0.25">
      <c r="A541" s="5"/>
    </row>
    <row r="542" spans="1:1" x14ac:dyDescent="0.25">
      <c r="A542" s="5"/>
    </row>
    <row r="543" spans="1:1" x14ac:dyDescent="0.25">
      <c r="A543" s="5"/>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5"/>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5"/>
    </row>
    <row r="672" spans="1:1" x14ac:dyDescent="0.25">
      <c r="A672" s="5"/>
    </row>
    <row r="673" spans="1:1" x14ac:dyDescent="0.25">
      <c r="A673" s="5"/>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3"/>
    </row>
    <row r="777" spans="1:1" x14ac:dyDescent="0.25">
      <c r="A777" s="3"/>
    </row>
    <row r="778" spans="1:1" x14ac:dyDescent="0.25">
      <c r="A778" s="3"/>
    </row>
    <row r="779" spans="1:1" x14ac:dyDescent="0.25">
      <c r="A779" s="3"/>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3"/>
    </row>
    <row r="969" spans="1:1" x14ac:dyDescent="0.25">
      <c r="A969" s="3"/>
    </row>
    <row r="970" spans="1:1" x14ac:dyDescent="0.25">
      <c r="A970" s="3"/>
    </row>
    <row r="971" spans="1:1" x14ac:dyDescent="0.25">
      <c r="A971" s="3"/>
    </row>
    <row r="972" spans="1:1" x14ac:dyDescent="0.25">
      <c r="A972" s="3"/>
    </row>
    <row r="973" spans="1:1" x14ac:dyDescent="0.25">
      <c r="A973" s="3"/>
    </row>
    <row r="974" spans="1:1" x14ac:dyDescent="0.25">
      <c r="A974" s="3"/>
    </row>
    <row r="975" spans="1:1" x14ac:dyDescent="0.25">
      <c r="A975" s="3"/>
    </row>
    <row r="976" spans="1:1" x14ac:dyDescent="0.25">
      <c r="A976" s="3"/>
    </row>
    <row r="977" spans="1:1" x14ac:dyDescent="0.25">
      <c r="A977" s="3"/>
    </row>
    <row r="978" spans="1:1" x14ac:dyDescent="0.25">
      <c r="A978" s="3"/>
    </row>
    <row r="979" spans="1:1" x14ac:dyDescent="0.25">
      <c r="A979" s="3"/>
    </row>
    <row r="980" spans="1:1" x14ac:dyDescent="0.25">
      <c r="A980" s="3"/>
    </row>
    <row r="981" spans="1:1" x14ac:dyDescent="0.25">
      <c r="A981" s="3"/>
    </row>
    <row r="982" spans="1:1" x14ac:dyDescent="0.25">
      <c r="A982" s="3"/>
    </row>
    <row r="983" spans="1:1" x14ac:dyDescent="0.25">
      <c r="A983" s="3"/>
    </row>
    <row r="984" spans="1:1" x14ac:dyDescent="0.25">
      <c r="A984" s="3"/>
    </row>
    <row r="985" spans="1:1" x14ac:dyDescent="0.25">
      <c r="A985" s="3"/>
    </row>
    <row r="986" spans="1:1" x14ac:dyDescent="0.25">
      <c r="A986" s="3"/>
    </row>
    <row r="987" spans="1:1" x14ac:dyDescent="0.25">
      <c r="A987" s="3"/>
    </row>
    <row r="988" spans="1:1" x14ac:dyDescent="0.25">
      <c r="A988" s="3"/>
    </row>
    <row r="989" spans="1:1" x14ac:dyDescent="0.25">
      <c r="A989" s="3"/>
    </row>
    <row r="990" spans="1:1" x14ac:dyDescent="0.25">
      <c r="A990" s="3"/>
    </row>
    <row r="991" spans="1:1" x14ac:dyDescent="0.25">
      <c r="A991" s="3"/>
    </row>
    <row r="992" spans="1:1" x14ac:dyDescent="0.25">
      <c r="A992" s="3"/>
    </row>
    <row r="993" spans="1:1" x14ac:dyDescent="0.25">
      <c r="A993" s="3"/>
    </row>
    <row r="994" spans="1:1" x14ac:dyDescent="0.25">
      <c r="A994" s="3"/>
    </row>
    <row r="995" spans="1:1" x14ac:dyDescent="0.25">
      <c r="A995" s="3"/>
    </row>
    <row r="996" spans="1:1" x14ac:dyDescent="0.25">
      <c r="A996" s="3"/>
    </row>
    <row r="997" spans="1:1" x14ac:dyDescent="0.25">
      <c r="A997" s="3"/>
    </row>
    <row r="998" spans="1:1" x14ac:dyDescent="0.25">
      <c r="A998" s="3"/>
    </row>
    <row r="999" spans="1:1" x14ac:dyDescent="0.25">
      <c r="A999" s="3"/>
    </row>
    <row r="1000" spans="1:1" x14ac:dyDescent="0.25">
      <c r="A1000" s="3"/>
    </row>
    <row r="1001" spans="1:1" x14ac:dyDescent="0.25">
      <c r="A1001" s="3"/>
    </row>
    <row r="1002" spans="1:1" x14ac:dyDescent="0.25">
      <c r="A1002" s="3"/>
    </row>
    <row r="1003" spans="1:1" x14ac:dyDescent="0.25">
      <c r="A1003" s="3"/>
    </row>
    <row r="1004" spans="1:1" x14ac:dyDescent="0.25">
      <c r="A1004" s="3"/>
    </row>
    <row r="1005" spans="1:1" x14ac:dyDescent="0.25">
      <c r="A1005" s="3"/>
    </row>
    <row r="1006" spans="1:1" x14ac:dyDescent="0.25">
      <c r="A1006" s="3"/>
    </row>
    <row r="1007" spans="1:1" x14ac:dyDescent="0.25">
      <c r="A1007" s="3"/>
    </row>
    <row r="1008" spans="1:1" x14ac:dyDescent="0.25">
      <c r="A1008" s="3"/>
    </row>
    <row r="1009" spans="1:1" x14ac:dyDescent="0.25">
      <c r="A1009" s="3"/>
    </row>
    <row r="1010" spans="1:1" x14ac:dyDescent="0.25">
      <c r="A1010" s="3"/>
    </row>
    <row r="1011" spans="1:1" x14ac:dyDescent="0.25">
      <c r="A1011" s="3"/>
    </row>
    <row r="1012" spans="1:1" x14ac:dyDescent="0.25">
      <c r="A1012" s="3"/>
    </row>
    <row r="1013" spans="1:1" x14ac:dyDescent="0.25">
      <c r="A1013" s="3"/>
    </row>
    <row r="1014" spans="1:1" x14ac:dyDescent="0.25">
      <c r="A1014" s="3"/>
    </row>
    <row r="1015" spans="1:1" x14ac:dyDescent="0.25">
      <c r="A1015" s="3"/>
    </row>
    <row r="1016" spans="1:1" x14ac:dyDescent="0.25">
      <c r="A1016" s="3"/>
    </row>
    <row r="1017" spans="1:1" x14ac:dyDescent="0.25">
      <c r="A1017" s="3"/>
    </row>
    <row r="1018" spans="1:1" x14ac:dyDescent="0.25">
      <c r="A1018" s="3"/>
    </row>
    <row r="1019" spans="1:1" x14ac:dyDescent="0.25">
      <c r="A1019" s="3"/>
    </row>
    <row r="1020" spans="1:1" x14ac:dyDescent="0.25">
      <c r="A1020" s="3"/>
    </row>
    <row r="1021" spans="1:1" x14ac:dyDescent="0.25">
      <c r="A1021" s="3"/>
    </row>
    <row r="1022" spans="1:1" x14ac:dyDescent="0.25">
      <c r="A1022" s="3"/>
    </row>
    <row r="1023" spans="1:1" x14ac:dyDescent="0.25">
      <c r="A1023" s="3"/>
    </row>
    <row r="1024" spans="1:1" x14ac:dyDescent="0.25">
      <c r="A1024" s="3"/>
    </row>
    <row r="1025" spans="1:1" x14ac:dyDescent="0.25">
      <c r="A1025" s="3"/>
    </row>
    <row r="1026" spans="1:1" x14ac:dyDescent="0.25">
      <c r="A1026" s="3"/>
    </row>
    <row r="1027" spans="1:1" x14ac:dyDescent="0.25">
      <c r="A1027" s="3"/>
    </row>
    <row r="1028" spans="1:1" x14ac:dyDescent="0.25">
      <c r="A1028" s="3"/>
    </row>
    <row r="1029" spans="1:1" x14ac:dyDescent="0.25">
      <c r="A1029" s="3"/>
    </row>
    <row r="1030" spans="1:1" x14ac:dyDescent="0.25">
      <c r="A1030" s="3"/>
    </row>
    <row r="1031" spans="1:1" x14ac:dyDescent="0.25">
      <c r="A1031" s="3"/>
    </row>
    <row r="1032" spans="1:1" x14ac:dyDescent="0.25">
      <c r="A1032" s="3"/>
    </row>
    <row r="1033" spans="1:1" x14ac:dyDescent="0.25">
      <c r="A1033" s="3"/>
    </row>
    <row r="1034" spans="1:1" x14ac:dyDescent="0.25">
      <c r="A1034" s="3"/>
    </row>
    <row r="1035" spans="1:1" x14ac:dyDescent="0.25">
      <c r="A1035" s="3"/>
    </row>
    <row r="1036" spans="1:1" x14ac:dyDescent="0.25">
      <c r="A1036" s="3"/>
    </row>
    <row r="1037" spans="1:1" x14ac:dyDescent="0.25">
      <c r="A1037" s="3"/>
    </row>
    <row r="1038" spans="1:1" x14ac:dyDescent="0.25">
      <c r="A1038" s="3"/>
    </row>
    <row r="1039" spans="1:1" x14ac:dyDescent="0.25">
      <c r="A1039" s="3"/>
    </row>
    <row r="1040" spans="1:1" x14ac:dyDescent="0.25">
      <c r="A1040" s="3"/>
    </row>
    <row r="1041" spans="1:1" x14ac:dyDescent="0.25">
      <c r="A1041" s="3"/>
    </row>
    <row r="1042" spans="1:1" x14ac:dyDescent="0.25">
      <c r="A1042" s="3"/>
    </row>
    <row r="1043" spans="1:1" x14ac:dyDescent="0.25">
      <c r="A1043" s="3"/>
    </row>
    <row r="1044" spans="1:1" x14ac:dyDescent="0.25">
      <c r="A1044" s="3"/>
    </row>
    <row r="1045" spans="1:1" x14ac:dyDescent="0.25">
      <c r="A1045" s="3"/>
    </row>
    <row r="1046" spans="1:1" x14ac:dyDescent="0.25">
      <c r="A1046" s="3"/>
    </row>
    <row r="1047" spans="1:1" x14ac:dyDescent="0.25">
      <c r="A1047" s="3"/>
    </row>
    <row r="1048" spans="1:1" x14ac:dyDescent="0.25">
      <c r="A1048" s="3"/>
    </row>
    <row r="1049" spans="1:1" x14ac:dyDescent="0.25">
      <c r="A1049" s="3"/>
    </row>
    <row r="1050" spans="1:1" x14ac:dyDescent="0.25">
      <c r="A1050" s="3"/>
    </row>
    <row r="1051" spans="1:1" x14ac:dyDescent="0.25">
      <c r="A1051" s="3"/>
    </row>
    <row r="1052" spans="1:1" x14ac:dyDescent="0.25">
      <c r="A1052" s="3"/>
    </row>
    <row r="1053" spans="1:1" x14ac:dyDescent="0.25">
      <c r="A1053" s="3"/>
    </row>
    <row r="1054" spans="1:1" x14ac:dyDescent="0.25">
      <c r="A1054" s="3"/>
    </row>
    <row r="1055" spans="1:1" x14ac:dyDescent="0.25">
      <c r="A1055" s="3"/>
    </row>
    <row r="1056" spans="1:1" x14ac:dyDescent="0.25">
      <c r="A1056" s="3"/>
    </row>
    <row r="1057" spans="1:1" x14ac:dyDescent="0.25">
      <c r="A1057" s="3"/>
    </row>
    <row r="1058" spans="1:1" x14ac:dyDescent="0.25">
      <c r="A1058" s="3"/>
    </row>
    <row r="1059" spans="1:1" x14ac:dyDescent="0.25">
      <c r="A1059" s="3"/>
    </row>
    <row r="1060" spans="1:1" x14ac:dyDescent="0.25">
      <c r="A1060" s="3"/>
    </row>
    <row r="1061" spans="1:1" x14ac:dyDescent="0.25">
      <c r="A1061" s="3"/>
    </row>
    <row r="1062" spans="1:1" x14ac:dyDescent="0.25">
      <c r="A1062" s="3"/>
    </row>
    <row r="1063" spans="1:1" x14ac:dyDescent="0.25">
      <c r="A1063" s="3"/>
    </row>
    <row r="1064" spans="1:1" x14ac:dyDescent="0.25">
      <c r="A1064" s="3"/>
    </row>
    <row r="1065" spans="1:1" x14ac:dyDescent="0.25">
      <c r="A1065" s="3"/>
    </row>
    <row r="1066" spans="1:1" x14ac:dyDescent="0.25">
      <c r="A1066" s="3"/>
    </row>
    <row r="1067" spans="1:1" x14ac:dyDescent="0.25">
      <c r="A1067" s="3"/>
    </row>
    <row r="1068" spans="1:1" x14ac:dyDescent="0.25">
      <c r="A1068" s="3"/>
    </row>
    <row r="1069" spans="1:1" x14ac:dyDescent="0.25">
      <c r="A1069" s="3"/>
    </row>
    <row r="1070" spans="1:1" x14ac:dyDescent="0.25">
      <c r="A1070" s="3"/>
    </row>
    <row r="1071" spans="1:1" x14ac:dyDescent="0.25">
      <c r="A1071" s="3"/>
    </row>
    <row r="1072" spans="1:1" x14ac:dyDescent="0.25">
      <c r="A1072" s="3"/>
    </row>
    <row r="1073" spans="1:1" x14ac:dyDescent="0.25">
      <c r="A1073" s="3"/>
    </row>
    <row r="1074" spans="1:1" x14ac:dyDescent="0.25">
      <c r="A1074" s="3"/>
    </row>
    <row r="1075" spans="1:1" x14ac:dyDescent="0.25">
      <c r="A1075" s="3"/>
    </row>
    <row r="1076" spans="1:1" x14ac:dyDescent="0.25">
      <c r="A1076" s="3"/>
    </row>
    <row r="1077" spans="1:1" x14ac:dyDescent="0.25">
      <c r="A1077" s="3"/>
    </row>
    <row r="1078" spans="1:1" x14ac:dyDescent="0.25">
      <c r="A1078" s="3"/>
    </row>
    <row r="1079" spans="1:1" x14ac:dyDescent="0.25">
      <c r="A1079" s="3"/>
    </row>
    <row r="1080" spans="1:1" x14ac:dyDescent="0.25">
      <c r="A1080" s="3"/>
    </row>
    <row r="1081" spans="1:1" x14ac:dyDescent="0.25">
      <c r="A1081" s="3"/>
    </row>
    <row r="1082" spans="1:1" x14ac:dyDescent="0.25">
      <c r="A1082" s="3"/>
    </row>
    <row r="1083" spans="1:1" x14ac:dyDescent="0.25">
      <c r="A1083" s="3"/>
    </row>
    <row r="1084" spans="1:1" x14ac:dyDescent="0.25">
      <c r="A1084" s="3"/>
    </row>
    <row r="1085" spans="1:1" x14ac:dyDescent="0.25">
      <c r="A1085" s="3"/>
    </row>
    <row r="1086" spans="1:1" x14ac:dyDescent="0.25">
      <c r="A1086" s="3"/>
    </row>
    <row r="1087" spans="1:1" x14ac:dyDescent="0.25">
      <c r="A1087" s="3"/>
    </row>
    <row r="1088" spans="1:1" x14ac:dyDescent="0.25">
      <c r="A1088" s="3"/>
    </row>
    <row r="1089" spans="1:1" x14ac:dyDescent="0.25">
      <c r="A1089" s="3"/>
    </row>
    <row r="1090" spans="1:1" x14ac:dyDescent="0.25">
      <c r="A1090" s="3"/>
    </row>
    <row r="1091" spans="1:1" x14ac:dyDescent="0.25">
      <c r="A1091" s="3"/>
    </row>
    <row r="1092" spans="1:1" x14ac:dyDescent="0.25">
      <c r="A1092" s="3"/>
    </row>
    <row r="1093" spans="1:1" x14ac:dyDescent="0.25">
      <c r="A1093" s="3"/>
    </row>
    <row r="1094" spans="1:1" x14ac:dyDescent="0.25">
      <c r="A1094" s="3"/>
    </row>
    <row r="1095" spans="1:1" x14ac:dyDescent="0.25">
      <c r="A1095" s="3"/>
    </row>
    <row r="1096" spans="1:1" x14ac:dyDescent="0.25">
      <c r="A1096" s="3"/>
    </row>
    <row r="1097" spans="1:1" x14ac:dyDescent="0.25">
      <c r="A1097" s="3"/>
    </row>
    <row r="1098" spans="1:1" x14ac:dyDescent="0.25">
      <c r="A1098" s="3"/>
    </row>
    <row r="1099" spans="1:1" x14ac:dyDescent="0.25">
      <c r="A1099" s="3"/>
    </row>
    <row r="1100" spans="1:1" x14ac:dyDescent="0.25">
      <c r="A1100" s="3"/>
    </row>
    <row r="1101" spans="1:1" x14ac:dyDescent="0.25">
      <c r="A1101" s="3"/>
    </row>
    <row r="1102" spans="1:1" x14ac:dyDescent="0.25">
      <c r="A1102" s="3"/>
    </row>
    <row r="1103" spans="1:1" x14ac:dyDescent="0.25">
      <c r="A1103" s="3"/>
    </row>
    <row r="1104" spans="1:1" x14ac:dyDescent="0.25">
      <c r="A1104" s="3"/>
    </row>
    <row r="1105" spans="1:1" x14ac:dyDescent="0.25">
      <c r="A1105" s="3"/>
    </row>
    <row r="1106" spans="1:1" x14ac:dyDescent="0.25">
      <c r="A1106" s="3"/>
    </row>
    <row r="1107" spans="1:1" x14ac:dyDescent="0.25">
      <c r="A1107" s="3"/>
    </row>
    <row r="1108" spans="1:1" x14ac:dyDescent="0.25">
      <c r="A1108" s="3"/>
    </row>
    <row r="1109" spans="1:1" x14ac:dyDescent="0.25">
      <c r="A1109" s="3"/>
    </row>
    <row r="1110" spans="1:1" x14ac:dyDescent="0.25">
      <c r="A1110" s="3"/>
    </row>
    <row r="1111" spans="1:1" x14ac:dyDescent="0.25">
      <c r="A1111" s="3"/>
    </row>
    <row r="1112" spans="1:1" x14ac:dyDescent="0.25">
      <c r="A1112" s="3"/>
    </row>
    <row r="1113" spans="1:1" x14ac:dyDescent="0.25">
      <c r="A1113" s="3"/>
    </row>
    <row r="1114" spans="1:1" x14ac:dyDescent="0.25">
      <c r="A1114" s="3"/>
    </row>
    <row r="1115" spans="1:1" x14ac:dyDescent="0.25">
      <c r="A1115" s="3"/>
    </row>
    <row r="1116" spans="1:1" x14ac:dyDescent="0.25">
      <c r="A1116" s="3"/>
    </row>
    <row r="1117" spans="1:1" x14ac:dyDescent="0.25">
      <c r="A1117" s="3"/>
    </row>
    <row r="1118" spans="1:1" x14ac:dyDescent="0.25">
      <c r="A1118" s="3"/>
    </row>
    <row r="1119" spans="1:1" x14ac:dyDescent="0.25">
      <c r="A1119" s="3"/>
    </row>
    <row r="1120" spans="1:1" x14ac:dyDescent="0.25">
      <c r="A1120" s="3"/>
    </row>
    <row r="1121" spans="1:1" x14ac:dyDescent="0.25">
      <c r="A1121" s="3"/>
    </row>
    <row r="1122" spans="1:1" x14ac:dyDescent="0.25">
      <c r="A1122" s="3"/>
    </row>
    <row r="1123" spans="1:1" x14ac:dyDescent="0.25">
      <c r="A1123" s="3"/>
    </row>
    <row r="1124" spans="1:1" x14ac:dyDescent="0.25">
      <c r="A1124" s="3"/>
    </row>
    <row r="1125" spans="1:1" x14ac:dyDescent="0.25">
      <c r="A1125" s="3"/>
    </row>
    <row r="1126" spans="1:1" x14ac:dyDescent="0.25">
      <c r="A1126" s="3"/>
    </row>
    <row r="1127" spans="1:1" x14ac:dyDescent="0.25">
      <c r="A1127" s="3"/>
    </row>
    <row r="1128" spans="1:1" x14ac:dyDescent="0.25">
      <c r="A1128" s="3"/>
    </row>
    <row r="1129" spans="1:1" x14ac:dyDescent="0.25">
      <c r="A1129" s="3"/>
    </row>
    <row r="1130" spans="1:1" x14ac:dyDescent="0.25">
      <c r="A1130" s="3"/>
    </row>
    <row r="1131" spans="1:1" x14ac:dyDescent="0.25">
      <c r="A1131" s="3"/>
    </row>
    <row r="1132" spans="1:1" x14ac:dyDescent="0.25">
      <c r="A1132" s="3"/>
    </row>
    <row r="1133" spans="1:1" x14ac:dyDescent="0.25">
      <c r="A1133" s="3"/>
    </row>
    <row r="1134" spans="1:1" x14ac:dyDescent="0.25">
      <c r="A1134" s="3"/>
    </row>
    <row r="1135" spans="1:1" x14ac:dyDescent="0.25">
      <c r="A1135" s="3"/>
    </row>
    <row r="1136" spans="1:1" x14ac:dyDescent="0.25">
      <c r="A1136" s="3"/>
    </row>
    <row r="1137" spans="1:1" x14ac:dyDescent="0.25">
      <c r="A1137" s="3"/>
    </row>
    <row r="1138" spans="1:1" x14ac:dyDescent="0.25">
      <c r="A1138" s="3"/>
    </row>
    <row r="1139" spans="1:1" x14ac:dyDescent="0.25">
      <c r="A1139" s="3"/>
    </row>
    <row r="1140" spans="1:1" x14ac:dyDescent="0.25">
      <c r="A1140" s="3"/>
    </row>
    <row r="1141" spans="1:1" x14ac:dyDescent="0.25">
      <c r="A1141" s="3"/>
    </row>
    <row r="1142" spans="1:1" x14ac:dyDescent="0.25">
      <c r="A1142" s="3"/>
    </row>
    <row r="1143" spans="1:1" x14ac:dyDescent="0.25">
      <c r="A1143" s="3"/>
    </row>
    <row r="1144" spans="1:1" x14ac:dyDescent="0.25">
      <c r="A1144" s="3"/>
    </row>
    <row r="1145" spans="1:1" x14ac:dyDescent="0.25">
      <c r="A1145" s="3"/>
    </row>
    <row r="1146" spans="1:1" x14ac:dyDescent="0.25">
      <c r="A1146" s="3"/>
    </row>
    <row r="1147" spans="1:1" x14ac:dyDescent="0.25">
      <c r="A1147" s="3"/>
    </row>
    <row r="1148" spans="1:1" x14ac:dyDescent="0.25">
      <c r="A1148" s="3"/>
    </row>
    <row r="1149" spans="1:1" x14ac:dyDescent="0.25">
      <c r="A1149" s="3"/>
    </row>
    <row r="1150" spans="1:1" x14ac:dyDescent="0.25">
      <c r="A1150" s="3"/>
    </row>
    <row r="1151" spans="1:1" x14ac:dyDescent="0.25">
      <c r="A1151" s="3"/>
    </row>
    <row r="1152" spans="1:1" x14ac:dyDescent="0.25">
      <c r="A1152" s="3"/>
    </row>
    <row r="1153" spans="1:1" x14ac:dyDescent="0.25">
      <c r="A1153" s="3"/>
    </row>
    <row r="1154" spans="1:1" x14ac:dyDescent="0.25">
      <c r="A1154" s="3"/>
    </row>
    <row r="1155" spans="1:1" x14ac:dyDescent="0.25">
      <c r="A1155" s="3"/>
    </row>
    <row r="1156" spans="1:1" x14ac:dyDescent="0.25">
      <c r="A1156" s="3"/>
    </row>
    <row r="1157" spans="1:1" x14ac:dyDescent="0.25">
      <c r="A1157" s="3"/>
    </row>
    <row r="1158" spans="1:1" x14ac:dyDescent="0.25">
      <c r="A1158" s="3"/>
    </row>
    <row r="1159" spans="1:1" x14ac:dyDescent="0.25">
      <c r="A1159" s="3"/>
    </row>
    <row r="1160" spans="1:1" x14ac:dyDescent="0.25">
      <c r="A1160" s="3"/>
    </row>
    <row r="1161" spans="1:1" x14ac:dyDescent="0.25">
      <c r="A1161" s="3"/>
    </row>
    <row r="1162" spans="1:1" x14ac:dyDescent="0.25">
      <c r="A1162" s="3"/>
    </row>
    <row r="1163" spans="1:1" x14ac:dyDescent="0.25">
      <c r="A1163" s="3"/>
    </row>
    <row r="1164" spans="1:1" x14ac:dyDescent="0.25">
      <c r="A1164" s="3"/>
    </row>
    <row r="1165" spans="1:1" x14ac:dyDescent="0.25">
      <c r="A1165" s="3"/>
    </row>
    <row r="1166" spans="1:1" x14ac:dyDescent="0.25">
      <c r="A1166" s="3"/>
    </row>
    <row r="1167" spans="1:1" x14ac:dyDescent="0.25">
      <c r="A1167" s="3"/>
    </row>
    <row r="1168" spans="1:1" x14ac:dyDescent="0.25">
      <c r="A1168" s="3"/>
    </row>
    <row r="1169" spans="1:1" x14ac:dyDescent="0.25">
      <c r="A1169" s="3"/>
    </row>
    <row r="1170" spans="1:1" x14ac:dyDescent="0.25">
      <c r="A1170" s="3"/>
    </row>
    <row r="1171" spans="1:1" x14ac:dyDescent="0.25">
      <c r="A1171" s="3"/>
    </row>
    <row r="1172" spans="1:1" x14ac:dyDescent="0.25">
      <c r="A1172" s="3"/>
    </row>
    <row r="1173" spans="1:1" x14ac:dyDescent="0.25">
      <c r="A1173" s="3"/>
    </row>
    <row r="1174" spans="1:1" x14ac:dyDescent="0.25">
      <c r="A1174" s="3"/>
    </row>
    <row r="1175" spans="1:1" x14ac:dyDescent="0.25">
      <c r="A1175" s="3"/>
    </row>
    <row r="1176" spans="1:1" x14ac:dyDescent="0.25">
      <c r="A1176" s="3"/>
    </row>
    <row r="1177" spans="1:1" x14ac:dyDescent="0.25">
      <c r="A1177" s="3"/>
    </row>
    <row r="1178" spans="1:1" x14ac:dyDescent="0.25">
      <c r="A1178" s="3"/>
    </row>
    <row r="1179" spans="1:1" x14ac:dyDescent="0.25">
      <c r="A1179" s="3"/>
    </row>
    <row r="1180" spans="1:1" x14ac:dyDescent="0.25">
      <c r="A1180" s="3"/>
    </row>
    <row r="1181" spans="1:1" x14ac:dyDescent="0.25">
      <c r="A1181" s="3"/>
    </row>
    <row r="1182" spans="1:1" x14ac:dyDescent="0.25">
      <c r="A1182" s="3"/>
    </row>
    <row r="1183" spans="1:1" x14ac:dyDescent="0.25">
      <c r="A1183" s="3"/>
    </row>
    <row r="1184" spans="1:1" x14ac:dyDescent="0.25">
      <c r="A1184" s="3"/>
    </row>
    <row r="1185" spans="1:1" x14ac:dyDescent="0.25">
      <c r="A1185" s="3"/>
    </row>
    <row r="1186" spans="1:1" x14ac:dyDescent="0.25">
      <c r="A1186" s="3"/>
    </row>
    <row r="1187" spans="1:1" x14ac:dyDescent="0.25">
      <c r="A1187" s="3"/>
    </row>
    <row r="1188" spans="1:1" x14ac:dyDescent="0.25">
      <c r="A1188" s="3"/>
    </row>
    <row r="1189" spans="1:1" x14ac:dyDescent="0.25">
      <c r="A1189" s="3"/>
    </row>
    <row r="1190" spans="1:1" x14ac:dyDescent="0.25">
      <c r="A1190" s="3"/>
    </row>
    <row r="1191" spans="1:1" x14ac:dyDescent="0.25">
      <c r="A1191" s="3"/>
    </row>
    <row r="1192" spans="1:1" x14ac:dyDescent="0.25">
      <c r="A1192" s="3"/>
    </row>
    <row r="1193" spans="1:1" x14ac:dyDescent="0.25">
      <c r="A1193" s="3"/>
    </row>
    <row r="1194" spans="1:1" x14ac:dyDescent="0.25">
      <c r="A1194" s="3"/>
    </row>
    <row r="1195" spans="1:1" x14ac:dyDescent="0.25">
      <c r="A1195" s="3"/>
    </row>
    <row r="1196" spans="1:1" x14ac:dyDescent="0.25">
      <c r="A1196" s="3"/>
    </row>
    <row r="1197" spans="1:1" x14ac:dyDescent="0.25">
      <c r="A1197" s="3"/>
    </row>
    <row r="1198" spans="1:1" x14ac:dyDescent="0.25">
      <c r="A1198" s="3"/>
    </row>
    <row r="1199" spans="1:1" x14ac:dyDescent="0.25">
      <c r="A1199" s="3"/>
    </row>
    <row r="1200" spans="1:1" x14ac:dyDescent="0.25">
      <c r="A1200" s="3"/>
    </row>
    <row r="1201" spans="1:1" x14ac:dyDescent="0.25">
      <c r="A1201" s="3"/>
    </row>
    <row r="1202" spans="1:1" x14ac:dyDescent="0.25">
      <c r="A1202" s="3"/>
    </row>
    <row r="1203" spans="1:1" x14ac:dyDescent="0.25">
      <c r="A1203" s="3"/>
    </row>
    <row r="1204" spans="1:1" x14ac:dyDescent="0.25">
      <c r="A1204" s="3"/>
    </row>
    <row r="1205" spans="1:1" x14ac:dyDescent="0.25">
      <c r="A1205" s="3"/>
    </row>
    <row r="1206" spans="1:1" x14ac:dyDescent="0.25">
      <c r="A1206" s="3"/>
    </row>
    <row r="1207" spans="1:1" x14ac:dyDescent="0.25">
      <c r="A1207" s="3"/>
    </row>
    <row r="1208" spans="1:1" x14ac:dyDescent="0.25">
      <c r="A1208" s="3"/>
    </row>
    <row r="1209" spans="1:1" x14ac:dyDescent="0.25">
      <c r="A1209" s="3"/>
    </row>
    <row r="1210" spans="1:1" x14ac:dyDescent="0.25">
      <c r="A1210" s="3"/>
    </row>
    <row r="1211" spans="1:1" x14ac:dyDescent="0.25">
      <c r="A1211" s="3"/>
    </row>
    <row r="1212" spans="1:1" x14ac:dyDescent="0.25">
      <c r="A1212" s="3"/>
    </row>
    <row r="1213" spans="1:1" x14ac:dyDescent="0.25">
      <c r="A1213" s="3"/>
    </row>
    <row r="1214" spans="1:1" x14ac:dyDescent="0.25">
      <c r="A1214" s="3"/>
    </row>
    <row r="1215" spans="1:1" x14ac:dyDescent="0.25">
      <c r="A1215" s="3"/>
    </row>
    <row r="1216" spans="1:1" x14ac:dyDescent="0.25">
      <c r="A1216" s="3"/>
    </row>
    <row r="1217" spans="1:1" x14ac:dyDescent="0.25">
      <c r="A1217" s="3"/>
    </row>
    <row r="1218" spans="1:1" x14ac:dyDescent="0.25">
      <c r="A1218" s="3"/>
    </row>
    <row r="1219" spans="1:1" x14ac:dyDescent="0.25">
      <c r="A1219" s="3"/>
    </row>
    <row r="1220" spans="1:1" x14ac:dyDescent="0.25">
      <c r="A1220" s="3"/>
    </row>
    <row r="1221" spans="1:1" x14ac:dyDescent="0.25">
      <c r="A1221" s="3"/>
    </row>
    <row r="1222" spans="1:1" x14ac:dyDescent="0.25">
      <c r="A1222" s="3"/>
    </row>
    <row r="1223" spans="1:1" x14ac:dyDescent="0.25">
      <c r="A1223" s="3"/>
    </row>
    <row r="1224" spans="1:1" x14ac:dyDescent="0.25">
      <c r="A1224" s="3"/>
    </row>
    <row r="1225" spans="1:1" x14ac:dyDescent="0.25">
      <c r="A1225" s="3"/>
    </row>
    <row r="1226" spans="1:1" x14ac:dyDescent="0.25">
      <c r="A1226" s="3"/>
    </row>
    <row r="1227" spans="1:1" x14ac:dyDescent="0.25">
      <c r="A1227" s="3"/>
    </row>
    <row r="1228" spans="1:1" x14ac:dyDescent="0.25">
      <c r="A1228" s="3"/>
    </row>
    <row r="1229" spans="1:1" x14ac:dyDescent="0.25">
      <c r="A1229" s="3"/>
    </row>
    <row r="1230" spans="1:1" x14ac:dyDescent="0.25">
      <c r="A1230" s="3"/>
    </row>
    <row r="1231" spans="1:1" x14ac:dyDescent="0.25">
      <c r="A1231" s="3"/>
    </row>
    <row r="1232" spans="1:1" x14ac:dyDescent="0.25">
      <c r="A1232" s="3"/>
    </row>
    <row r="1233" spans="1:1" x14ac:dyDescent="0.25">
      <c r="A1233" s="3"/>
    </row>
    <row r="1234" spans="1:1" x14ac:dyDescent="0.25">
      <c r="A1234" s="3"/>
    </row>
    <row r="1235" spans="1:1" x14ac:dyDescent="0.25">
      <c r="A1235" s="3"/>
    </row>
    <row r="1236" spans="1:1" x14ac:dyDescent="0.25">
      <c r="A1236" s="3"/>
    </row>
    <row r="1237" spans="1:1" x14ac:dyDescent="0.25">
      <c r="A1237" s="3"/>
    </row>
    <row r="1238" spans="1:1" x14ac:dyDescent="0.25">
      <c r="A1238" s="3"/>
    </row>
    <row r="1239" spans="1:1" x14ac:dyDescent="0.25">
      <c r="A1239" s="3"/>
    </row>
    <row r="1240" spans="1:1" x14ac:dyDescent="0.25">
      <c r="A1240" s="3"/>
    </row>
    <row r="1241" spans="1:1" x14ac:dyDescent="0.25">
      <c r="A1241" s="3"/>
    </row>
    <row r="1242" spans="1:1" x14ac:dyDescent="0.25">
      <c r="A1242" s="3"/>
    </row>
    <row r="1243" spans="1:1" x14ac:dyDescent="0.25">
      <c r="A1243" s="3"/>
    </row>
    <row r="1244" spans="1:1" x14ac:dyDescent="0.25">
      <c r="A1244" s="3"/>
    </row>
    <row r="1245" spans="1:1" x14ac:dyDescent="0.25">
      <c r="A1245" s="3"/>
    </row>
    <row r="1246" spans="1:1" x14ac:dyDescent="0.25">
      <c r="A1246" s="3"/>
    </row>
    <row r="1247" spans="1:1" x14ac:dyDescent="0.25">
      <c r="A1247" s="3"/>
    </row>
    <row r="1248" spans="1:1" x14ac:dyDescent="0.25">
      <c r="A1248" s="3"/>
    </row>
    <row r="1249" spans="1:1" x14ac:dyDescent="0.25">
      <c r="A1249" s="3"/>
    </row>
    <row r="1250" spans="1:1" x14ac:dyDescent="0.25">
      <c r="A1250" s="3"/>
    </row>
    <row r="1251" spans="1:1" x14ac:dyDescent="0.25">
      <c r="A1251" s="3"/>
    </row>
    <row r="1252" spans="1:1" x14ac:dyDescent="0.25">
      <c r="A1252" s="3"/>
    </row>
    <row r="1253" spans="1:1" x14ac:dyDescent="0.25">
      <c r="A1253" s="3"/>
    </row>
    <row r="1254" spans="1:1" x14ac:dyDescent="0.25">
      <c r="A1254" s="3"/>
    </row>
    <row r="1255" spans="1:1" x14ac:dyDescent="0.25">
      <c r="A1255" s="3"/>
    </row>
    <row r="1256" spans="1:1" x14ac:dyDescent="0.25">
      <c r="A1256" s="3"/>
    </row>
    <row r="1257" spans="1:1" x14ac:dyDescent="0.25">
      <c r="A1257" s="3"/>
    </row>
    <row r="1258" spans="1:1" x14ac:dyDescent="0.25">
      <c r="A1258" s="3"/>
    </row>
    <row r="1259" spans="1:1" x14ac:dyDescent="0.25">
      <c r="A1259" s="3"/>
    </row>
    <row r="1260" spans="1:1" x14ac:dyDescent="0.25">
      <c r="A1260" s="3"/>
    </row>
    <row r="1261" spans="1:1" x14ac:dyDescent="0.25">
      <c r="A1261" s="3"/>
    </row>
    <row r="1262" spans="1:1" x14ac:dyDescent="0.25">
      <c r="A1262" s="3"/>
    </row>
    <row r="1263" spans="1:1" x14ac:dyDescent="0.25">
      <c r="A1263" s="3"/>
    </row>
    <row r="1264" spans="1:1" x14ac:dyDescent="0.25">
      <c r="A1264" s="3"/>
    </row>
    <row r="1265" spans="1:1" x14ac:dyDescent="0.25">
      <c r="A1265" s="3"/>
    </row>
    <row r="1266" spans="1:1" x14ac:dyDescent="0.25">
      <c r="A1266" s="3"/>
    </row>
    <row r="1267" spans="1:1" x14ac:dyDescent="0.25">
      <c r="A1267" s="3"/>
    </row>
    <row r="1268" spans="1:1" x14ac:dyDescent="0.25">
      <c r="A1268" s="3"/>
    </row>
    <row r="1269" spans="1:1" x14ac:dyDescent="0.25">
      <c r="A1269" s="3"/>
    </row>
    <row r="1270" spans="1:1" x14ac:dyDescent="0.25">
      <c r="A1270" s="3"/>
    </row>
    <row r="1271" spans="1:1" x14ac:dyDescent="0.25">
      <c r="A1271" s="3"/>
    </row>
    <row r="1272" spans="1:1" x14ac:dyDescent="0.25">
      <c r="A1272" s="6"/>
    </row>
    <row r="1273" spans="1:1" x14ac:dyDescent="0.25">
      <c r="A1273" s="3"/>
    </row>
    <row r="1274" spans="1:1" x14ac:dyDescent="0.25">
      <c r="A1274" s="3"/>
    </row>
    <row r="1275" spans="1:1" x14ac:dyDescent="0.25">
      <c r="A1275" s="3"/>
    </row>
    <row r="1276" spans="1:1" x14ac:dyDescent="0.25">
      <c r="A1276" s="3"/>
    </row>
    <row r="1277" spans="1:1" x14ac:dyDescent="0.25">
      <c r="A1277" s="3"/>
    </row>
    <row r="1278" spans="1:1" x14ac:dyDescent="0.25">
      <c r="A1278" s="3"/>
    </row>
    <row r="1279" spans="1:1" x14ac:dyDescent="0.25">
      <c r="A1279" s="3"/>
    </row>
    <row r="1280" spans="1:1" x14ac:dyDescent="0.25">
      <c r="A1280" s="3"/>
    </row>
    <row r="1281" spans="1:1" x14ac:dyDescent="0.25">
      <c r="A1281" s="3"/>
    </row>
    <row r="1282" spans="1:1" x14ac:dyDescent="0.25">
      <c r="A1282" s="3"/>
    </row>
    <row r="1283" spans="1:1" x14ac:dyDescent="0.25">
      <c r="A1283" s="3"/>
    </row>
    <row r="1284" spans="1:1" x14ac:dyDescent="0.25">
      <c r="A1284" s="3"/>
    </row>
    <row r="1285" spans="1:1" x14ac:dyDescent="0.25">
      <c r="A1285" s="3"/>
    </row>
    <row r="1286" spans="1:1" x14ac:dyDescent="0.25">
      <c r="A1286" s="3"/>
    </row>
    <row r="1287" spans="1:1" x14ac:dyDescent="0.25">
      <c r="A1287" s="3"/>
    </row>
    <row r="1288" spans="1:1" x14ac:dyDescent="0.25">
      <c r="A1288" s="3"/>
    </row>
    <row r="1289" spans="1:1" x14ac:dyDescent="0.25">
      <c r="A1289" s="3"/>
    </row>
    <row r="1290" spans="1:1" x14ac:dyDescent="0.25">
      <c r="A1290" s="3"/>
    </row>
    <row r="1291" spans="1:1" x14ac:dyDescent="0.25">
      <c r="A1291" s="3"/>
    </row>
    <row r="1292" spans="1:1" x14ac:dyDescent="0.25">
      <c r="A1292" s="3"/>
    </row>
    <row r="1293" spans="1:1" x14ac:dyDescent="0.25">
      <c r="A1293" s="3"/>
    </row>
    <row r="1294" spans="1:1" x14ac:dyDescent="0.25">
      <c r="A1294" s="3"/>
    </row>
    <row r="1295" spans="1:1" x14ac:dyDescent="0.25">
      <c r="A1295" s="3"/>
    </row>
    <row r="1296" spans="1:1" x14ac:dyDescent="0.25">
      <c r="A1296" s="3"/>
    </row>
    <row r="1297" spans="1:1" x14ac:dyDescent="0.25">
      <c r="A1297" s="3"/>
    </row>
    <row r="1298" spans="1:1" x14ac:dyDescent="0.25">
      <c r="A1298" s="3"/>
    </row>
    <row r="1299" spans="1:1" x14ac:dyDescent="0.25">
      <c r="A1299" s="3"/>
    </row>
    <row r="1300" spans="1:1" x14ac:dyDescent="0.25">
      <c r="A1300" s="3"/>
    </row>
    <row r="1301" spans="1:1" x14ac:dyDescent="0.25">
      <c r="A1301" s="3"/>
    </row>
    <row r="1302" spans="1:1" x14ac:dyDescent="0.25">
      <c r="A1302" s="3"/>
    </row>
    <row r="1303" spans="1:1" x14ac:dyDescent="0.25">
      <c r="A1303" s="3"/>
    </row>
    <row r="1304" spans="1:1" x14ac:dyDescent="0.25">
      <c r="A1304" s="3"/>
    </row>
    <row r="1305" spans="1:1" x14ac:dyDescent="0.25">
      <c r="A1305" s="3"/>
    </row>
    <row r="1306" spans="1:1" x14ac:dyDescent="0.25">
      <c r="A1306" s="3"/>
    </row>
    <row r="1307" spans="1:1" x14ac:dyDescent="0.25">
      <c r="A1307" s="3"/>
    </row>
    <row r="1308" spans="1:1" x14ac:dyDescent="0.25">
      <c r="A1308" s="3"/>
    </row>
    <row r="1309" spans="1:1" x14ac:dyDescent="0.25">
      <c r="A1309" s="3"/>
    </row>
    <row r="1310" spans="1:1" x14ac:dyDescent="0.25">
      <c r="A1310" s="3"/>
    </row>
    <row r="1311" spans="1:1" x14ac:dyDescent="0.25">
      <c r="A1311" s="3"/>
    </row>
    <row r="1312" spans="1:1" x14ac:dyDescent="0.25">
      <c r="A1312" s="3"/>
    </row>
    <row r="1313" spans="1:1" x14ac:dyDescent="0.25">
      <c r="A1313" s="3"/>
    </row>
    <row r="1314" spans="1:1" x14ac:dyDescent="0.25">
      <c r="A1314" s="3"/>
    </row>
    <row r="1315" spans="1:1" x14ac:dyDescent="0.25">
      <c r="A1315" s="3"/>
    </row>
    <row r="1316" spans="1:1" x14ac:dyDescent="0.25">
      <c r="A1316" s="3"/>
    </row>
    <row r="1317" spans="1:1" x14ac:dyDescent="0.25">
      <c r="A1317" s="3"/>
    </row>
    <row r="1318" spans="1:1" x14ac:dyDescent="0.25">
      <c r="A1318" s="3"/>
    </row>
    <row r="1319" spans="1:1" x14ac:dyDescent="0.25">
      <c r="A1319" s="3"/>
    </row>
    <row r="1320" spans="1:1" x14ac:dyDescent="0.25">
      <c r="A1320" s="3"/>
    </row>
    <row r="1321" spans="1:1" x14ac:dyDescent="0.25">
      <c r="A1321" s="3"/>
    </row>
    <row r="1322" spans="1:1" x14ac:dyDescent="0.25">
      <c r="A1322" s="3"/>
    </row>
    <row r="1323" spans="1:1" x14ac:dyDescent="0.25">
      <c r="A1323" s="3"/>
    </row>
    <row r="1324" spans="1:1" x14ac:dyDescent="0.25">
      <c r="A1324" s="3"/>
    </row>
    <row r="1325" spans="1:1" x14ac:dyDescent="0.25">
      <c r="A1325" s="3"/>
    </row>
    <row r="1326" spans="1:1" x14ac:dyDescent="0.25">
      <c r="A1326" s="3"/>
    </row>
    <row r="1327" spans="1:1" x14ac:dyDescent="0.25">
      <c r="A1327" s="3"/>
    </row>
    <row r="1328" spans="1:1" x14ac:dyDescent="0.25">
      <c r="A1328" s="3"/>
    </row>
    <row r="1329" spans="1:1" x14ac:dyDescent="0.25">
      <c r="A1329" s="3"/>
    </row>
    <row r="1330" spans="1:1" x14ac:dyDescent="0.25">
      <c r="A1330" s="3"/>
    </row>
    <row r="1331" spans="1:1" x14ac:dyDescent="0.25">
      <c r="A1331" s="3"/>
    </row>
    <row r="1332" spans="1:1" x14ac:dyDescent="0.25">
      <c r="A1332" s="3"/>
    </row>
    <row r="1333" spans="1:1" x14ac:dyDescent="0.25">
      <c r="A1333" s="7"/>
    </row>
    <row r="1334" spans="1:1" x14ac:dyDescent="0.25">
      <c r="A1334" s="3"/>
    </row>
    <row r="1335" spans="1:1" x14ac:dyDescent="0.25">
      <c r="A1335" s="3"/>
    </row>
    <row r="1336" spans="1:1" x14ac:dyDescent="0.25">
      <c r="A1336" s="3"/>
    </row>
    <row r="1337" spans="1:1" x14ac:dyDescent="0.25">
      <c r="A1337" s="3"/>
    </row>
    <row r="1338" spans="1:1" x14ac:dyDescent="0.25">
      <c r="A1338" s="3"/>
    </row>
    <row r="1339" spans="1:1" x14ac:dyDescent="0.25">
      <c r="A1339" s="3"/>
    </row>
    <row r="1340" spans="1:1" x14ac:dyDescent="0.25">
      <c r="A1340" s="3"/>
    </row>
    <row r="1341" spans="1:1" x14ac:dyDescent="0.25">
      <c r="A1341" s="3"/>
    </row>
    <row r="1342" spans="1:1" x14ac:dyDescent="0.25">
      <c r="A1342" s="3"/>
    </row>
    <row r="1343" spans="1:1" x14ac:dyDescent="0.25">
      <c r="A1343" s="3"/>
    </row>
    <row r="1344" spans="1:1" x14ac:dyDescent="0.25">
      <c r="A1344" s="3"/>
    </row>
    <row r="1345" spans="1:1" x14ac:dyDescent="0.25">
      <c r="A1345" s="3"/>
    </row>
    <row r="1346" spans="1:1" x14ac:dyDescent="0.25">
      <c r="A1346" s="3"/>
    </row>
    <row r="1347" spans="1:1" x14ac:dyDescent="0.25">
      <c r="A1347" s="3"/>
    </row>
    <row r="1348" spans="1:1" x14ac:dyDescent="0.25">
      <c r="A1348" s="3"/>
    </row>
    <row r="1349" spans="1:1" x14ac:dyDescent="0.25">
      <c r="A1349" s="3"/>
    </row>
    <row r="1350" spans="1:1" x14ac:dyDescent="0.25">
      <c r="A1350" s="3"/>
    </row>
    <row r="1351" spans="1:1" x14ac:dyDescent="0.25">
      <c r="A1351" s="3"/>
    </row>
    <row r="1352" spans="1:1" x14ac:dyDescent="0.25">
      <c r="A1352" s="3"/>
    </row>
    <row r="1353" spans="1:1" x14ac:dyDescent="0.25">
      <c r="A1353" s="3"/>
    </row>
    <row r="1354" spans="1:1" x14ac:dyDescent="0.25">
      <c r="A1354" s="3"/>
    </row>
    <row r="1355" spans="1:1" x14ac:dyDescent="0.25">
      <c r="A1355" s="3"/>
    </row>
    <row r="1356" spans="1:1" x14ac:dyDescent="0.25">
      <c r="A1356" s="3"/>
    </row>
    <row r="1357" spans="1:1" x14ac:dyDescent="0.25">
      <c r="A1357" s="3"/>
    </row>
    <row r="1358" spans="1:1" x14ac:dyDescent="0.25">
      <c r="A1358" s="3"/>
    </row>
    <row r="1359" spans="1:1" x14ac:dyDescent="0.25">
      <c r="A1359" s="3"/>
    </row>
    <row r="1360" spans="1:1" x14ac:dyDescent="0.25">
      <c r="A1360" s="3"/>
    </row>
    <row r="1361" spans="1:1" x14ac:dyDescent="0.25">
      <c r="A1361" s="3"/>
    </row>
    <row r="1362" spans="1:1" x14ac:dyDescent="0.25">
      <c r="A1362" s="3"/>
    </row>
    <row r="1363" spans="1:1" x14ac:dyDescent="0.25">
      <c r="A1363" s="3"/>
    </row>
    <row r="1364" spans="1:1" x14ac:dyDescent="0.25">
      <c r="A1364" s="3"/>
    </row>
    <row r="1365" spans="1:1" x14ac:dyDescent="0.25">
      <c r="A1365" s="3"/>
    </row>
    <row r="1366" spans="1:1" x14ac:dyDescent="0.25">
      <c r="A1366" s="3"/>
    </row>
  </sheetData>
  <sheetProtection selectLockedCells="1" selectUnlockedCells="1"/>
  <mergeCells count="1">
    <mergeCell ref="C1:C2"/>
  </mergeCells>
  <phoneticPr fontId="0" type="noConversion"/>
  <conditionalFormatting sqref="B3:AY3">
    <cfRule type="cellIs" dxfId="5"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A4" sqref="A4"/>
    </sheetView>
  </sheetViews>
  <sheetFormatPr defaultColWidth="9.296875" defaultRowHeight="13" x14ac:dyDescent="0.3"/>
  <cols>
    <col min="1" max="1" width="33.796875" style="39" customWidth="1"/>
    <col min="2" max="2" width="18.19921875" style="39" customWidth="1"/>
    <col min="3" max="3" width="23.796875" style="39" customWidth="1"/>
    <col min="4" max="7" width="14.796875" style="39" customWidth="1"/>
    <col min="8" max="8" width="18.5" style="39" customWidth="1"/>
    <col min="9" max="11" width="14.796875" style="39" customWidth="1"/>
    <col min="12" max="26" width="9" style="39" customWidth="1"/>
    <col min="27" max="27" width="18.69921875" style="2" customWidth="1"/>
    <col min="28" max="28" width="3" style="60" customWidth="1"/>
    <col min="29" max="16384" width="9.296875" style="60"/>
  </cols>
  <sheetData>
    <row r="1" spans="1:68" s="39" customFormat="1" ht="3.75" customHeight="1" x14ac:dyDescent="0.25">
      <c r="BP1" s="40"/>
    </row>
    <row r="2" spans="1:68" s="42" customFormat="1" ht="3.75" customHeight="1" thickBot="1" x14ac:dyDescent="0.4">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14437.37*HDD + 100909.88*CDD + 1072491.81*Days per month + -1760071.44*SpringFall + </v>
      </c>
    </row>
    <row r="3" spans="1:68" s="39" customFormat="1" ht="22.5" customHeight="1" thickTop="1" thickBot="1" x14ac:dyDescent="0.3">
      <c r="A3" s="508" t="s">
        <v>7</v>
      </c>
      <c r="B3" s="509"/>
      <c r="C3" s="515" t="str">
        <f>TEXT(B5,"00.00%") &amp; " of the change in " &amp; TEXT(Input!$A$4,"###") &amp; " can be explained by the change in the " &amp; COUNT(B12:B977) &amp; " independent variables"</f>
        <v>85.97% of the change in Wholesale can be explained by the change in the 4 independent variables</v>
      </c>
      <c r="D3" s="516"/>
      <c r="E3" s="516"/>
      <c r="F3" s="516"/>
      <c r="G3" s="519" t="s">
        <v>36</v>
      </c>
      <c r="H3" s="520"/>
      <c r="I3" s="520"/>
      <c r="J3" s="521"/>
      <c r="K3" s="44"/>
      <c r="L3" s="503" t="str">
        <f>"Actual versus Predicted " &amp; TEXT(Input!A4,"###")</f>
        <v>Actual versus Predicted Wholesale</v>
      </c>
      <c r="M3" s="44"/>
      <c r="N3" s="44"/>
      <c r="O3" s="44"/>
      <c r="P3" s="44"/>
      <c r="Q3" s="44"/>
      <c r="R3" s="44"/>
      <c r="S3" s="44"/>
      <c r="T3" s="44"/>
      <c r="U3" s="44"/>
      <c r="V3" s="44"/>
      <c r="W3" s="44"/>
      <c r="X3" s="44"/>
      <c r="Y3" s="44"/>
      <c r="Z3" s="44"/>
      <c r="AA3" s="45"/>
      <c r="AE3" s="38" t="s">
        <v>11</v>
      </c>
      <c r="AF3" s="38"/>
      <c r="AG3" s="38">
        <v>1.6512600183486938</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3">
      <c r="A4" s="46" t="s">
        <v>132</v>
      </c>
      <c r="B4" s="47">
        <v>0.86439669132232666</v>
      </c>
      <c r="C4" s="517"/>
      <c r="D4" s="518"/>
      <c r="E4" s="518"/>
      <c r="F4" s="518"/>
      <c r="G4" s="48">
        <v>1.217074990272522</v>
      </c>
      <c r="H4" s="49" t="s">
        <v>20</v>
      </c>
      <c r="I4" s="50"/>
      <c r="J4" s="51"/>
      <c r="K4" s="52"/>
      <c r="L4" s="504"/>
      <c r="M4" s="52"/>
      <c r="N4" s="52"/>
      <c r="O4" s="52"/>
      <c r="P4" s="52"/>
      <c r="Q4" s="53"/>
      <c r="R4" s="53"/>
      <c r="S4" s="53"/>
      <c r="T4" s="53"/>
      <c r="U4" s="53"/>
      <c r="V4" s="53"/>
      <c r="W4" s="53"/>
      <c r="X4" s="53"/>
      <c r="Y4" s="53"/>
      <c r="Z4" s="53"/>
      <c r="AA4" s="54"/>
      <c r="AE4" s="38" t="s">
        <v>9</v>
      </c>
      <c r="AF4" s="38"/>
      <c r="AG4" s="38">
        <v>1.7536100149154663</v>
      </c>
    </row>
    <row r="5" spans="1:68" s="39" customFormat="1" ht="15.75" customHeight="1" x14ac:dyDescent="0.3">
      <c r="A5" s="46" t="s">
        <v>21</v>
      </c>
      <c r="B5" s="55">
        <v>0.85968011617660522</v>
      </c>
      <c r="C5" s="517"/>
      <c r="D5" s="518"/>
      <c r="E5" s="518"/>
      <c r="F5" s="518"/>
      <c r="G5" s="56" t="str">
        <f>TEXT(AG3,"0.00")&amp;" - " &amp;TEXT(AG4,"0.00")</f>
        <v>1.65 - 1.75</v>
      </c>
      <c r="H5" s="57" t="s">
        <v>137</v>
      </c>
      <c r="I5" s="58"/>
      <c r="J5" s="59"/>
      <c r="L5" s="504"/>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3">
      <c r="A6" s="46" t="s">
        <v>0</v>
      </c>
      <c r="B6" s="55">
        <v>1578785.125</v>
      </c>
      <c r="C6" s="63" t="s">
        <v>34</v>
      </c>
      <c r="D6" s="52"/>
      <c r="E6" s="52"/>
      <c r="F6" s="52"/>
      <c r="G6" s="64">
        <v>2.4479999542236328</v>
      </c>
      <c r="H6" s="65" t="s">
        <v>43</v>
      </c>
      <c r="I6" s="58"/>
      <c r="J6" s="59"/>
      <c r="L6" s="504"/>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5">
      <c r="A7" s="67" t="s">
        <v>1</v>
      </c>
      <c r="B7" s="68">
        <v>183.26551818847656</v>
      </c>
      <c r="C7" s="63" t="str">
        <f>IF(B7&gt;M7,"Therefore analysis IS Significant","Therefore analysis IS NOT Significant")</f>
        <v>Therefore analysis IS Significant</v>
      </c>
      <c r="D7" s="52"/>
      <c r="E7" s="52"/>
      <c r="F7" s="52"/>
      <c r="G7" s="69">
        <v>0.86119997501373291</v>
      </c>
      <c r="H7" s="70" t="s">
        <v>44</v>
      </c>
      <c r="I7" s="71"/>
      <c r="J7" s="72"/>
      <c r="L7" s="505"/>
      <c r="M7" s="60"/>
      <c r="N7" s="60"/>
      <c r="O7" s="60"/>
      <c r="P7" s="60"/>
      <c r="Q7" s="60"/>
      <c r="R7" s="60"/>
      <c r="S7" s="60"/>
      <c r="T7" s="60"/>
      <c r="U7" s="60"/>
      <c r="V7" s="60"/>
      <c r="W7" s="60"/>
      <c r="X7" s="61"/>
      <c r="Y7" s="61"/>
      <c r="Z7" s="61"/>
      <c r="AA7" s="133">
        <v>24</v>
      </c>
      <c r="AE7" s="38" t="s">
        <v>12</v>
      </c>
      <c r="AF7" s="38"/>
      <c r="AG7" s="38"/>
    </row>
    <row r="8" spans="1:68" s="39" customFormat="1" ht="9.75" customHeight="1" thickBot="1" x14ac:dyDescent="0.3">
      <c r="A8" s="73"/>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3">
      <c r="A9" s="514" t="s">
        <v>2</v>
      </c>
      <c r="B9" s="496"/>
      <c r="C9" s="496"/>
      <c r="D9" s="496"/>
      <c r="E9" s="513"/>
      <c r="F9" s="512" t="s">
        <v>3</v>
      </c>
      <c r="G9" s="496"/>
      <c r="H9" s="513"/>
      <c r="I9" s="142" t="s">
        <v>16</v>
      </c>
      <c r="J9" s="512" t="s">
        <v>24</v>
      </c>
      <c r="K9" s="513"/>
      <c r="L9" s="74"/>
      <c r="M9" s="75"/>
      <c r="N9" s="496" t="s">
        <v>33</v>
      </c>
      <c r="O9" s="496"/>
      <c r="P9" s="496"/>
      <c r="Q9" s="496"/>
      <c r="R9" s="496"/>
      <c r="S9" s="496"/>
      <c r="T9" s="496"/>
      <c r="U9" s="496"/>
      <c r="V9" s="496"/>
      <c r="W9" s="496"/>
      <c r="X9" s="496"/>
      <c r="Y9" s="75"/>
      <c r="Z9" s="143" t="s">
        <v>35</v>
      </c>
      <c r="AA9" s="76"/>
    </row>
    <row r="10" spans="1:68" s="39" customFormat="1" ht="29.25" customHeight="1" x14ac:dyDescent="0.25">
      <c r="A10" s="77"/>
      <c r="B10" s="78" t="s">
        <v>4</v>
      </c>
      <c r="C10" s="79" t="s">
        <v>0</v>
      </c>
      <c r="D10" s="79" t="s">
        <v>22</v>
      </c>
      <c r="E10" s="80" t="s">
        <v>23</v>
      </c>
      <c r="F10" s="81" t="s">
        <v>14</v>
      </c>
      <c r="G10" s="82" t="s">
        <v>37</v>
      </c>
      <c r="H10" s="83" t="s">
        <v>5</v>
      </c>
      <c r="I10" s="84" t="str">
        <f>"Dl=" &amp; TEXT(AG5,"0.00") &amp; " Du=" &amp;TEXT(AG6,"0.00")</f>
        <v>Dl=1.69 Du=1.72</v>
      </c>
      <c r="J10" s="510" t="s">
        <v>18</v>
      </c>
      <c r="K10" s="506" t="s">
        <v>47</v>
      </c>
      <c r="L10" s="499" t="s">
        <v>9</v>
      </c>
      <c r="M10" s="500"/>
      <c r="N10" s="501"/>
      <c r="O10" s="502" t="s">
        <v>8</v>
      </c>
      <c r="P10" s="500"/>
      <c r="Q10" s="501"/>
      <c r="R10" s="502" t="s">
        <v>158</v>
      </c>
      <c r="S10" s="500"/>
      <c r="T10" s="500"/>
      <c r="U10" s="501"/>
      <c r="V10" s="502" t="s">
        <v>32</v>
      </c>
      <c r="W10" s="500"/>
      <c r="X10" s="500"/>
      <c r="Y10" s="500"/>
      <c r="Z10" s="501"/>
      <c r="AA10" s="497" t="s">
        <v>19</v>
      </c>
    </row>
    <row r="11" spans="1:68" s="39" customFormat="1" ht="15" customHeight="1" x14ac:dyDescent="0.3">
      <c r="A11" s="85" t="s">
        <v>6</v>
      </c>
      <c r="B11" s="86">
        <v>4720724.7036694996</v>
      </c>
      <c r="C11" s="87">
        <v>5659535.9936918002</v>
      </c>
      <c r="D11" s="87">
        <v>0.83411869999999999</v>
      </c>
      <c r="E11" s="88">
        <v>0.40594340000000001</v>
      </c>
      <c r="F11" s="89"/>
      <c r="G11" s="90"/>
      <c r="H11" s="91"/>
      <c r="I11" s="92" t="s">
        <v>17</v>
      </c>
      <c r="J11" s="511"/>
      <c r="K11" s="507"/>
      <c r="L11" s="93" t="s">
        <v>27</v>
      </c>
      <c r="M11" s="94" t="s">
        <v>10</v>
      </c>
      <c r="N11" s="95" t="s">
        <v>28</v>
      </c>
      <c r="O11" s="96" t="s">
        <v>27</v>
      </c>
      <c r="P11" s="94" t="s">
        <v>10</v>
      </c>
      <c r="Q11" s="97" t="s">
        <v>28</v>
      </c>
      <c r="R11" s="96" t="s">
        <v>29</v>
      </c>
      <c r="S11" s="94" t="s">
        <v>30</v>
      </c>
      <c r="T11" s="94" t="s">
        <v>10</v>
      </c>
      <c r="U11" s="97" t="s">
        <v>28</v>
      </c>
      <c r="V11" s="96" t="s">
        <v>29</v>
      </c>
      <c r="W11" s="94" t="s">
        <v>30</v>
      </c>
      <c r="X11" s="94" t="s">
        <v>31</v>
      </c>
      <c r="Y11" s="94" t="s">
        <v>10</v>
      </c>
      <c r="Z11" s="97" t="s">
        <v>28</v>
      </c>
      <c r="AA11" s="498"/>
    </row>
    <row r="12" spans="1:68" x14ac:dyDescent="0.3">
      <c r="A12" s="98" t="s">
        <v>48</v>
      </c>
      <c r="B12" s="99">
        <v>14437.3717803</v>
      </c>
      <c r="C12" s="100">
        <v>926.27648780000004</v>
      </c>
      <c r="D12" s="100">
        <v>15.5864604</v>
      </c>
      <c r="E12" s="101">
        <v>0</v>
      </c>
      <c r="F12" s="102">
        <v>1.47834E-2</v>
      </c>
      <c r="G12" s="103">
        <v>2016.8791073</v>
      </c>
      <c r="H12" s="104">
        <v>42981136</v>
      </c>
      <c r="I12" s="105">
        <v>0.34567700000000001</v>
      </c>
      <c r="J12" s="106">
        <v>0.61205830000000006</v>
      </c>
      <c r="K12" s="107"/>
      <c r="L12" s="108">
        <v>-0.26296999999999998</v>
      </c>
      <c r="M12" s="109">
        <v>318.54266999999999</v>
      </c>
      <c r="N12" s="110">
        <v>1.2999999999999999E-3</v>
      </c>
      <c r="O12" s="111">
        <v>0</v>
      </c>
      <c r="P12" s="109">
        <v>0</v>
      </c>
      <c r="Q12" s="112">
        <v>0</v>
      </c>
      <c r="R12" s="113">
        <v>0.12088</v>
      </c>
      <c r="S12" s="114">
        <v>-3.1199999999999999E-3</v>
      </c>
      <c r="T12" s="109">
        <v>310.48381999999998</v>
      </c>
      <c r="U12" s="110">
        <v>1.47E-3</v>
      </c>
      <c r="V12" s="111">
        <v>-2.7732000000000001</v>
      </c>
      <c r="W12" s="114">
        <v>5.5E-2</v>
      </c>
      <c r="X12" s="114">
        <v>-3.2000000000000003E-4</v>
      </c>
      <c r="Y12" s="109">
        <v>341.91924999999998</v>
      </c>
      <c r="Z12" s="112">
        <v>3.1199999999999999E-3</v>
      </c>
      <c r="AA12" s="8" t="s">
        <v>9</v>
      </c>
    </row>
    <row r="13" spans="1:68" x14ac:dyDescent="0.3">
      <c r="A13" s="115" t="s">
        <v>49</v>
      </c>
      <c r="B13" s="116">
        <v>100909.8848656</v>
      </c>
      <c r="C13" s="117">
        <v>6064.8871867999997</v>
      </c>
      <c r="D13" s="117">
        <v>16.638377899999998</v>
      </c>
      <c r="E13" s="118">
        <v>0</v>
      </c>
      <c r="F13" s="119">
        <v>0.30775570000000002</v>
      </c>
      <c r="G13" s="120">
        <v>54330.762484799998</v>
      </c>
      <c r="H13" s="121">
        <v>42117664</v>
      </c>
      <c r="I13" s="122">
        <v>0.74009590000000003</v>
      </c>
      <c r="J13" s="123">
        <v>0.68457120000000005</v>
      </c>
      <c r="K13" s="124"/>
      <c r="L13" s="125">
        <v>4.4400000000000002E-2</v>
      </c>
      <c r="M13" s="126">
        <v>24.386690000000002</v>
      </c>
      <c r="N13" s="127">
        <v>1.2899999999999999E-3</v>
      </c>
      <c r="O13" s="128">
        <v>0</v>
      </c>
      <c r="P13" s="126">
        <v>0</v>
      </c>
      <c r="Q13" s="129">
        <v>0</v>
      </c>
      <c r="R13" s="130">
        <v>-8.7090000000000001E-2</v>
      </c>
      <c r="S13" s="131">
        <v>1.07E-3</v>
      </c>
      <c r="T13" s="126">
        <v>27.147310000000001</v>
      </c>
      <c r="U13" s="127">
        <v>2E-3</v>
      </c>
      <c r="V13" s="128">
        <v>-0.11846</v>
      </c>
      <c r="W13" s="131">
        <v>1.6999999999999999E-3</v>
      </c>
      <c r="X13" s="131">
        <v>0</v>
      </c>
      <c r="Y13" s="126">
        <v>27.488040000000002</v>
      </c>
      <c r="Z13" s="129">
        <v>2.0100000000000001E-3</v>
      </c>
      <c r="AA13" s="8" t="s">
        <v>9</v>
      </c>
    </row>
    <row r="14" spans="1:68" x14ac:dyDescent="0.3">
      <c r="A14" s="115" t="s">
        <v>163</v>
      </c>
      <c r="B14" s="116">
        <v>1072491.8053830001</v>
      </c>
      <c r="C14" s="117">
        <v>187141.52349600001</v>
      </c>
      <c r="D14" s="117">
        <v>5.7309131000000004</v>
      </c>
      <c r="E14" s="118">
        <v>9.9999999999999995E-8</v>
      </c>
      <c r="F14" s="119">
        <v>5.5923500000000001E-2</v>
      </c>
      <c r="G14" s="120">
        <v>1234316.6817743001</v>
      </c>
      <c r="H14" s="121">
        <v>6016322</v>
      </c>
      <c r="I14" s="122">
        <v>2.9806813999999999</v>
      </c>
      <c r="J14" s="123">
        <v>5.90216E-2</v>
      </c>
      <c r="K14" s="124"/>
      <c r="L14" s="125">
        <v>6.8999999999999997E-4</v>
      </c>
      <c r="M14" s="126">
        <v>30.399170000000002</v>
      </c>
      <c r="N14" s="127">
        <v>8.8999999999999995E-4</v>
      </c>
      <c r="O14" s="128">
        <v>1.0000199999999999</v>
      </c>
      <c r="P14" s="126">
        <v>30.386220000000002</v>
      </c>
      <c r="Q14" s="129">
        <v>9.3000000000000005E-4</v>
      </c>
      <c r="R14" s="130">
        <v>-1.2E-4</v>
      </c>
      <c r="S14" s="131">
        <v>1.0000000000000001E-5</v>
      </c>
      <c r="T14" s="126">
        <v>30.4162</v>
      </c>
      <c r="U14" s="127">
        <v>9.6000000000000002E-4</v>
      </c>
      <c r="V14" s="128">
        <v>1.039E-2</v>
      </c>
      <c r="W14" s="131">
        <v>-2.0000000000000001E-4</v>
      </c>
      <c r="X14" s="131">
        <v>0</v>
      </c>
      <c r="Y14" s="126">
        <v>30.302040000000002</v>
      </c>
      <c r="Z14" s="129">
        <v>3.1199999999999999E-3</v>
      </c>
      <c r="AA14" s="8" t="s">
        <v>9</v>
      </c>
    </row>
    <row r="15" spans="1:68" x14ac:dyDescent="0.3">
      <c r="A15" s="115" t="s">
        <v>164</v>
      </c>
      <c r="B15" s="116">
        <v>-1760071.4367635001</v>
      </c>
      <c r="C15" s="117">
        <v>372262.28909570002</v>
      </c>
      <c r="D15" s="117">
        <v>-4.7280411999999998</v>
      </c>
      <c r="E15" s="118">
        <v>6.4999999999999996E-6</v>
      </c>
      <c r="F15" s="119">
        <v>0.43554549999999997</v>
      </c>
      <c r="G15" s="120">
        <v>-5539786</v>
      </c>
      <c r="H15" s="121">
        <v>46360872</v>
      </c>
      <c r="I15" s="122">
        <v>1.3442670000000001</v>
      </c>
      <c r="J15" s="123">
        <v>0.38494250000000002</v>
      </c>
      <c r="K15" s="124"/>
      <c r="L15" s="125">
        <v>2.1000000000000001E-4</v>
      </c>
      <c r="M15" s="126">
        <v>0.48719000000000001</v>
      </c>
      <c r="N15" s="127">
        <v>2.1000000000000001E-4</v>
      </c>
      <c r="O15" s="128">
        <v>0</v>
      </c>
      <c r="P15" s="126">
        <v>0</v>
      </c>
      <c r="Q15" s="129">
        <v>0</v>
      </c>
      <c r="R15" s="130">
        <v>3.2000000000000003E-4</v>
      </c>
      <c r="S15" s="131">
        <v>0</v>
      </c>
      <c r="T15" s="126">
        <v>0.48493999999999998</v>
      </c>
      <c r="U15" s="127">
        <v>2.1000000000000001E-4</v>
      </c>
      <c r="V15" s="128">
        <v>3.4099999999999998E-3</v>
      </c>
      <c r="W15" s="131">
        <v>-6.0000000000000002E-5</v>
      </c>
      <c r="X15" s="131">
        <v>0</v>
      </c>
      <c r="Y15" s="126">
        <v>0.45136999999999999</v>
      </c>
      <c r="Z15" s="129">
        <v>6.8999999999999997E-4</v>
      </c>
      <c r="AA15" s="8" t="s">
        <v>9</v>
      </c>
    </row>
    <row r="16" spans="1:68" x14ac:dyDescent="0.3">
      <c r="A16" s="115"/>
      <c r="B16" s="116"/>
      <c r="C16" s="117"/>
      <c r="D16" s="117"/>
      <c r="E16" s="118"/>
      <c r="F16" s="119"/>
      <c r="G16" s="120"/>
      <c r="H16" s="121"/>
      <c r="I16" s="122"/>
      <c r="J16" s="123"/>
      <c r="K16" s="124"/>
      <c r="L16" s="125"/>
      <c r="M16" s="126"/>
      <c r="N16" s="127"/>
      <c r="O16" s="128"/>
      <c r="P16" s="126"/>
      <c r="Q16" s="129"/>
      <c r="R16" s="130"/>
      <c r="S16" s="131"/>
      <c r="T16" s="126"/>
      <c r="U16" s="127"/>
      <c r="V16" s="128"/>
      <c r="W16" s="131"/>
      <c r="X16" s="131"/>
      <c r="Y16" s="126"/>
      <c r="Z16" s="129"/>
      <c r="AA16" s="8"/>
    </row>
    <row r="17" spans="1:27" x14ac:dyDescent="0.3">
      <c r="A17" s="115"/>
      <c r="B17" s="132"/>
      <c r="C17" s="117"/>
      <c r="D17" s="117"/>
      <c r="E17" s="118"/>
      <c r="F17" s="119"/>
      <c r="G17" s="120"/>
      <c r="H17" s="121"/>
      <c r="I17" s="122"/>
      <c r="J17" s="123"/>
      <c r="K17" s="124"/>
      <c r="L17" s="125"/>
      <c r="M17" s="126"/>
      <c r="N17" s="127"/>
      <c r="O17" s="128"/>
      <c r="P17" s="126"/>
      <c r="Q17" s="129"/>
      <c r="R17" s="130"/>
      <c r="S17" s="131"/>
      <c r="T17" s="126"/>
      <c r="U17" s="127"/>
      <c r="V17" s="128"/>
      <c r="W17" s="131"/>
      <c r="X17" s="131"/>
      <c r="Y17" s="126"/>
      <c r="Z17" s="129"/>
      <c r="AA17" s="8"/>
    </row>
    <row r="18" spans="1:27" x14ac:dyDescent="0.3">
      <c r="A18" s="115"/>
      <c r="B18" s="132"/>
      <c r="C18" s="117"/>
      <c r="D18" s="117"/>
      <c r="E18" s="118"/>
      <c r="F18" s="119"/>
      <c r="G18" s="120"/>
      <c r="H18" s="121"/>
      <c r="I18" s="122"/>
      <c r="J18" s="123"/>
      <c r="K18" s="124"/>
      <c r="L18" s="125"/>
      <c r="M18" s="126"/>
      <c r="N18" s="127"/>
      <c r="O18" s="128"/>
      <c r="P18" s="126"/>
      <c r="Q18" s="129"/>
      <c r="R18" s="130"/>
      <c r="S18" s="131"/>
      <c r="T18" s="126"/>
      <c r="U18" s="127"/>
      <c r="V18" s="128"/>
      <c r="W18" s="131"/>
      <c r="X18" s="131"/>
      <c r="Y18" s="126"/>
      <c r="Z18" s="129"/>
      <c r="AA18" s="8"/>
    </row>
    <row r="19" spans="1:27" x14ac:dyDescent="0.3">
      <c r="A19" s="115"/>
      <c r="B19" s="132"/>
      <c r="C19" s="117"/>
      <c r="D19" s="117"/>
      <c r="E19" s="118"/>
      <c r="F19" s="119"/>
      <c r="G19" s="120"/>
      <c r="H19" s="121"/>
      <c r="I19" s="122"/>
      <c r="J19" s="123"/>
      <c r="K19" s="124"/>
      <c r="L19" s="125"/>
      <c r="M19" s="126"/>
      <c r="N19" s="127"/>
      <c r="O19" s="128"/>
      <c r="P19" s="126"/>
      <c r="Q19" s="129"/>
      <c r="R19" s="130"/>
      <c r="S19" s="131"/>
      <c r="T19" s="126"/>
      <c r="U19" s="127"/>
      <c r="V19" s="128"/>
      <c r="W19" s="131"/>
      <c r="X19" s="131"/>
      <c r="Y19" s="126"/>
      <c r="Z19" s="129"/>
      <c r="AA19" s="9"/>
    </row>
    <row r="20" spans="1:27" x14ac:dyDescent="0.3">
      <c r="A20" s="115"/>
      <c r="B20" s="132"/>
      <c r="C20" s="117"/>
      <c r="D20" s="117"/>
      <c r="E20" s="118"/>
      <c r="F20" s="119"/>
      <c r="G20" s="120"/>
      <c r="H20" s="121"/>
      <c r="I20" s="122"/>
      <c r="J20" s="123"/>
      <c r="K20" s="124"/>
      <c r="L20" s="125"/>
      <c r="M20" s="126"/>
      <c r="N20" s="127"/>
      <c r="O20" s="128"/>
      <c r="P20" s="126"/>
      <c r="Q20" s="129"/>
      <c r="R20" s="130"/>
      <c r="S20" s="131"/>
      <c r="T20" s="126"/>
      <c r="U20" s="127"/>
      <c r="V20" s="128"/>
      <c r="W20" s="131"/>
      <c r="X20" s="131"/>
      <c r="Y20" s="126"/>
      <c r="Z20" s="129"/>
      <c r="AA20" s="9"/>
    </row>
    <row r="21" spans="1:27" x14ac:dyDescent="0.3">
      <c r="A21" s="115"/>
      <c r="B21" s="132"/>
      <c r="C21" s="117"/>
      <c r="D21" s="117"/>
      <c r="E21" s="118"/>
      <c r="F21" s="119"/>
      <c r="G21" s="120"/>
      <c r="H21" s="121"/>
      <c r="I21" s="122"/>
      <c r="J21" s="123"/>
      <c r="K21" s="124"/>
      <c r="L21" s="125"/>
      <c r="M21" s="126"/>
      <c r="N21" s="127"/>
      <c r="O21" s="128"/>
      <c r="P21" s="126"/>
      <c r="Q21" s="129"/>
      <c r="R21" s="130"/>
      <c r="S21" s="131"/>
      <c r="T21" s="126"/>
      <c r="U21" s="127"/>
      <c r="V21" s="128"/>
      <c r="W21" s="131"/>
      <c r="X21" s="131"/>
      <c r="Y21" s="126"/>
      <c r="Z21" s="129"/>
      <c r="AA21" s="9"/>
    </row>
    <row r="22" spans="1:27" x14ac:dyDescent="0.3">
      <c r="A22" s="115"/>
      <c r="B22" s="132"/>
      <c r="C22" s="117"/>
      <c r="D22" s="117"/>
      <c r="E22" s="118"/>
      <c r="F22" s="119"/>
      <c r="G22" s="120"/>
      <c r="H22" s="121"/>
      <c r="I22" s="122"/>
      <c r="J22" s="123"/>
      <c r="K22" s="124"/>
      <c r="L22" s="125"/>
      <c r="M22" s="126"/>
      <c r="N22" s="127"/>
      <c r="O22" s="128"/>
      <c r="P22" s="126"/>
      <c r="Q22" s="129"/>
      <c r="R22" s="130"/>
      <c r="S22" s="131"/>
      <c r="T22" s="126"/>
      <c r="U22" s="127"/>
      <c r="V22" s="128"/>
      <c r="W22" s="131"/>
      <c r="X22" s="131"/>
      <c r="Y22" s="126"/>
      <c r="Z22" s="129"/>
      <c r="AA22" s="9"/>
    </row>
    <row r="23" spans="1:27" x14ac:dyDescent="0.3">
      <c r="A23" s="115"/>
      <c r="B23" s="132"/>
      <c r="C23" s="117"/>
      <c r="D23" s="117"/>
      <c r="E23" s="118"/>
      <c r="F23" s="119"/>
      <c r="G23" s="120"/>
      <c r="H23" s="121"/>
      <c r="I23" s="122"/>
      <c r="J23" s="123"/>
      <c r="K23" s="124"/>
      <c r="L23" s="125"/>
      <c r="M23" s="126"/>
      <c r="N23" s="127"/>
      <c r="O23" s="128"/>
      <c r="P23" s="126"/>
      <c r="Q23" s="129"/>
      <c r="R23" s="130"/>
      <c r="S23" s="131"/>
      <c r="T23" s="126"/>
      <c r="U23" s="127"/>
      <c r="V23" s="128"/>
      <c r="W23" s="131"/>
      <c r="X23" s="131"/>
      <c r="Y23" s="126"/>
      <c r="Z23" s="129"/>
      <c r="AA23" s="9"/>
    </row>
    <row r="24" spans="1:27" x14ac:dyDescent="0.3">
      <c r="A24" s="115"/>
      <c r="B24" s="132"/>
      <c r="C24" s="117"/>
      <c r="D24" s="117"/>
      <c r="E24" s="118"/>
      <c r="F24" s="119"/>
      <c r="G24" s="120"/>
      <c r="H24" s="121"/>
      <c r="I24" s="122"/>
      <c r="J24" s="123"/>
      <c r="K24" s="124"/>
      <c r="L24" s="125"/>
      <c r="M24" s="126"/>
      <c r="N24" s="127"/>
      <c r="O24" s="128"/>
      <c r="P24" s="126"/>
      <c r="Q24" s="129"/>
      <c r="R24" s="130"/>
      <c r="S24" s="131"/>
      <c r="T24" s="126"/>
      <c r="U24" s="127"/>
      <c r="V24" s="128"/>
      <c r="W24" s="131"/>
      <c r="X24" s="131"/>
      <c r="Y24" s="126"/>
      <c r="Z24" s="129"/>
      <c r="AA24" s="9"/>
    </row>
    <row r="25" spans="1:27" x14ac:dyDescent="0.3">
      <c r="A25" s="115"/>
      <c r="B25" s="132"/>
      <c r="C25" s="117"/>
      <c r="D25" s="117"/>
      <c r="E25" s="118"/>
      <c r="F25" s="119"/>
      <c r="G25" s="120"/>
      <c r="H25" s="121"/>
      <c r="I25" s="122"/>
      <c r="J25" s="123"/>
      <c r="K25" s="124"/>
      <c r="L25" s="125"/>
      <c r="M25" s="126"/>
      <c r="N25" s="127"/>
      <c r="O25" s="128"/>
      <c r="P25" s="126"/>
      <c r="Q25" s="129"/>
      <c r="R25" s="130"/>
      <c r="S25" s="131"/>
      <c r="T25" s="126"/>
      <c r="U25" s="127"/>
      <c r="V25" s="128"/>
      <c r="W25" s="131"/>
      <c r="X25" s="131"/>
      <c r="Y25" s="126"/>
      <c r="Z25" s="129"/>
      <c r="AA25" s="9"/>
    </row>
    <row r="26" spans="1:27" x14ac:dyDescent="0.3">
      <c r="A26" s="115"/>
      <c r="B26" s="132"/>
      <c r="C26" s="117"/>
      <c r="D26" s="117"/>
      <c r="E26" s="118"/>
      <c r="F26" s="119"/>
      <c r="G26" s="120"/>
      <c r="H26" s="121"/>
      <c r="I26" s="122"/>
      <c r="J26" s="123"/>
      <c r="K26" s="124"/>
      <c r="L26" s="125"/>
      <c r="M26" s="126"/>
      <c r="N26" s="127"/>
      <c r="O26" s="128"/>
      <c r="P26" s="126"/>
      <c r="Q26" s="129"/>
      <c r="R26" s="130"/>
      <c r="S26" s="131"/>
      <c r="T26" s="126"/>
      <c r="U26" s="127"/>
      <c r="V26" s="128"/>
      <c r="W26" s="131"/>
      <c r="X26" s="131"/>
      <c r="Y26" s="126"/>
      <c r="Z26" s="129"/>
      <c r="AA26" s="9"/>
    </row>
    <row r="27" spans="1:27" x14ac:dyDescent="0.3">
      <c r="A27" s="115"/>
      <c r="B27" s="132"/>
      <c r="C27" s="117"/>
      <c r="D27" s="117"/>
      <c r="E27" s="118"/>
      <c r="F27" s="119"/>
      <c r="G27" s="120"/>
      <c r="H27" s="121"/>
      <c r="I27" s="122"/>
      <c r="J27" s="123"/>
      <c r="K27" s="124"/>
      <c r="L27" s="125"/>
      <c r="M27" s="126"/>
      <c r="N27" s="127"/>
      <c r="O27" s="128"/>
      <c r="P27" s="126"/>
      <c r="Q27" s="129"/>
      <c r="R27" s="130"/>
      <c r="S27" s="131"/>
      <c r="T27" s="126"/>
      <c r="U27" s="127"/>
      <c r="V27" s="128"/>
      <c r="W27" s="131"/>
      <c r="X27" s="131"/>
      <c r="Y27" s="126"/>
      <c r="Z27" s="129"/>
      <c r="AA27" s="9"/>
    </row>
    <row r="28" spans="1:27" x14ac:dyDescent="0.3">
      <c r="A28" s="115"/>
      <c r="B28" s="132"/>
      <c r="C28" s="117"/>
      <c r="D28" s="117"/>
      <c r="E28" s="118"/>
      <c r="F28" s="119"/>
      <c r="G28" s="120"/>
      <c r="H28" s="121"/>
      <c r="I28" s="122"/>
      <c r="J28" s="123"/>
      <c r="K28" s="124"/>
      <c r="L28" s="125"/>
      <c r="M28" s="126"/>
      <c r="N28" s="127"/>
      <c r="O28" s="128"/>
      <c r="P28" s="126"/>
      <c r="Q28" s="129"/>
      <c r="R28" s="130"/>
      <c r="S28" s="131"/>
      <c r="T28" s="126"/>
      <c r="U28" s="127"/>
      <c r="V28" s="128"/>
      <c r="W28" s="131"/>
      <c r="X28" s="131"/>
      <c r="Y28" s="126"/>
      <c r="Z28" s="129"/>
      <c r="AA28" s="9"/>
    </row>
    <row r="29" spans="1:27" x14ac:dyDescent="0.3">
      <c r="A29" s="115"/>
      <c r="B29" s="132"/>
      <c r="C29" s="117"/>
      <c r="D29" s="117"/>
      <c r="E29" s="118"/>
      <c r="F29" s="119"/>
      <c r="G29" s="120"/>
      <c r="H29" s="121"/>
      <c r="I29" s="122"/>
      <c r="J29" s="123"/>
      <c r="K29" s="124"/>
      <c r="L29" s="125"/>
      <c r="M29" s="126"/>
      <c r="N29" s="127"/>
      <c r="O29" s="128"/>
      <c r="P29" s="126"/>
      <c r="Q29" s="129"/>
      <c r="R29" s="130"/>
      <c r="S29" s="131"/>
      <c r="T29" s="126"/>
      <c r="U29" s="127"/>
      <c r="V29" s="128"/>
      <c r="W29" s="131"/>
      <c r="X29" s="131"/>
      <c r="Y29" s="126"/>
      <c r="Z29" s="129"/>
      <c r="AA29" s="9"/>
    </row>
    <row r="30" spans="1:27" x14ac:dyDescent="0.3">
      <c r="A30" s="115"/>
      <c r="B30" s="132"/>
      <c r="C30" s="117"/>
      <c r="D30" s="117"/>
      <c r="E30" s="118"/>
      <c r="F30" s="119"/>
      <c r="G30" s="120"/>
      <c r="H30" s="121"/>
      <c r="I30" s="122"/>
      <c r="J30" s="123"/>
      <c r="K30" s="124"/>
      <c r="L30" s="125"/>
      <c r="M30" s="126"/>
      <c r="N30" s="127"/>
      <c r="O30" s="128"/>
      <c r="P30" s="126"/>
      <c r="Q30" s="129"/>
      <c r="R30" s="130"/>
      <c r="S30" s="131"/>
      <c r="T30" s="126"/>
      <c r="U30" s="127"/>
      <c r="V30" s="128"/>
      <c r="W30" s="131"/>
      <c r="X30" s="131"/>
      <c r="Y30" s="126"/>
      <c r="Z30" s="129"/>
      <c r="AA30" s="9"/>
    </row>
    <row r="31" spans="1:27" x14ac:dyDescent="0.3">
      <c r="A31" s="115"/>
      <c r="B31" s="132"/>
      <c r="C31" s="117"/>
      <c r="D31" s="117"/>
      <c r="E31" s="118"/>
      <c r="F31" s="119"/>
      <c r="G31" s="120"/>
      <c r="H31" s="121"/>
      <c r="I31" s="122"/>
      <c r="J31" s="123"/>
      <c r="K31" s="124"/>
      <c r="L31" s="125"/>
      <c r="M31" s="126"/>
      <c r="N31" s="127"/>
      <c r="O31" s="128"/>
      <c r="P31" s="126"/>
      <c r="Q31" s="129"/>
      <c r="R31" s="130"/>
      <c r="S31" s="131"/>
      <c r="T31" s="126"/>
      <c r="U31" s="127"/>
      <c r="V31" s="128"/>
      <c r="W31" s="131"/>
      <c r="X31" s="131"/>
      <c r="Y31" s="126"/>
      <c r="Z31" s="129"/>
      <c r="AA31" s="9"/>
    </row>
    <row r="32" spans="1:27" x14ac:dyDescent="0.3">
      <c r="A32" s="115"/>
      <c r="B32" s="132"/>
      <c r="C32" s="117"/>
      <c r="D32" s="117"/>
      <c r="E32" s="118"/>
      <c r="F32" s="119"/>
      <c r="G32" s="120"/>
      <c r="H32" s="121"/>
      <c r="I32" s="122"/>
      <c r="J32" s="123"/>
      <c r="K32" s="124"/>
      <c r="L32" s="125"/>
      <c r="M32" s="126"/>
      <c r="N32" s="127"/>
      <c r="O32" s="128"/>
      <c r="P32" s="126"/>
      <c r="Q32" s="129"/>
      <c r="R32" s="130"/>
      <c r="S32" s="131"/>
      <c r="T32" s="126"/>
      <c r="U32" s="127"/>
      <c r="V32" s="128"/>
      <c r="W32" s="131"/>
      <c r="X32" s="131"/>
      <c r="Y32" s="126"/>
      <c r="Z32" s="129"/>
      <c r="AA32" s="9"/>
    </row>
    <row r="33" spans="1:27" x14ac:dyDescent="0.3">
      <c r="A33" s="115"/>
      <c r="B33" s="132"/>
      <c r="C33" s="117"/>
      <c r="D33" s="117"/>
      <c r="E33" s="118"/>
      <c r="F33" s="119"/>
      <c r="G33" s="120"/>
      <c r="H33" s="121"/>
      <c r="I33" s="122"/>
      <c r="J33" s="123"/>
      <c r="K33" s="124"/>
      <c r="L33" s="125"/>
      <c r="M33" s="126"/>
      <c r="N33" s="127"/>
      <c r="O33" s="128"/>
      <c r="P33" s="126"/>
      <c r="Q33" s="129"/>
      <c r="R33" s="130"/>
      <c r="S33" s="131"/>
      <c r="T33" s="126"/>
      <c r="U33" s="127"/>
      <c r="V33" s="128"/>
      <c r="W33" s="131"/>
      <c r="X33" s="131"/>
      <c r="Y33" s="126"/>
      <c r="Z33" s="129"/>
      <c r="AA33" s="9"/>
    </row>
    <row r="34" spans="1:27" x14ac:dyDescent="0.3">
      <c r="A34" s="115"/>
      <c r="B34" s="132"/>
      <c r="C34" s="117"/>
      <c r="D34" s="117"/>
      <c r="E34" s="118"/>
      <c r="F34" s="119"/>
      <c r="G34" s="120"/>
      <c r="H34" s="121"/>
      <c r="I34" s="122"/>
      <c r="J34" s="123"/>
      <c r="K34" s="124"/>
      <c r="L34" s="125"/>
      <c r="M34" s="126"/>
      <c r="N34" s="127"/>
      <c r="O34" s="128"/>
      <c r="P34" s="126"/>
      <c r="Q34" s="129"/>
      <c r="R34" s="130"/>
      <c r="S34" s="131"/>
      <c r="T34" s="126"/>
      <c r="U34" s="127"/>
      <c r="V34" s="128"/>
      <c r="W34" s="131"/>
      <c r="X34" s="131"/>
      <c r="Y34" s="126"/>
      <c r="Z34" s="129"/>
      <c r="AA34" s="9"/>
    </row>
    <row r="35" spans="1:27" x14ac:dyDescent="0.3">
      <c r="A35" s="115"/>
      <c r="B35" s="132"/>
      <c r="C35" s="117"/>
      <c r="D35" s="117"/>
      <c r="E35" s="118"/>
      <c r="F35" s="119"/>
      <c r="G35" s="120"/>
      <c r="H35" s="121"/>
      <c r="I35" s="122"/>
      <c r="J35" s="123"/>
      <c r="K35" s="124"/>
      <c r="L35" s="125"/>
      <c r="M35" s="126"/>
      <c r="N35" s="127"/>
      <c r="O35" s="128"/>
      <c r="P35" s="126"/>
      <c r="Q35" s="129"/>
      <c r="R35" s="130"/>
      <c r="S35" s="131"/>
      <c r="T35" s="126"/>
      <c r="U35" s="127"/>
      <c r="V35" s="128"/>
      <c r="W35" s="131"/>
      <c r="X35" s="131"/>
      <c r="Y35" s="126"/>
      <c r="Z35" s="129"/>
      <c r="AA35" s="9"/>
    </row>
    <row r="36" spans="1:27" x14ac:dyDescent="0.3">
      <c r="A36" s="115"/>
      <c r="B36" s="132"/>
      <c r="C36" s="117"/>
      <c r="D36" s="117"/>
      <c r="E36" s="118"/>
      <c r="F36" s="119"/>
      <c r="G36" s="120"/>
      <c r="H36" s="121"/>
      <c r="I36" s="122"/>
      <c r="J36" s="123"/>
      <c r="K36" s="124"/>
      <c r="L36" s="125"/>
      <c r="M36" s="126"/>
      <c r="N36" s="127"/>
      <c r="O36" s="128"/>
      <c r="P36" s="126"/>
      <c r="Q36" s="129"/>
      <c r="R36" s="130"/>
      <c r="S36" s="131"/>
      <c r="T36" s="126"/>
      <c r="U36" s="127"/>
      <c r="V36" s="128"/>
      <c r="W36" s="131"/>
      <c r="X36" s="131"/>
      <c r="Y36" s="126"/>
      <c r="Z36" s="129"/>
      <c r="AA36" s="9"/>
    </row>
    <row r="37" spans="1:27" x14ac:dyDescent="0.3">
      <c r="A37" s="115"/>
      <c r="B37" s="132"/>
      <c r="C37" s="117"/>
      <c r="D37" s="117"/>
      <c r="E37" s="118"/>
      <c r="F37" s="119"/>
      <c r="G37" s="120"/>
      <c r="H37" s="121"/>
      <c r="I37" s="122"/>
      <c r="J37" s="123"/>
      <c r="K37" s="124"/>
      <c r="L37" s="125"/>
      <c r="M37" s="126"/>
      <c r="N37" s="127"/>
      <c r="O37" s="128"/>
      <c r="P37" s="126"/>
      <c r="Q37" s="129"/>
      <c r="R37" s="130"/>
      <c r="S37" s="131"/>
      <c r="T37" s="126"/>
      <c r="U37" s="127"/>
      <c r="V37" s="128"/>
      <c r="W37" s="131"/>
      <c r="X37" s="131"/>
      <c r="Y37" s="126"/>
      <c r="Z37" s="129"/>
      <c r="AA37" s="9"/>
    </row>
    <row r="38" spans="1:27" x14ac:dyDescent="0.3">
      <c r="A38" s="115"/>
      <c r="B38" s="132"/>
      <c r="C38" s="117"/>
      <c r="D38" s="117"/>
      <c r="E38" s="118"/>
      <c r="F38" s="119"/>
      <c r="G38" s="120"/>
      <c r="H38" s="121"/>
      <c r="I38" s="122"/>
      <c r="J38" s="123"/>
      <c r="K38" s="124"/>
      <c r="L38" s="125"/>
      <c r="M38" s="126"/>
      <c r="N38" s="127"/>
      <c r="O38" s="128"/>
      <c r="P38" s="126"/>
      <c r="Q38" s="129"/>
      <c r="R38" s="130"/>
      <c r="S38" s="131"/>
      <c r="T38" s="126"/>
      <c r="U38" s="127"/>
      <c r="V38" s="128"/>
      <c r="W38" s="131"/>
      <c r="X38" s="131"/>
      <c r="Y38" s="126"/>
      <c r="Z38" s="129"/>
      <c r="AA38" s="9"/>
    </row>
    <row r="39" spans="1:27" x14ac:dyDescent="0.3">
      <c r="A39" s="115"/>
      <c r="B39" s="132"/>
      <c r="C39" s="117"/>
      <c r="D39" s="117"/>
      <c r="E39" s="118"/>
      <c r="F39" s="119"/>
      <c r="G39" s="120"/>
      <c r="H39" s="121"/>
      <c r="I39" s="122"/>
      <c r="J39" s="123"/>
      <c r="K39" s="124"/>
      <c r="L39" s="125"/>
      <c r="M39" s="126"/>
      <c r="N39" s="127"/>
      <c r="O39" s="128"/>
      <c r="P39" s="126"/>
      <c r="Q39" s="129"/>
      <c r="R39" s="130"/>
      <c r="S39" s="131"/>
      <c r="T39" s="126"/>
      <c r="U39" s="127"/>
      <c r="V39" s="128"/>
      <c r="W39" s="131"/>
      <c r="X39" s="131"/>
      <c r="Y39" s="126"/>
      <c r="Z39" s="129"/>
      <c r="AA39" s="9"/>
    </row>
    <row r="40" spans="1:27" x14ac:dyDescent="0.3">
      <c r="A40" s="115"/>
      <c r="B40" s="132"/>
      <c r="C40" s="117"/>
      <c r="D40" s="117"/>
      <c r="E40" s="118"/>
      <c r="F40" s="119"/>
      <c r="G40" s="120"/>
      <c r="H40" s="121"/>
      <c r="I40" s="122"/>
      <c r="J40" s="123"/>
      <c r="K40" s="124"/>
      <c r="L40" s="125"/>
      <c r="M40" s="126"/>
      <c r="N40" s="127"/>
      <c r="O40" s="128"/>
      <c r="P40" s="126"/>
      <c r="Q40" s="129"/>
      <c r="R40" s="130"/>
      <c r="S40" s="131"/>
      <c r="T40" s="126"/>
      <c r="U40" s="127"/>
      <c r="V40" s="128"/>
      <c r="W40" s="131"/>
      <c r="X40" s="131"/>
      <c r="Y40" s="126"/>
      <c r="Z40" s="129"/>
      <c r="AA40" s="9"/>
    </row>
    <row r="41" spans="1:27" x14ac:dyDescent="0.3">
      <c r="A41" s="115"/>
      <c r="B41" s="132"/>
      <c r="C41" s="117"/>
      <c r="D41" s="117"/>
      <c r="E41" s="118"/>
      <c r="F41" s="119"/>
      <c r="G41" s="120"/>
      <c r="H41" s="121"/>
      <c r="I41" s="122"/>
      <c r="J41" s="123"/>
      <c r="K41" s="124"/>
      <c r="L41" s="125"/>
      <c r="M41" s="126"/>
      <c r="N41" s="127"/>
      <c r="O41" s="128"/>
      <c r="P41" s="126"/>
      <c r="Q41" s="129"/>
      <c r="R41" s="130"/>
      <c r="S41" s="131"/>
      <c r="T41" s="126"/>
      <c r="U41" s="127"/>
      <c r="V41" s="128"/>
      <c r="W41" s="131"/>
      <c r="X41" s="131"/>
      <c r="Y41" s="126"/>
      <c r="Z41" s="129"/>
      <c r="AA41" s="9"/>
    </row>
    <row r="42" spans="1:27" x14ac:dyDescent="0.3">
      <c r="A42" s="115"/>
      <c r="B42" s="132"/>
      <c r="C42" s="117"/>
      <c r="D42" s="117"/>
      <c r="E42" s="118"/>
      <c r="F42" s="119"/>
      <c r="G42" s="120"/>
      <c r="H42" s="121"/>
      <c r="I42" s="122"/>
      <c r="J42" s="123"/>
      <c r="K42" s="124"/>
      <c r="L42" s="125"/>
      <c r="M42" s="126"/>
      <c r="N42" s="127"/>
      <c r="O42" s="128"/>
      <c r="P42" s="126"/>
      <c r="Q42" s="129"/>
      <c r="R42" s="130"/>
      <c r="S42" s="131"/>
      <c r="T42" s="126"/>
      <c r="U42" s="127"/>
      <c r="V42" s="128"/>
      <c r="W42" s="131"/>
      <c r="X42" s="131"/>
      <c r="Y42" s="126"/>
      <c r="Z42" s="129"/>
      <c r="AA42" s="9"/>
    </row>
    <row r="43" spans="1:27" x14ac:dyDescent="0.3">
      <c r="A43" s="115"/>
      <c r="B43" s="132"/>
      <c r="C43" s="117"/>
      <c r="D43" s="117"/>
      <c r="E43" s="118"/>
      <c r="F43" s="119"/>
      <c r="G43" s="120"/>
      <c r="H43" s="121"/>
      <c r="I43" s="122"/>
      <c r="J43" s="123"/>
      <c r="K43" s="124"/>
      <c r="L43" s="125"/>
      <c r="M43" s="126"/>
      <c r="N43" s="127"/>
      <c r="O43" s="128"/>
      <c r="P43" s="126"/>
      <c r="Q43" s="129"/>
      <c r="R43" s="130"/>
      <c r="S43" s="131"/>
      <c r="T43" s="126"/>
      <c r="U43" s="127"/>
      <c r="V43" s="128"/>
      <c r="W43" s="131"/>
      <c r="X43" s="131"/>
      <c r="Y43" s="126"/>
      <c r="Z43" s="129"/>
      <c r="AA43" s="9"/>
    </row>
    <row r="44" spans="1:27" x14ac:dyDescent="0.3">
      <c r="A44" s="115"/>
      <c r="B44" s="132"/>
      <c r="C44" s="117"/>
      <c r="D44" s="117"/>
      <c r="E44" s="118"/>
      <c r="F44" s="119"/>
      <c r="G44" s="120"/>
      <c r="H44" s="121"/>
      <c r="I44" s="122"/>
      <c r="J44" s="123"/>
      <c r="K44" s="124"/>
      <c r="L44" s="125"/>
      <c r="M44" s="126"/>
      <c r="N44" s="127"/>
      <c r="O44" s="128"/>
      <c r="P44" s="126"/>
      <c r="Q44" s="129"/>
      <c r="R44" s="130"/>
      <c r="S44" s="131"/>
      <c r="T44" s="126"/>
      <c r="U44" s="127"/>
      <c r="V44" s="128"/>
      <c r="W44" s="131"/>
      <c r="X44" s="131"/>
      <c r="Y44" s="126"/>
      <c r="Z44" s="129"/>
      <c r="AA44" s="9"/>
    </row>
    <row r="45" spans="1:27" x14ac:dyDescent="0.3">
      <c r="A45" s="115"/>
      <c r="B45" s="132"/>
      <c r="C45" s="117"/>
      <c r="D45" s="117"/>
      <c r="E45" s="118"/>
      <c r="F45" s="119"/>
      <c r="G45" s="120"/>
      <c r="H45" s="121"/>
      <c r="I45" s="122"/>
      <c r="J45" s="123"/>
      <c r="K45" s="124"/>
      <c r="L45" s="125"/>
      <c r="M45" s="126"/>
      <c r="N45" s="127"/>
      <c r="O45" s="128"/>
      <c r="P45" s="126"/>
      <c r="Q45" s="129"/>
      <c r="R45" s="130"/>
      <c r="S45" s="131"/>
      <c r="T45" s="126"/>
      <c r="U45" s="127"/>
      <c r="V45" s="128"/>
      <c r="W45" s="131"/>
      <c r="X45" s="131"/>
      <c r="Y45" s="126"/>
      <c r="Z45" s="129"/>
      <c r="AA45" s="9"/>
    </row>
    <row r="46" spans="1:27" x14ac:dyDescent="0.3">
      <c r="A46" s="115"/>
      <c r="B46" s="132"/>
      <c r="C46" s="117"/>
      <c r="D46" s="117"/>
      <c r="E46" s="118"/>
      <c r="F46" s="119"/>
      <c r="G46" s="120"/>
      <c r="H46" s="121"/>
      <c r="I46" s="122"/>
      <c r="J46" s="123"/>
      <c r="K46" s="124"/>
      <c r="L46" s="125"/>
      <c r="M46" s="126"/>
      <c r="N46" s="127"/>
      <c r="O46" s="128"/>
      <c r="P46" s="126"/>
      <c r="Q46" s="129"/>
      <c r="R46" s="130"/>
      <c r="S46" s="131"/>
      <c r="T46" s="126"/>
      <c r="U46" s="127"/>
      <c r="V46" s="128"/>
      <c r="W46" s="131"/>
      <c r="X46" s="131"/>
      <c r="Y46" s="126"/>
      <c r="Z46" s="129"/>
      <c r="AA46" s="9"/>
    </row>
    <row r="47" spans="1:27" x14ac:dyDescent="0.3">
      <c r="A47" s="115"/>
      <c r="B47" s="132"/>
      <c r="C47" s="117"/>
      <c r="D47" s="117"/>
      <c r="E47" s="118"/>
      <c r="F47" s="119"/>
      <c r="G47" s="120"/>
      <c r="H47" s="121"/>
      <c r="I47" s="122"/>
      <c r="J47" s="123"/>
      <c r="K47" s="124"/>
      <c r="L47" s="125"/>
      <c r="M47" s="126"/>
      <c r="N47" s="127"/>
      <c r="O47" s="128"/>
      <c r="P47" s="126"/>
      <c r="Q47" s="129"/>
      <c r="R47" s="130"/>
      <c r="S47" s="131"/>
      <c r="T47" s="126"/>
      <c r="U47" s="127"/>
      <c r="V47" s="128"/>
      <c r="W47" s="131"/>
      <c r="X47" s="131"/>
      <c r="Y47" s="126"/>
      <c r="Z47" s="129"/>
      <c r="AA47" s="9"/>
    </row>
    <row r="48" spans="1:27" x14ac:dyDescent="0.3">
      <c r="A48" s="115"/>
      <c r="B48" s="132"/>
      <c r="C48" s="117"/>
      <c r="D48" s="117"/>
      <c r="E48" s="118"/>
      <c r="F48" s="119"/>
      <c r="G48" s="120"/>
      <c r="H48" s="121"/>
      <c r="I48" s="122"/>
      <c r="J48" s="123"/>
      <c r="K48" s="124"/>
      <c r="L48" s="125"/>
      <c r="M48" s="126"/>
      <c r="N48" s="127"/>
      <c r="O48" s="128"/>
      <c r="P48" s="126"/>
      <c r="Q48" s="129"/>
      <c r="R48" s="130"/>
      <c r="S48" s="131"/>
      <c r="T48" s="126"/>
      <c r="U48" s="127"/>
      <c r="V48" s="128"/>
      <c r="W48" s="131"/>
      <c r="X48" s="131"/>
      <c r="Y48" s="126"/>
      <c r="Z48" s="129"/>
      <c r="AA48" s="9"/>
    </row>
    <row r="49" spans="1:27" x14ac:dyDescent="0.3">
      <c r="A49" s="115"/>
      <c r="B49" s="132"/>
      <c r="C49" s="117"/>
      <c r="D49" s="117"/>
      <c r="E49" s="118"/>
      <c r="F49" s="119"/>
      <c r="G49" s="120"/>
      <c r="H49" s="121"/>
      <c r="I49" s="122"/>
      <c r="J49" s="123"/>
      <c r="K49" s="124"/>
      <c r="L49" s="125"/>
      <c r="M49" s="126"/>
      <c r="N49" s="127"/>
      <c r="O49" s="128"/>
      <c r="P49" s="126"/>
      <c r="Q49" s="129"/>
      <c r="R49" s="130"/>
      <c r="S49" s="131"/>
      <c r="T49" s="126"/>
      <c r="U49" s="127"/>
      <c r="V49" s="128"/>
      <c r="W49" s="131"/>
      <c r="X49" s="131"/>
      <c r="Y49" s="126"/>
      <c r="Z49" s="129"/>
      <c r="AA49" s="9"/>
    </row>
    <row r="50" spans="1:27" x14ac:dyDescent="0.3">
      <c r="A50" s="115"/>
      <c r="B50" s="132"/>
      <c r="C50" s="117"/>
      <c r="D50" s="117"/>
      <c r="E50" s="118"/>
      <c r="F50" s="119"/>
      <c r="G50" s="120"/>
      <c r="H50" s="121"/>
      <c r="I50" s="122"/>
      <c r="J50" s="123"/>
      <c r="K50" s="124"/>
      <c r="L50" s="125"/>
      <c r="M50" s="126"/>
      <c r="N50" s="127"/>
      <c r="O50" s="128"/>
      <c r="P50" s="126"/>
      <c r="Q50" s="129"/>
      <c r="R50" s="130"/>
      <c r="S50" s="131"/>
      <c r="T50" s="126"/>
      <c r="U50" s="127"/>
      <c r="V50" s="128"/>
      <c r="W50" s="131"/>
      <c r="X50" s="131"/>
      <c r="Y50" s="126"/>
      <c r="Z50" s="129"/>
      <c r="AA50" s="9"/>
    </row>
    <row r="51" spans="1:27" x14ac:dyDescent="0.3">
      <c r="A51" s="115"/>
      <c r="B51" s="132"/>
      <c r="C51" s="117"/>
      <c r="D51" s="117"/>
      <c r="E51" s="118"/>
      <c r="F51" s="119"/>
      <c r="G51" s="120"/>
      <c r="H51" s="121"/>
      <c r="I51" s="122"/>
      <c r="J51" s="123"/>
      <c r="K51" s="124"/>
      <c r="L51" s="125"/>
      <c r="M51" s="126"/>
      <c r="N51" s="127"/>
      <c r="O51" s="128"/>
      <c r="P51" s="126"/>
      <c r="Q51" s="129"/>
      <c r="R51" s="130"/>
      <c r="S51" s="131"/>
      <c r="T51" s="126"/>
      <c r="U51" s="127"/>
      <c r="V51" s="128"/>
      <c r="W51" s="131"/>
      <c r="X51" s="131"/>
      <c r="Y51" s="126"/>
      <c r="Z51" s="129"/>
      <c r="AA51" s="9"/>
    </row>
    <row r="52" spans="1:27" x14ac:dyDescent="0.3">
      <c r="A52" s="115"/>
      <c r="B52" s="132"/>
      <c r="C52" s="117"/>
      <c r="D52" s="117"/>
      <c r="E52" s="118"/>
      <c r="F52" s="119"/>
      <c r="G52" s="120"/>
      <c r="H52" s="121"/>
      <c r="I52" s="122"/>
      <c r="J52" s="123"/>
      <c r="K52" s="124"/>
      <c r="L52" s="125"/>
      <c r="M52" s="126"/>
      <c r="N52" s="127"/>
      <c r="O52" s="128"/>
      <c r="P52" s="126"/>
      <c r="Q52" s="129"/>
      <c r="R52" s="130"/>
      <c r="S52" s="131"/>
      <c r="T52" s="126"/>
      <c r="U52" s="127"/>
      <c r="V52" s="128"/>
      <c r="W52" s="131"/>
      <c r="X52" s="131"/>
      <c r="Y52" s="126"/>
      <c r="Z52" s="129"/>
      <c r="AA52" s="9"/>
    </row>
    <row r="53" spans="1:27" x14ac:dyDescent="0.3">
      <c r="A53" s="115"/>
      <c r="B53" s="132"/>
      <c r="C53" s="117"/>
      <c r="D53" s="117"/>
      <c r="E53" s="118"/>
      <c r="F53" s="119"/>
      <c r="G53" s="120"/>
      <c r="H53" s="121"/>
      <c r="I53" s="122"/>
      <c r="J53" s="123"/>
      <c r="K53" s="124"/>
      <c r="L53" s="125"/>
      <c r="M53" s="126"/>
      <c r="N53" s="127"/>
      <c r="O53" s="128"/>
      <c r="P53" s="126"/>
      <c r="Q53" s="129"/>
      <c r="R53" s="130"/>
      <c r="S53" s="131"/>
      <c r="T53" s="126"/>
      <c r="U53" s="127"/>
      <c r="V53" s="128"/>
      <c r="W53" s="131"/>
      <c r="X53" s="131"/>
      <c r="Y53" s="126"/>
      <c r="Z53" s="129"/>
      <c r="AA53" s="9"/>
    </row>
    <row r="54" spans="1:27" x14ac:dyDescent="0.3">
      <c r="A54" s="115"/>
      <c r="B54" s="132"/>
      <c r="C54" s="117"/>
      <c r="D54" s="117"/>
      <c r="E54" s="118"/>
      <c r="F54" s="119"/>
      <c r="G54" s="120"/>
      <c r="H54" s="121"/>
      <c r="I54" s="122"/>
      <c r="J54" s="123"/>
      <c r="K54" s="124"/>
      <c r="L54" s="125"/>
      <c r="M54" s="126"/>
      <c r="N54" s="127"/>
      <c r="O54" s="128"/>
      <c r="P54" s="126"/>
      <c r="Q54" s="129"/>
      <c r="R54" s="130"/>
      <c r="S54" s="131"/>
      <c r="T54" s="126"/>
      <c r="U54" s="127"/>
      <c r="V54" s="128"/>
      <c r="W54" s="131"/>
      <c r="X54" s="131"/>
      <c r="Y54" s="126"/>
      <c r="Z54" s="129"/>
      <c r="AA54" s="9"/>
    </row>
    <row r="55" spans="1:27" x14ac:dyDescent="0.3">
      <c r="A55" s="115"/>
      <c r="B55" s="132"/>
      <c r="C55" s="117"/>
      <c r="D55" s="117"/>
      <c r="E55" s="118"/>
      <c r="F55" s="119"/>
      <c r="G55" s="120"/>
      <c r="H55" s="121"/>
      <c r="I55" s="122"/>
      <c r="J55" s="123"/>
      <c r="K55" s="124"/>
      <c r="L55" s="125"/>
      <c r="M55" s="126"/>
      <c r="N55" s="127"/>
      <c r="O55" s="128"/>
      <c r="P55" s="126"/>
      <c r="Q55" s="129"/>
      <c r="R55" s="130"/>
      <c r="S55" s="131"/>
      <c r="T55" s="126"/>
      <c r="U55" s="127"/>
      <c r="V55" s="128"/>
      <c r="W55" s="131"/>
      <c r="X55" s="131"/>
      <c r="Y55" s="126"/>
      <c r="Z55" s="129"/>
      <c r="AA55" s="9"/>
    </row>
    <row r="56" spans="1:27" x14ac:dyDescent="0.3">
      <c r="A56" s="115"/>
      <c r="B56" s="132"/>
      <c r="C56" s="117"/>
      <c r="D56" s="117"/>
      <c r="E56" s="118"/>
      <c r="F56" s="119"/>
      <c r="G56" s="120"/>
      <c r="H56" s="121"/>
      <c r="I56" s="122"/>
      <c r="J56" s="123"/>
      <c r="K56" s="124"/>
      <c r="L56" s="125"/>
      <c r="M56" s="126"/>
      <c r="N56" s="127"/>
      <c r="O56" s="128"/>
      <c r="P56" s="126"/>
      <c r="Q56" s="129"/>
      <c r="R56" s="130"/>
      <c r="S56" s="131"/>
      <c r="T56" s="126"/>
      <c r="U56" s="127"/>
      <c r="V56" s="128"/>
      <c r="W56" s="131"/>
      <c r="X56" s="131"/>
      <c r="Y56" s="126"/>
      <c r="Z56" s="129"/>
      <c r="AA56" s="9"/>
    </row>
    <row r="57" spans="1:27" x14ac:dyDescent="0.3">
      <c r="A57" s="115"/>
      <c r="B57" s="132"/>
      <c r="C57" s="117"/>
      <c r="D57" s="117"/>
      <c r="E57" s="118"/>
      <c r="F57" s="119"/>
      <c r="G57" s="120"/>
      <c r="H57" s="121"/>
      <c r="I57" s="122"/>
      <c r="J57" s="123"/>
      <c r="K57" s="124"/>
      <c r="L57" s="125"/>
      <c r="M57" s="126"/>
      <c r="N57" s="127"/>
      <c r="O57" s="128"/>
      <c r="P57" s="126"/>
      <c r="Q57" s="129"/>
      <c r="R57" s="130"/>
      <c r="S57" s="131"/>
      <c r="T57" s="126"/>
      <c r="U57" s="127"/>
      <c r="V57" s="128"/>
      <c r="W57" s="131"/>
      <c r="X57" s="131"/>
      <c r="Y57" s="126"/>
      <c r="Z57" s="129"/>
      <c r="AA57" s="9"/>
    </row>
    <row r="58" spans="1:27" x14ac:dyDescent="0.3">
      <c r="A58" s="115"/>
      <c r="B58" s="132"/>
      <c r="C58" s="117"/>
      <c r="D58" s="117"/>
      <c r="E58" s="118"/>
      <c r="F58" s="119"/>
      <c r="G58" s="120"/>
      <c r="H58" s="121"/>
      <c r="I58" s="122"/>
      <c r="J58" s="123"/>
      <c r="K58" s="124"/>
      <c r="L58" s="125"/>
      <c r="M58" s="126"/>
      <c r="N58" s="127"/>
      <c r="O58" s="128"/>
      <c r="P58" s="126"/>
      <c r="Q58" s="129"/>
      <c r="R58" s="130"/>
      <c r="S58" s="131"/>
      <c r="T58" s="126"/>
      <c r="U58" s="127"/>
      <c r="V58" s="128"/>
      <c r="W58" s="131"/>
      <c r="X58" s="131"/>
      <c r="Y58" s="126"/>
      <c r="Z58" s="129"/>
      <c r="AA58" s="9"/>
    </row>
    <row r="59" spans="1:27" x14ac:dyDescent="0.3">
      <c r="A59" s="115"/>
      <c r="B59" s="132"/>
      <c r="C59" s="117"/>
      <c r="D59" s="117"/>
      <c r="E59" s="118"/>
      <c r="F59" s="119"/>
      <c r="G59" s="120"/>
      <c r="H59" s="121"/>
      <c r="I59" s="122"/>
      <c r="J59" s="123"/>
      <c r="K59" s="124"/>
      <c r="L59" s="125"/>
      <c r="M59" s="126"/>
      <c r="N59" s="127"/>
      <c r="O59" s="128"/>
      <c r="P59" s="126"/>
      <c r="Q59" s="129"/>
      <c r="R59" s="130"/>
      <c r="S59" s="131"/>
      <c r="T59" s="126"/>
      <c r="U59" s="127"/>
      <c r="V59" s="128"/>
      <c r="W59" s="131"/>
      <c r="X59" s="131"/>
      <c r="Y59" s="126"/>
      <c r="Z59" s="129"/>
      <c r="AA59" s="9"/>
    </row>
    <row r="60" spans="1:27" x14ac:dyDescent="0.3">
      <c r="A60" s="115"/>
      <c r="B60" s="132"/>
      <c r="C60" s="117"/>
      <c r="D60" s="117"/>
      <c r="E60" s="118"/>
      <c r="F60" s="119"/>
      <c r="G60" s="120"/>
      <c r="H60" s="121"/>
      <c r="I60" s="122"/>
      <c r="J60" s="123"/>
      <c r="K60" s="124"/>
      <c r="L60" s="125"/>
      <c r="M60" s="126"/>
      <c r="N60" s="127"/>
      <c r="O60" s="128"/>
      <c r="P60" s="126"/>
      <c r="Q60" s="129"/>
      <c r="R60" s="130"/>
      <c r="S60" s="131"/>
      <c r="T60" s="126"/>
      <c r="U60" s="127"/>
      <c r="V60" s="128"/>
      <c r="W60" s="131"/>
      <c r="X60" s="131"/>
      <c r="Y60" s="126"/>
      <c r="Z60" s="129"/>
      <c r="AA60" s="9"/>
    </row>
    <row r="61" spans="1:27" x14ac:dyDescent="0.3">
      <c r="A61" s="115"/>
      <c r="B61" s="132"/>
      <c r="C61" s="117"/>
      <c r="D61" s="117"/>
      <c r="E61" s="118"/>
      <c r="F61" s="119"/>
      <c r="G61" s="120"/>
      <c r="H61" s="121"/>
      <c r="I61" s="122"/>
      <c r="J61" s="123"/>
      <c r="K61" s="124"/>
      <c r="L61" s="125"/>
      <c r="M61" s="126"/>
      <c r="N61" s="127"/>
      <c r="O61" s="128"/>
      <c r="P61" s="126"/>
      <c r="Q61" s="129"/>
      <c r="R61" s="130"/>
      <c r="S61" s="131"/>
      <c r="T61" s="126"/>
      <c r="U61" s="127"/>
      <c r="V61" s="128"/>
      <c r="W61" s="131"/>
      <c r="X61" s="131"/>
      <c r="Y61" s="126"/>
      <c r="Z61" s="129"/>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3:K61">
    <cfRule type="cellIs" dxfId="4" priority="2" stopIfTrue="1" operator="greaterThanOrEqual">
      <formula>0.9</formula>
    </cfRule>
  </conditionalFormatting>
  <conditionalFormatting sqref="J12:J61">
    <cfRule type="cellIs" dxfId="3" priority="3" stopIfTrue="1" operator="greaterThan">
      <formula>0.9</formula>
    </cfRule>
  </conditionalFormatting>
  <conditionalFormatting sqref="I12:I61">
    <cfRule type="cellIs" dxfId="2" priority="6" stopIfTrue="1" operator="between">
      <formula>0</formula>
      <formula>$AG$5</formula>
    </cfRule>
    <cfRule type="cellIs" dxfId="1" priority="7" stopIfTrue="1" operator="between">
      <formula>4-$AG$6</formula>
      <formula>4</formula>
    </cfRule>
  </conditionalFormatting>
  <conditionalFormatting sqref="N12:N61 U12:U61 Z12:Z61 Q12:Q61">
    <cfRule type="cellIs" dxfId="0" priority="8"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24" activePane="bottomRight" state="frozen"/>
      <selection activeCell="A5" sqref="A5:H5"/>
      <selection pane="topRight" activeCell="A5" sqref="A5:H5"/>
      <selection pane="bottomLeft" activeCell="A5" sqref="A5:H5"/>
      <selection pane="bottomRight" activeCell="M150" sqref="M150:M151"/>
    </sheetView>
  </sheetViews>
  <sheetFormatPr defaultColWidth="9.296875" defaultRowHeight="12.5" x14ac:dyDescent="0.25"/>
  <cols>
    <col min="1" max="1" width="2.796875" style="2" customWidth="1"/>
    <col min="2" max="2" width="15" style="2" customWidth="1"/>
    <col min="3" max="3" width="15.5" style="2" bestFit="1" customWidth="1"/>
    <col min="4" max="12" width="14.796875" style="2" customWidth="1"/>
    <col min="13" max="13" width="41" style="2" customWidth="1"/>
    <col min="14" max="53" width="14.796875" style="2" customWidth="1"/>
    <col min="54" max="16384" width="9.296875" style="2"/>
  </cols>
  <sheetData>
    <row r="1" spans="2:53" ht="22.5" customHeight="1" thickBot="1" x14ac:dyDescent="0.35">
      <c r="B1" s="522" t="s">
        <v>15</v>
      </c>
      <c r="C1" s="522"/>
      <c r="D1" s="523"/>
      <c r="E1" s="10"/>
      <c r="F1" s="10"/>
      <c r="G1" s="10"/>
      <c r="H1" s="10"/>
      <c r="I1" s="10"/>
      <c r="J1" s="10"/>
      <c r="K1" s="10"/>
      <c r="L1" s="10"/>
      <c r="M1" s="10"/>
      <c r="N1" s="10"/>
      <c r="O1" s="10"/>
      <c r="P1" s="11"/>
      <c r="Q1" s="10"/>
    </row>
    <row r="2" spans="2:53" ht="16.5" customHeight="1" thickBot="1" x14ac:dyDescent="0.35">
      <c r="B2" s="26" t="s">
        <v>38</v>
      </c>
      <c r="C2" s="25">
        <v>4720724.7036694996</v>
      </c>
      <c r="D2" s="25">
        <v>14437.3717803</v>
      </c>
      <c r="E2" s="25">
        <v>100909.8848656</v>
      </c>
      <c r="F2" s="25">
        <v>1072491.8053830001</v>
      </c>
      <c r="G2" s="25">
        <v>-1760071.4367635001</v>
      </c>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3">
      <c r="B3" s="27" t="str">
        <f>"Actual " &amp; Input!A4</f>
        <v>Actual Wholesale</v>
      </c>
      <c r="C3" s="23" t="str">
        <f>"Predicted " &amp;Input!A4</f>
        <v>Predicted Wholesale</v>
      </c>
      <c r="D3" s="24" t="s">
        <v>48</v>
      </c>
      <c r="E3" s="24" t="s">
        <v>49</v>
      </c>
      <c r="F3" s="24" t="s">
        <v>163</v>
      </c>
      <c r="G3" s="24" t="s">
        <v>164</v>
      </c>
      <c r="H3" s="24"/>
      <c r="I3" s="24"/>
      <c r="J3" s="24"/>
      <c r="K3" s="24"/>
      <c r="L3" s="24"/>
      <c r="M3" s="477" t="s">
        <v>217</v>
      </c>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ht="13" x14ac:dyDescent="0.3">
      <c r="B4" s="413">
        <v>50804292</v>
      </c>
      <c r="C4" s="280">
        <f>SUMPRODUCT(D2:G2,D4:G4)+C2</f>
        <v>49439905.934693992</v>
      </c>
      <c r="D4" s="29">
        <v>794.5999755859375</v>
      </c>
      <c r="E4" s="134">
        <v>0</v>
      </c>
      <c r="F4" s="134">
        <v>31</v>
      </c>
      <c r="G4" s="134">
        <v>0</v>
      </c>
      <c r="H4" s="29"/>
      <c r="I4" s="29"/>
      <c r="J4" s="29"/>
      <c r="K4" s="134"/>
      <c r="L4" s="134"/>
      <c r="M4" s="478">
        <f>C4-'Input - CDM'!C105</f>
        <v>48841113.145257071</v>
      </c>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row>
    <row r="5" spans="2:53" ht="13" x14ac:dyDescent="0.3">
      <c r="B5" s="135">
        <v>45781904</v>
      </c>
      <c r="C5" s="136">
        <f>SUMPRODUCT(D2:G2,D5:G5)+C2</f>
        <v>44066931.087983638</v>
      </c>
      <c r="D5" s="29">
        <v>645.29998779296875</v>
      </c>
      <c r="E5" s="29">
        <v>0</v>
      </c>
      <c r="F5" s="29">
        <v>28</v>
      </c>
      <c r="G5" s="29">
        <v>0</v>
      </c>
      <c r="H5" s="29"/>
      <c r="I5" s="29"/>
      <c r="J5" s="29"/>
      <c r="K5" s="29"/>
      <c r="L5" s="29"/>
      <c r="M5" s="479">
        <f>C5-'Input - CDM'!C106</f>
        <v>43467999.45100645</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ht="13" x14ac:dyDescent="0.3">
      <c r="B6" s="135">
        <v>47524280</v>
      </c>
      <c r="C6" s="136">
        <f>SUMPRODUCT(D2:G2,D6:G6)+C2</f>
        <v>44416988.475582674</v>
      </c>
      <c r="D6" s="29">
        <v>568.5999755859375</v>
      </c>
      <c r="E6" s="29">
        <v>0</v>
      </c>
      <c r="F6" s="29">
        <v>31</v>
      </c>
      <c r="G6" s="29">
        <v>1</v>
      </c>
      <c r="H6" s="29"/>
      <c r="I6" s="29"/>
      <c r="J6" s="29"/>
      <c r="K6" s="29"/>
      <c r="L6" s="29"/>
      <c r="M6" s="479">
        <f>C6-'Input - CDM'!C107</f>
        <v>43817917.991065219</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ht="13" x14ac:dyDescent="0.3">
      <c r="B7" s="135">
        <v>41210368</v>
      </c>
      <c r="C7" s="136">
        <f>SUMPRODUCT(D2:G2,D7:G7)+C2</f>
        <v>39866473.386244446</v>
      </c>
      <c r="D7" s="29">
        <v>324.89999389648438</v>
      </c>
      <c r="E7" s="29">
        <v>0.40000000596046448</v>
      </c>
      <c r="F7" s="29">
        <v>30</v>
      </c>
      <c r="G7" s="29">
        <v>1</v>
      </c>
      <c r="H7" s="29"/>
      <c r="I7" s="29"/>
      <c r="J7" s="29"/>
      <c r="K7" s="29"/>
      <c r="L7" s="29"/>
      <c r="M7" s="479">
        <f>C7-'Input - CDM'!C108</f>
        <v>39267264.054186724</v>
      </c>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ht="13" x14ac:dyDescent="0.3">
      <c r="B8" s="135">
        <v>40641592</v>
      </c>
      <c r="C8" s="136">
        <f>SUMPRODUCT(D2:G2,D8:G8)+C2</f>
        <v>39432755.356719792</v>
      </c>
      <c r="D8" s="29">
        <v>136</v>
      </c>
      <c r="E8" s="29">
        <v>12.5</v>
      </c>
      <c r="F8" s="29">
        <v>31</v>
      </c>
      <c r="G8" s="29">
        <v>1</v>
      </c>
      <c r="H8" s="29"/>
      <c r="I8" s="29"/>
      <c r="J8" s="29"/>
      <c r="K8" s="29"/>
      <c r="L8" s="29"/>
      <c r="M8" s="479">
        <f>C8-'Input - CDM'!C109</f>
        <v>38833407.177121803</v>
      </c>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ht="13" x14ac:dyDescent="0.3">
      <c r="B9" s="135">
        <v>42946556</v>
      </c>
      <c r="C9" s="136">
        <f>SUMPRODUCT(D2:G2,D9:G9)+C2</f>
        <v>41279784.664172411</v>
      </c>
      <c r="D9" s="29">
        <v>22.700000762939453</v>
      </c>
      <c r="E9" s="29">
        <v>40.200000762939453</v>
      </c>
      <c r="F9" s="29">
        <v>30</v>
      </c>
      <c r="G9" s="29">
        <v>0</v>
      </c>
      <c r="H9" s="29"/>
      <c r="I9" s="29"/>
      <c r="J9" s="29"/>
      <c r="K9" s="29"/>
      <c r="L9" s="29"/>
      <c r="M9" s="479">
        <f>C9-'Input - CDM'!C110</f>
        <v>40680297.637034155</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3">
      <c r="B10" s="135">
        <v>53131848</v>
      </c>
      <c r="C10" s="136">
        <f>SUMPRODUCT(D2:G2,D10:G10)+C2</f>
        <v>53975166.500530809</v>
      </c>
      <c r="D10" s="29">
        <v>0.20000000298023224</v>
      </c>
      <c r="E10" s="29">
        <v>158.60000610351563</v>
      </c>
      <c r="F10" s="29">
        <v>31</v>
      </c>
      <c r="G10" s="29">
        <v>0</v>
      </c>
      <c r="H10" s="29"/>
      <c r="I10" s="29"/>
      <c r="J10" s="29"/>
      <c r="K10" s="29"/>
      <c r="L10" s="29"/>
      <c r="M10" s="479">
        <f>C10-'Input - CDM'!C111</f>
        <v>53375540.625852287</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ht="13" x14ac:dyDescent="0.3">
      <c r="B11" s="135">
        <v>50050572</v>
      </c>
      <c r="C11" s="136">
        <f>SUMPRODUCT(D2:G2,D11:G11)+C2</f>
        <v>46987961.977482691</v>
      </c>
      <c r="D11" s="29">
        <v>4.0999999046325684</v>
      </c>
      <c r="E11" s="29">
        <v>88.800003051757813</v>
      </c>
      <c r="F11" s="29">
        <v>31</v>
      </c>
      <c r="G11" s="29">
        <v>0</v>
      </c>
      <c r="H11" s="29"/>
      <c r="I11" s="29"/>
      <c r="J11" s="29"/>
      <c r="K11" s="29"/>
      <c r="L11" s="29"/>
      <c r="M11" s="479">
        <f>C11-'Input - CDM'!C112</f>
        <v>46388197.255263902</v>
      </c>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ht="13" x14ac:dyDescent="0.3">
      <c r="B12" s="135">
        <v>42522856</v>
      </c>
      <c r="C12" s="136">
        <f>SUMPRODUCT(D2:G2,D12:G12)+C2</f>
        <v>38913523.165737852</v>
      </c>
      <c r="D12" s="29">
        <v>55.5</v>
      </c>
      <c r="E12" s="29">
        <v>29.5</v>
      </c>
      <c r="F12" s="29">
        <v>30</v>
      </c>
      <c r="G12" s="29">
        <v>1</v>
      </c>
      <c r="H12" s="29"/>
      <c r="I12" s="29"/>
      <c r="J12" s="29"/>
      <c r="K12" s="29"/>
      <c r="L12" s="29"/>
      <c r="M12" s="479">
        <f>C12-'Input - CDM'!C113</f>
        <v>38313619.595978796</v>
      </c>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ht="13" x14ac:dyDescent="0.3">
      <c r="B13" s="135">
        <v>41089492</v>
      </c>
      <c r="C13" s="136">
        <f>SUMPRODUCT(D2:G2,D13:G13)+C2</f>
        <v>39655543.658974007</v>
      </c>
      <c r="D13" s="29">
        <v>238.80000305175781</v>
      </c>
      <c r="E13" s="29">
        <v>0</v>
      </c>
      <c r="F13" s="29">
        <v>31</v>
      </c>
      <c r="G13" s="29">
        <v>1</v>
      </c>
      <c r="H13" s="29"/>
      <c r="I13" s="29"/>
      <c r="J13" s="29"/>
      <c r="K13" s="29"/>
      <c r="L13" s="29"/>
      <c r="M13" s="479">
        <f>C13-'Input - CDM'!C114</f>
        <v>39055501.241674684</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ht="13" x14ac:dyDescent="0.3">
      <c r="B14" s="135">
        <v>41565420</v>
      </c>
      <c r="C14" s="136">
        <f>SUMPRODUCT(D2:G2,D14:G14)+C2</f>
        <v>39755366.398092002</v>
      </c>
      <c r="D14" s="29">
        <v>320</v>
      </c>
      <c r="E14" s="29">
        <v>0</v>
      </c>
      <c r="F14" s="29">
        <v>30</v>
      </c>
      <c r="G14" s="29">
        <v>1</v>
      </c>
      <c r="H14" s="29"/>
      <c r="I14" s="29"/>
      <c r="J14" s="29"/>
      <c r="K14" s="29"/>
      <c r="L14" s="29"/>
      <c r="M14" s="479">
        <f>C14-'Input - CDM'!C115</f>
        <v>39155185.133252412</v>
      </c>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ht="13" x14ac:dyDescent="0.3">
      <c r="B15" s="135">
        <v>45507120</v>
      </c>
      <c r="C15" s="136">
        <f>SUMPRODUCT(D2:G2,D15:G15)+C2</f>
        <v>45359905.022056103</v>
      </c>
      <c r="D15" s="29">
        <v>512</v>
      </c>
      <c r="E15" s="29">
        <v>0</v>
      </c>
      <c r="F15" s="29">
        <v>31</v>
      </c>
      <c r="G15" s="29">
        <v>0</v>
      </c>
      <c r="H15" s="29"/>
      <c r="I15" s="29"/>
      <c r="J15" s="29"/>
      <c r="K15" s="29"/>
      <c r="L15" s="29"/>
      <c r="M15" s="479">
        <f>C15-'Input - CDM'!C116</f>
        <v>44759584.909676246</v>
      </c>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3">
      <c r="B16" s="135">
        <v>47398740</v>
      </c>
      <c r="C16" s="136">
        <f>SUMPRODUCT(D2:G2,D16:G16)+C2</f>
        <v>46641943.45990929</v>
      </c>
      <c r="D16" s="29">
        <v>600.79998779296875</v>
      </c>
      <c r="E16" s="29">
        <v>0</v>
      </c>
      <c r="F16" s="29">
        <v>31</v>
      </c>
      <c r="G16" s="29">
        <v>0</v>
      </c>
      <c r="H16" s="29"/>
      <c r="I16" s="29"/>
      <c r="J16" s="29"/>
      <c r="K16" s="29"/>
      <c r="L16" s="29"/>
      <c r="M16" s="479">
        <f>C16-'Input - CDM'!C117</f>
        <v>46033444.591695502</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ht="13" x14ac:dyDescent="0.3">
      <c r="B17" s="135">
        <v>43676184</v>
      </c>
      <c r="C17" s="136">
        <f>SUMPRODUCT(D2:G2,D17:G17)+C2</f>
        <v>43520993.869269907</v>
      </c>
      <c r="D17" s="29">
        <v>533.20001220703125</v>
      </c>
      <c r="E17" s="29">
        <v>0</v>
      </c>
      <c r="F17" s="29">
        <v>29</v>
      </c>
      <c r="G17" s="29">
        <v>0</v>
      </c>
      <c r="H17" s="29"/>
      <c r="I17" s="29"/>
      <c r="J17" s="29"/>
      <c r="K17" s="29"/>
      <c r="L17" s="29"/>
      <c r="M17" s="479">
        <f>C17-'Input - CDM'!C118</f>
        <v>42904316.245222189</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ht="13" x14ac:dyDescent="0.3">
      <c r="B18" s="135">
        <v>42461220</v>
      </c>
      <c r="C18" s="136">
        <f>SUMPRODUCT(D2:G2,D18:G18)+C2</f>
        <v>41027093.75780569</v>
      </c>
      <c r="D18" s="29">
        <v>333.79998779296875</v>
      </c>
      <c r="E18" s="29">
        <v>0</v>
      </c>
      <c r="F18" s="29">
        <v>31</v>
      </c>
      <c r="G18" s="29">
        <v>1</v>
      </c>
      <c r="H18" s="29"/>
      <c r="I18" s="29"/>
      <c r="J18" s="29"/>
      <c r="K18" s="29"/>
      <c r="L18" s="29"/>
      <c r="M18" s="479">
        <f>C18-'Input - CDM'!C119</f>
        <v>40402237.377924047</v>
      </c>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ht="13" x14ac:dyDescent="0.3">
      <c r="B19" s="135">
        <v>38951924</v>
      </c>
      <c r="C19" s="136">
        <f>SUMPRODUCT(D2:G2,D19:G19)+C2</f>
        <v>40051332.519588143</v>
      </c>
      <c r="D19" s="29">
        <v>340.5</v>
      </c>
      <c r="E19" s="29">
        <v>0</v>
      </c>
      <c r="F19" s="29">
        <v>30</v>
      </c>
      <c r="G19" s="29">
        <v>1</v>
      </c>
      <c r="H19" s="29"/>
      <c r="I19" s="29"/>
      <c r="J19" s="29"/>
      <c r="K19" s="29"/>
      <c r="L19" s="29"/>
      <c r="M19" s="479">
        <f>C19-'Input - CDM'!C120</f>
        <v>39418297.383872569</v>
      </c>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ht="13" x14ac:dyDescent="0.3">
      <c r="B20" s="135">
        <v>40347076</v>
      </c>
      <c r="C20" s="136">
        <f>SUMPRODUCT(D2:G2,D20:G20)+C2</f>
        <v>40312390.609478816</v>
      </c>
      <c r="D20" s="29">
        <v>82.300003051757813</v>
      </c>
      <c r="E20" s="29">
        <v>28.899999618530273</v>
      </c>
      <c r="F20" s="29">
        <v>31</v>
      </c>
      <c r="G20" s="29">
        <v>1</v>
      </c>
      <c r="H20" s="29"/>
      <c r="I20" s="29"/>
      <c r="J20" s="29"/>
      <c r="K20" s="29"/>
      <c r="L20" s="29"/>
      <c r="M20" s="479">
        <f>C20-'Input - CDM'!C121</f>
        <v>39671176.717929311</v>
      </c>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ht="13" x14ac:dyDescent="0.3">
      <c r="B21" s="135">
        <v>43608316</v>
      </c>
      <c r="C21" s="136">
        <f>SUMPRODUCT(D2:G2,D21:G21)+C2</f>
        <v>43870478.227265894</v>
      </c>
      <c r="D21" s="29">
        <v>31.600000381469727</v>
      </c>
      <c r="E21" s="29">
        <v>64.599998474121094</v>
      </c>
      <c r="F21" s="29">
        <v>30</v>
      </c>
      <c r="G21" s="29">
        <v>0</v>
      </c>
      <c r="H21" s="29"/>
      <c r="I21" s="29"/>
      <c r="J21" s="29"/>
      <c r="K21" s="29"/>
      <c r="L21" s="29"/>
      <c r="M21" s="479">
        <f>C21-'Input - CDM'!C122</f>
        <v>43221085.579882465</v>
      </c>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ht="13" x14ac:dyDescent="0.3">
      <c r="B22" s="135">
        <v>52491400</v>
      </c>
      <c r="C22" s="136">
        <f>SUMPRODUCT(D2:G2,D22:G22)+C2</f>
        <v>53397091.45058769</v>
      </c>
      <c r="D22" s="29">
        <v>0</v>
      </c>
      <c r="E22" s="29">
        <v>152.89999389648438</v>
      </c>
      <c r="F22" s="29">
        <v>31</v>
      </c>
      <c r="G22" s="29">
        <v>0</v>
      </c>
      <c r="H22" s="29"/>
      <c r="I22" s="29"/>
      <c r="J22" s="29"/>
      <c r="K22" s="29"/>
      <c r="L22" s="29"/>
      <c r="M22" s="479">
        <f>C22-'Input - CDM'!C123</f>
        <v>52739520.047370329</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ht="13" x14ac:dyDescent="0.3">
      <c r="B23" s="135">
        <v>49375116</v>
      </c>
      <c r="C23" s="136">
        <f>SUMPRODUCT(D2:G2,D23:G23)+C2</f>
        <v>45784291.92795299</v>
      </c>
      <c r="D23" s="29">
        <v>6</v>
      </c>
      <c r="E23" s="29">
        <v>76.599998474121094</v>
      </c>
      <c r="F23" s="29">
        <v>31</v>
      </c>
      <c r="G23" s="29">
        <v>0</v>
      </c>
      <c r="H23" s="29"/>
      <c r="I23" s="29"/>
      <c r="J23" s="29"/>
      <c r="K23" s="29"/>
      <c r="L23" s="29"/>
      <c r="M23" s="479">
        <f>C23-'Input - CDM'!C124</f>
        <v>45118541.768901706</v>
      </c>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ht="13" x14ac:dyDescent="0.3">
      <c r="B24" s="135">
        <v>41060276</v>
      </c>
      <c r="C24" s="136">
        <f>SUMPRODUCT(D2:G2,D24:G24)+C2</f>
        <v>39294760.750771925</v>
      </c>
      <c r="D24" s="29">
        <v>86.099998474121094</v>
      </c>
      <c r="E24" s="29">
        <v>28.899999618530273</v>
      </c>
      <c r="F24" s="29">
        <v>30</v>
      </c>
      <c r="G24" s="29">
        <v>1</v>
      </c>
      <c r="H24" s="29"/>
      <c r="I24" s="29"/>
      <c r="J24" s="29"/>
      <c r="K24" s="29"/>
      <c r="L24" s="29"/>
      <c r="M24" s="479">
        <f>C24-'Input - CDM'!C125</f>
        <v>38620831.835886709</v>
      </c>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ht="13" x14ac:dyDescent="0.3">
      <c r="B25" s="135">
        <v>40873720</v>
      </c>
      <c r="C25" s="136">
        <f>SUMPRODUCT(D2:G2,D25:G25)+C2</f>
        <v>39571685.397595912</v>
      </c>
      <c r="D25" s="29">
        <v>227.39999389648438</v>
      </c>
      <c r="E25" s="29">
        <v>0.80000001192092896</v>
      </c>
      <c r="F25" s="29">
        <v>31</v>
      </c>
      <c r="G25" s="29">
        <v>1</v>
      </c>
      <c r="H25" s="29"/>
      <c r="I25" s="29"/>
      <c r="J25" s="29"/>
      <c r="K25" s="29"/>
      <c r="L25" s="29"/>
      <c r="M25" s="479">
        <f>C25-'Input - CDM'!C126</f>
        <v>38889577.726876765</v>
      </c>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ht="13" x14ac:dyDescent="0.3">
      <c r="B26" s="135">
        <v>43236856</v>
      </c>
      <c r="C26" s="136">
        <f>SUMPRODUCT(D2:G2,D26:G26)+C2</f>
        <v>41378126.898078993</v>
      </c>
      <c r="D26" s="29">
        <v>432.39999389648438</v>
      </c>
      <c r="E26" s="29">
        <v>0</v>
      </c>
      <c r="F26" s="29">
        <v>30</v>
      </c>
      <c r="G26" s="29">
        <v>1</v>
      </c>
      <c r="H26" s="29"/>
      <c r="I26" s="29"/>
      <c r="J26" s="29"/>
      <c r="K26" s="29"/>
      <c r="L26" s="29"/>
      <c r="M26" s="479">
        <f>C26-'Input - CDM'!C127</f>
        <v>40687840.471525922</v>
      </c>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35">
      <c r="B27" s="135">
        <v>45273400</v>
      </c>
      <c r="C27" s="136">
        <f>SUMPRODUCT(D2:G2,D27:G27)+C2</f>
        <v>45260287.244890749</v>
      </c>
      <c r="D27" s="29">
        <v>505.10000610351563</v>
      </c>
      <c r="E27" s="29">
        <v>0</v>
      </c>
      <c r="F27" s="29">
        <v>31</v>
      </c>
      <c r="G27" s="29">
        <v>0</v>
      </c>
      <c r="H27" s="29"/>
      <c r="I27" s="29"/>
      <c r="J27" s="29"/>
      <c r="K27" s="29"/>
      <c r="L27" s="29"/>
      <c r="M27" s="479">
        <f>C27-'Input - CDM'!C128</f>
        <v>44561822.062503748</v>
      </c>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ht="13" x14ac:dyDescent="0.3">
      <c r="B28" s="413">
        <v>48805164</v>
      </c>
      <c r="C28" s="136">
        <f>SUMPRODUCT(D2:G2,D28:G28)+C2</f>
        <v>46880160.094284236</v>
      </c>
      <c r="D28" s="29">
        <v>617.29998779296875</v>
      </c>
      <c r="E28" s="29">
        <v>0</v>
      </c>
      <c r="F28" s="29">
        <v>31</v>
      </c>
      <c r="G28" s="29">
        <v>0</v>
      </c>
      <c r="H28" s="29"/>
      <c r="I28" s="29"/>
      <c r="J28" s="29"/>
      <c r="K28" s="29"/>
      <c r="L28" s="29"/>
      <c r="M28" s="479">
        <f>C28-'Input - CDM'!C129</f>
        <v>46167054.477174133</v>
      </c>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ht="13" x14ac:dyDescent="0.3">
      <c r="B29" s="135">
        <v>44143448</v>
      </c>
      <c r="C29" s="136">
        <f>SUMPRODUCT(D2:G2,D29:G29)+C2</f>
        <v>43991856.578488633</v>
      </c>
      <c r="D29" s="29">
        <v>640.0999755859375</v>
      </c>
      <c r="E29" s="29">
        <v>0</v>
      </c>
      <c r="F29" s="29">
        <v>28</v>
      </c>
      <c r="G29" s="29">
        <v>0</v>
      </c>
      <c r="H29" s="29"/>
      <c r="I29" s="29"/>
      <c r="J29" s="29"/>
      <c r="K29" s="29"/>
      <c r="L29" s="29"/>
      <c r="M29" s="479">
        <f>C29-'Input - CDM'!C130</f>
        <v>43264110.526655421</v>
      </c>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ht="13" x14ac:dyDescent="0.3">
      <c r="B30" s="135">
        <v>44262820</v>
      </c>
      <c r="C30" s="136">
        <f>SUMPRODUCT(D2:G2,D30:G30)+C2</f>
        <v>44226415.87303251</v>
      </c>
      <c r="D30" s="29">
        <v>555.4000244140625</v>
      </c>
      <c r="E30" s="29">
        <v>0</v>
      </c>
      <c r="F30" s="29">
        <v>31</v>
      </c>
      <c r="G30" s="29">
        <v>1</v>
      </c>
      <c r="H30" s="29"/>
      <c r="I30" s="29"/>
      <c r="J30" s="29"/>
      <c r="K30" s="29"/>
      <c r="L30" s="29"/>
      <c r="M30" s="479">
        <f>C30-'Input - CDM'!C131</f>
        <v>43484029.386476196</v>
      </c>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ht="13" x14ac:dyDescent="0.3">
      <c r="B31" s="135">
        <v>39050552</v>
      </c>
      <c r="C31" s="136">
        <f>SUMPRODUCT(D2:G2,D31:G31)+C2</f>
        <v>40042670.008401245</v>
      </c>
      <c r="D31" s="29">
        <v>339.89999389648438</v>
      </c>
      <c r="E31" s="29">
        <v>0</v>
      </c>
      <c r="F31" s="29">
        <v>30</v>
      </c>
      <c r="G31" s="29">
        <v>1</v>
      </c>
      <c r="H31" s="29"/>
      <c r="I31" s="29"/>
      <c r="J31" s="29"/>
      <c r="K31" s="29"/>
      <c r="L31" s="29"/>
      <c r="M31" s="479">
        <f>C31-'Input - CDM'!C132</f>
        <v>39285643.087121829</v>
      </c>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ht="13" x14ac:dyDescent="0.3">
      <c r="B32" s="135">
        <v>38719228</v>
      </c>
      <c r="C32" s="136">
        <f>SUMPRODUCT(D2:G2,D32:G32)+C2</f>
        <v>40331872.336919606</v>
      </c>
      <c r="D32" s="29">
        <v>116.5</v>
      </c>
      <c r="E32" s="29">
        <v>24.200000762939453</v>
      </c>
      <c r="F32" s="29">
        <v>31</v>
      </c>
      <c r="G32" s="29">
        <v>1</v>
      </c>
      <c r="H32" s="29"/>
      <c r="I32" s="29"/>
      <c r="J32" s="29"/>
      <c r="K32" s="29"/>
      <c r="L32" s="29"/>
      <c r="M32" s="479">
        <f>C32-'Input - CDM'!C133</f>
        <v>39560204.980917081</v>
      </c>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ht="13" x14ac:dyDescent="0.3">
      <c r="B33" s="135">
        <v>40344360</v>
      </c>
      <c r="C33" s="136">
        <f>SUMPRODUCT(D2:G2,D33:G33)+C2</f>
        <v>42407527.782323107</v>
      </c>
      <c r="D33" s="29">
        <v>42.799999237060547</v>
      </c>
      <c r="E33" s="29">
        <v>48.5</v>
      </c>
      <c r="F33" s="29">
        <v>30</v>
      </c>
      <c r="G33" s="29">
        <v>0</v>
      </c>
      <c r="H33" s="29"/>
      <c r="I33" s="29"/>
      <c r="J33" s="29"/>
      <c r="K33" s="29"/>
      <c r="L33" s="29"/>
      <c r="M33" s="479">
        <f>C33-'Input - CDM'!C134</f>
        <v>41621219.991597481</v>
      </c>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ht="13" x14ac:dyDescent="0.3">
      <c r="B34" s="135">
        <v>49578784</v>
      </c>
      <c r="C34" s="136">
        <f>SUMPRODUCT(D2:G2,D34:G34)+C2</f>
        <v>49853832.744609356</v>
      </c>
      <c r="D34" s="29">
        <v>5.5</v>
      </c>
      <c r="E34" s="29">
        <v>117</v>
      </c>
      <c r="F34" s="29">
        <v>31</v>
      </c>
      <c r="G34" s="29">
        <v>0</v>
      </c>
      <c r="H34" s="29"/>
      <c r="I34" s="29"/>
      <c r="J34" s="29"/>
      <c r="K34" s="29"/>
      <c r="L34" s="29"/>
      <c r="M34" s="479">
        <f>C34-'Input - CDM'!C135</f>
        <v>49052884.519160628</v>
      </c>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ht="13" x14ac:dyDescent="0.3">
      <c r="B35" s="135">
        <v>45746916</v>
      </c>
      <c r="C35" s="136">
        <f>SUMPRODUCT(D2:G2,D35:G35)+C2</f>
        <v>49646541.466866449</v>
      </c>
      <c r="D35" s="29">
        <v>19.100000381469727</v>
      </c>
      <c r="E35" s="29">
        <v>113</v>
      </c>
      <c r="F35" s="29">
        <v>31</v>
      </c>
      <c r="G35" s="29">
        <v>0</v>
      </c>
      <c r="H35" s="29"/>
      <c r="I35" s="29"/>
      <c r="J35" s="29"/>
      <c r="K35" s="29"/>
      <c r="L35" s="29"/>
      <c r="M35" s="479">
        <f>C35-'Input - CDM'!C136</f>
        <v>48830952.806694619</v>
      </c>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ht="13" x14ac:dyDescent="0.3">
      <c r="B36" s="135">
        <v>39397076</v>
      </c>
      <c r="C36" s="136">
        <f>SUMPRODUCT(D2:G2,D36:G36)+C2</f>
        <v>39040129.619898975</v>
      </c>
      <c r="D36" s="29">
        <v>110.40000152587891</v>
      </c>
      <c r="E36" s="29">
        <v>22.899999618530273</v>
      </c>
      <c r="F36" s="29">
        <v>30</v>
      </c>
      <c r="G36" s="29">
        <v>1</v>
      </c>
      <c r="H36" s="29"/>
      <c r="I36" s="29"/>
      <c r="J36" s="29"/>
      <c r="K36" s="29"/>
      <c r="L36" s="29"/>
      <c r="M36" s="479">
        <f>C36-'Input - CDM'!C137</f>
        <v>38209900.525004037</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ht="13" x14ac:dyDescent="0.3">
      <c r="B37" s="135">
        <v>39904312</v>
      </c>
      <c r="C37" s="136">
        <f>SUMPRODUCT(D2:G2,D37:G37)+C2</f>
        <v>39685224.862500936</v>
      </c>
      <c r="D37" s="29">
        <v>211.5</v>
      </c>
      <c r="E37" s="29">
        <v>4.1999998092651367</v>
      </c>
      <c r="F37" s="29">
        <v>31</v>
      </c>
      <c r="G37" s="29">
        <v>1</v>
      </c>
      <c r="H37" s="29"/>
      <c r="I37" s="29"/>
      <c r="J37" s="29"/>
      <c r="K37" s="29"/>
      <c r="L37" s="29"/>
      <c r="M37" s="479">
        <f>C37-'Input - CDM'!C138</f>
        <v>38840355.332882896</v>
      </c>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ht="13" x14ac:dyDescent="0.3">
      <c r="B38" s="135">
        <v>42170680</v>
      </c>
      <c r="C38" s="136">
        <f>SUMPRODUCT(D2:G2,D38:G38)+C2</f>
        <v>41786704.783817649</v>
      </c>
      <c r="D38" s="29">
        <v>460.70001220703125</v>
      </c>
      <c r="E38" s="29">
        <v>0</v>
      </c>
      <c r="F38" s="29">
        <v>30</v>
      </c>
      <c r="G38" s="29">
        <v>1</v>
      </c>
      <c r="H38" s="29"/>
      <c r="I38" s="29"/>
      <c r="J38" s="29"/>
      <c r="K38" s="29"/>
      <c r="L38" s="29"/>
      <c r="M38" s="479">
        <f>C38-'Input - CDM'!C139</f>
        <v>40927194.819476508</v>
      </c>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ht="13" x14ac:dyDescent="0.3">
      <c r="B39" s="135">
        <v>47174228</v>
      </c>
      <c r="C39" s="136">
        <f>SUMPRODUCT(D2:G2,D39:G39)+C2</f>
        <v>47444661.859606326</v>
      </c>
      <c r="D39" s="29">
        <v>656.4000244140625</v>
      </c>
      <c r="E39" s="29">
        <v>0</v>
      </c>
      <c r="F39" s="29">
        <v>31</v>
      </c>
      <c r="G39" s="29">
        <v>0</v>
      </c>
      <c r="H39" s="29"/>
      <c r="I39" s="29"/>
      <c r="J39" s="29"/>
      <c r="K39" s="29"/>
      <c r="L39" s="29"/>
      <c r="M39" s="479">
        <f>C39-'Input - CDM'!C140</f>
        <v>46570511.460542075</v>
      </c>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ht="13" x14ac:dyDescent="0.3">
      <c r="B40" s="135">
        <v>51390000</v>
      </c>
      <c r="C40" s="136">
        <f>SUMPRODUCT(D2:G2,D40:G40)+C2</f>
        <v>49275320.425110906</v>
      </c>
      <c r="D40" s="29">
        <v>783.20001220703125</v>
      </c>
      <c r="E40" s="29">
        <v>0</v>
      </c>
      <c r="F40" s="29">
        <v>31</v>
      </c>
      <c r="G40" s="29">
        <v>0</v>
      </c>
      <c r="H40" s="29"/>
      <c r="I40" s="29"/>
      <c r="J40" s="29"/>
      <c r="K40" s="29"/>
      <c r="L40" s="29"/>
      <c r="M40" s="479">
        <f>C40-'Input - CDM'!C141</f>
        <v>48381844.35011667</v>
      </c>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ht="13" x14ac:dyDescent="0.3">
      <c r="B41" s="135">
        <v>45472280</v>
      </c>
      <c r="C41" s="136">
        <f>SUMPRODUCT(D2:G2,D41:G41)+C2</f>
        <v>45487568.823640063</v>
      </c>
      <c r="D41" s="29">
        <v>743.70001220703125</v>
      </c>
      <c r="E41" s="29">
        <v>0</v>
      </c>
      <c r="F41" s="29">
        <v>28</v>
      </c>
      <c r="G41" s="29">
        <v>0</v>
      </c>
      <c r="H41" s="29"/>
      <c r="I41" s="29"/>
      <c r="J41" s="29"/>
      <c r="K41" s="29"/>
      <c r="L41" s="29"/>
      <c r="M41" s="479">
        <f>C41-'Input - CDM'!C142</f>
        <v>44574767.072715841</v>
      </c>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ht="13" x14ac:dyDescent="0.3">
      <c r="B42" s="135">
        <v>46765108</v>
      </c>
      <c r="C42" s="136">
        <f>SUMPRODUCT(D2:G2,D42:G42)+C2</f>
        <v>46202891.541043237</v>
      </c>
      <c r="D42" s="29">
        <v>692.29998779296875</v>
      </c>
      <c r="E42" s="29">
        <v>0</v>
      </c>
      <c r="F42" s="29">
        <v>31</v>
      </c>
      <c r="G42" s="29">
        <v>1</v>
      </c>
      <c r="H42" s="29"/>
      <c r="I42" s="29"/>
      <c r="J42" s="29"/>
      <c r="K42" s="29"/>
      <c r="L42" s="29"/>
      <c r="M42" s="479">
        <f>C42-'Input - CDM'!C143</f>
        <v>45270764.114189021</v>
      </c>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ht="13" x14ac:dyDescent="0.3">
      <c r="B43" s="135">
        <v>39341380</v>
      </c>
      <c r="C43" s="136">
        <f>SUMPRODUCT(D2:G2,D43:G43)+C2</f>
        <v>40021013.950730786</v>
      </c>
      <c r="D43" s="29">
        <v>338.39999389648438</v>
      </c>
      <c r="E43" s="29">
        <v>0</v>
      </c>
      <c r="F43" s="29">
        <v>30</v>
      </c>
      <c r="G43" s="29">
        <v>1</v>
      </c>
      <c r="H43" s="29"/>
      <c r="I43" s="29"/>
      <c r="J43" s="29"/>
      <c r="K43" s="29"/>
      <c r="L43" s="29"/>
      <c r="M43" s="479">
        <f>C43-'Input - CDM'!C144</f>
        <v>39069560.847946584</v>
      </c>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ht="13" x14ac:dyDescent="0.3">
      <c r="B44" s="135">
        <v>37926096</v>
      </c>
      <c r="C44" s="136">
        <f>SUMPRODUCT(D2:G2,D44:G44)+C2</f>
        <v>39076941.180435866</v>
      </c>
      <c r="D44" s="29">
        <v>147.69999694824219</v>
      </c>
      <c r="E44" s="29">
        <v>7.3000001907348633</v>
      </c>
      <c r="F44" s="29">
        <v>31</v>
      </c>
      <c r="G44" s="29">
        <v>1</v>
      </c>
      <c r="H44" s="29"/>
      <c r="I44" s="29"/>
      <c r="J44" s="29"/>
      <c r="K44" s="29"/>
      <c r="L44" s="29"/>
      <c r="M44" s="479">
        <f>C44-'Input - CDM'!C145</f>
        <v>38106162.401721671</v>
      </c>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ht="13" x14ac:dyDescent="0.3">
      <c r="B45" s="135">
        <v>41733660</v>
      </c>
      <c r="C45" s="136">
        <f>SUMPRODUCT(D2:G2,D45:G45)+C2</f>
        <v>44165776.928791448</v>
      </c>
      <c r="D45" s="29">
        <v>21.299999237060547</v>
      </c>
      <c r="E45" s="29">
        <v>69</v>
      </c>
      <c r="F45" s="29">
        <v>30</v>
      </c>
      <c r="G45" s="29">
        <v>0</v>
      </c>
      <c r="H45" s="29"/>
      <c r="I45" s="29"/>
      <c r="J45" s="29"/>
      <c r="K45" s="29"/>
      <c r="L45" s="29"/>
      <c r="M45" s="479">
        <f>C45-'Input - CDM'!C146</f>
        <v>43175672.474147268</v>
      </c>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ht="13" x14ac:dyDescent="0.3">
      <c r="B46" s="135">
        <v>45150484</v>
      </c>
      <c r="C46" s="136">
        <f>SUMPRODUCT(D2:G2,D46:G46)+C2</f>
        <v>43312166.789324507</v>
      </c>
      <c r="D46" s="29">
        <v>13.699999809265137</v>
      </c>
      <c r="E46" s="29">
        <v>51</v>
      </c>
      <c r="F46" s="29">
        <v>31</v>
      </c>
      <c r="G46" s="29">
        <v>0</v>
      </c>
      <c r="H46" s="29"/>
      <c r="I46" s="29"/>
      <c r="J46" s="29"/>
      <c r="K46" s="29"/>
      <c r="L46" s="29"/>
      <c r="M46" s="479">
        <f>C46-'Input - CDM'!C147</f>
        <v>42302736.658750333</v>
      </c>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ht="13" x14ac:dyDescent="0.3">
      <c r="B47" s="135">
        <v>44137108</v>
      </c>
      <c r="C47" s="136">
        <f>SUMPRODUCT(D2:G2,D47:G47)+C2</f>
        <v>44094902.338976502</v>
      </c>
      <c r="D47" s="29">
        <v>12</v>
      </c>
      <c r="E47" s="29">
        <v>59</v>
      </c>
      <c r="F47" s="29">
        <v>31</v>
      </c>
      <c r="G47" s="29">
        <v>0</v>
      </c>
      <c r="H47" s="29"/>
      <c r="I47" s="29"/>
      <c r="J47" s="29"/>
      <c r="K47" s="29"/>
      <c r="L47" s="29"/>
      <c r="M47" s="479">
        <f>C47-'Input - CDM'!C148</f>
        <v>43066146.532472342</v>
      </c>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ht="13" x14ac:dyDescent="0.3">
      <c r="B48" s="135">
        <v>39520400</v>
      </c>
      <c r="C48" s="136">
        <f>SUMPRODUCT(D2:G2,D48:G48)+C2</f>
        <v>39141937.119118944</v>
      </c>
      <c r="D48" s="29">
        <v>85.300003051757813</v>
      </c>
      <c r="E48" s="29">
        <v>27.5</v>
      </c>
      <c r="F48" s="29">
        <v>30</v>
      </c>
      <c r="G48" s="29">
        <v>1</v>
      </c>
      <c r="H48" s="29"/>
      <c r="I48" s="29"/>
      <c r="J48" s="29"/>
      <c r="K48" s="29"/>
      <c r="L48" s="29"/>
      <c r="M48" s="479">
        <f>C48-'Input - CDM'!C149</f>
        <v>38093855.63668479</v>
      </c>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ht="13" x14ac:dyDescent="0.3">
      <c r="B49" s="135">
        <v>39263904</v>
      </c>
      <c r="C49" s="136">
        <f>SUMPRODUCT(D2:G2,D49:G49)+C2</f>
        <v>40053120.03997381</v>
      </c>
      <c r="D49" s="29">
        <v>225.10000610351563</v>
      </c>
      <c r="E49" s="29">
        <v>5.9000000953674316</v>
      </c>
      <c r="F49" s="29">
        <v>31</v>
      </c>
      <c r="G49" s="29">
        <v>1</v>
      </c>
      <c r="H49" s="29"/>
      <c r="I49" s="29"/>
      <c r="J49" s="29"/>
      <c r="K49" s="29"/>
      <c r="L49" s="29"/>
      <c r="M49" s="479">
        <f>C49-'Input - CDM'!C150</f>
        <v>38985712.881609671</v>
      </c>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ht="13" x14ac:dyDescent="0.3">
      <c r="B50" s="135">
        <v>41745116</v>
      </c>
      <c r="C50" s="136">
        <f>SUMPRODUCT(D2:G2,D50:G50)+C2</f>
        <v>41858891.64271915</v>
      </c>
      <c r="D50" s="29">
        <v>465.70001220703125</v>
      </c>
      <c r="E50" s="29">
        <v>0</v>
      </c>
      <c r="F50" s="29">
        <v>30</v>
      </c>
      <c r="G50" s="29">
        <v>1</v>
      </c>
      <c r="H50" s="29"/>
      <c r="I50" s="29"/>
      <c r="J50" s="29"/>
      <c r="K50" s="29"/>
      <c r="L50" s="29"/>
      <c r="M50" s="479">
        <f>C50-'Input - CDM'!C151</f>
        <v>40772158.808425017</v>
      </c>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35">
      <c r="B51" s="135">
        <v>44479592</v>
      </c>
      <c r="C51" s="136">
        <f>SUMPRODUCT(D2:G2,D51:G51)+C2</f>
        <v>45775701.153091297</v>
      </c>
      <c r="D51" s="29">
        <v>540.79998779296875</v>
      </c>
      <c r="E51" s="29">
        <v>0</v>
      </c>
      <c r="F51" s="29">
        <v>31</v>
      </c>
      <c r="G51" s="29">
        <v>0</v>
      </c>
      <c r="H51" s="29"/>
      <c r="I51" s="29"/>
      <c r="J51" s="29"/>
      <c r="K51" s="29"/>
      <c r="L51" s="29"/>
      <c r="M51" s="479">
        <f>C51-'Input - CDM'!C152</f>
        <v>44669642.642867178</v>
      </c>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ht="13" x14ac:dyDescent="0.3">
      <c r="B52" s="413">
        <v>49496248</v>
      </c>
      <c r="C52" s="136">
        <f>SUMPRODUCT(D2:G2,D52:G52)+C2</f>
        <v>49109290.649637461</v>
      </c>
      <c r="D52" s="29">
        <v>771.70001220703125</v>
      </c>
      <c r="E52" s="29">
        <v>0</v>
      </c>
      <c r="F52" s="29">
        <v>31</v>
      </c>
      <c r="G52" s="29">
        <v>0</v>
      </c>
      <c r="H52" s="29"/>
      <c r="I52" s="29"/>
      <c r="J52" s="29"/>
      <c r="K52" s="29"/>
      <c r="L52" s="29"/>
      <c r="M52" s="479">
        <f>C52-'Input - CDM'!C153</f>
        <v>47950026.989842519</v>
      </c>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ht="13" x14ac:dyDescent="0.3">
      <c r="B53" s="135">
        <v>47018548</v>
      </c>
      <c r="C53" s="136">
        <f>SUMPRODUCT(D2:G2,D53:G53)+C2</f>
        <v>47338440.062111974</v>
      </c>
      <c r="D53" s="29">
        <v>871.9000244140625</v>
      </c>
      <c r="E53" s="29">
        <v>0</v>
      </c>
      <c r="F53" s="29">
        <v>28</v>
      </c>
      <c r="G53" s="29">
        <v>0</v>
      </c>
      <c r="H53" s="29"/>
      <c r="I53" s="29"/>
      <c r="J53" s="29"/>
      <c r="K53" s="29"/>
      <c r="L53" s="29"/>
      <c r="M53" s="479">
        <f>C53-'Input - CDM'!C154</f>
        <v>46125971.25274621</v>
      </c>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ht="13" x14ac:dyDescent="0.3">
      <c r="B54" s="135">
        <v>45732924</v>
      </c>
      <c r="C54" s="136">
        <f>SUMPRODUCT(D2:G2,D54:G54)+C2</f>
        <v>45404505.057830095</v>
      </c>
      <c r="D54" s="29">
        <v>637</v>
      </c>
      <c r="E54" s="29">
        <v>0</v>
      </c>
      <c r="F54" s="29">
        <v>31</v>
      </c>
      <c r="G54" s="29">
        <v>1</v>
      </c>
      <c r="H54" s="29"/>
      <c r="I54" s="29"/>
      <c r="J54" s="29"/>
      <c r="K54" s="29"/>
      <c r="L54" s="29"/>
      <c r="M54" s="479">
        <f>C54-'Input - CDM'!C155</f>
        <v>44138831.098893516</v>
      </c>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ht="13" x14ac:dyDescent="0.3">
      <c r="B55" s="135">
        <v>38385208</v>
      </c>
      <c r="C55" s="136">
        <f>SUMPRODUCT(D2:G2,D55:G55)+C2</f>
        <v>39899740.115895003</v>
      </c>
      <c r="D55" s="29">
        <v>330</v>
      </c>
      <c r="E55" s="29">
        <v>0</v>
      </c>
      <c r="F55" s="29">
        <v>30</v>
      </c>
      <c r="G55" s="29">
        <v>1</v>
      </c>
      <c r="H55" s="29"/>
      <c r="I55" s="29"/>
      <c r="J55" s="29"/>
      <c r="K55" s="29"/>
      <c r="L55" s="29"/>
      <c r="M55" s="479">
        <f>C55-'Input - CDM'!C156</f>
        <v>38580861.007387601</v>
      </c>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ht="13" x14ac:dyDescent="0.3">
      <c r="B56" s="135">
        <v>37933228</v>
      </c>
      <c r="C56" s="136">
        <f>SUMPRODUCT(D2:G2,D56:G56)+C2</f>
        <v>41141735.410948098</v>
      </c>
      <c r="D56" s="29">
        <v>102.69999694824219</v>
      </c>
      <c r="E56" s="29">
        <v>34.200000762939453</v>
      </c>
      <c r="F56" s="29">
        <v>31</v>
      </c>
      <c r="G56" s="29">
        <v>1</v>
      </c>
      <c r="H56" s="29"/>
      <c r="I56" s="29"/>
      <c r="J56" s="29"/>
      <c r="K56" s="29"/>
      <c r="L56" s="29"/>
      <c r="M56" s="479">
        <f>C56-'Input - CDM'!C157</f>
        <v>39769651.152869873</v>
      </c>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ht="13" x14ac:dyDescent="0.3">
      <c r="B57" s="135">
        <v>39581568</v>
      </c>
      <c r="C57" s="136">
        <f>SUMPRODUCT(D2:G2,D57:G57)+C2</f>
        <v>40299803.27975218</v>
      </c>
      <c r="D57" s="29">
        <v>35.900001525878906</v>
      </c>
      <c r="E57" s="29">
        <v>28.600000381469727</v>
      </c>
      <c r="F57" s="29">
        <v>30</v>
      </c>
      <c r="G57" s="29">
        <v>0</v>
      </c>
      <c r="H57" s="29"/>
      <c r="I57" s="29"/>
      <c r="J57" s="29"/>
      <c r="K57" s="29"/>
      <c r="L57" s="29"/>
      <c r="M57" s="479">
        <f>C57-'Input - CDM'!C158</f>
        <v>38874513.872103132</v>
      </c>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ht="13" x14ac:dyDescent="0.3">
      <c r="B58" s="135">
        <v>46086620</v>
      </c>
      <c r="C58" s="136">
        <f>SUMPRODUCT(D2:G2,D58:G58)+C2</f>
        <v>46059666.433588624</v>
      </c>
      <c r="D58" s="29">
        <v>7.5999999046325684</v>
      </c>
      <c r="E58" s="29">
        <v>79.099998474121094</v>
      </c>
      <c r="F58" s="29">
        <v>31</v>
      </c>
      <c r="G58" s="29">
        <v>0</v>
      </c>
      <c r="H58" s="29"/>
      <c r="I58" s="29"/>
      <c r="J58" s="29"/>
      <c r="K58" s="29"/>
      <c r="L58" s="29"/>
      <c r="M58" s="479">
        <f>C58-'Input - CDM'!C159</f>
        <v>44581171.876368754</v>
      </c>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ht="13" x14ac:dyDescent="0.3">
      <c r="B59" s="135">
        <v>45391564</v>
      </c>
      <c r="C59" s="136">
        <f>SUMPRODUCT(D2:G2,D59:G59)+C2</f>
        <v>44094902.338976502</v>
      </c>
      <c r="D59" s="29">
        <v>12</v>
      </c>
      <c r="E59" s="29">
        <v>59</v>
      </c>
      <c r="F59" s="29">
        <v>31</v>
      </c>
      <c r="G59" s="29">
        <v>0</v>
      </c>
      <c r="H59" s="29"/>
      <c r="I59" s="29"/>
      <c r="J59" s="29"/>
      <c r="K59" s="29"/>
      <c r="L59" s="29"/>
      <c r="M59" s="479">
        <f>C59-'Input - CDM'!C160</f>
        <v>42563202.632185817</v>
      </c>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ht="13" x14ac:dyDescent="0.3">
      <c r="B60" s="135">
        <v>43332896</v>
      </c>
      <c r="C60" s="136">
        <f>SUMPRODUCT(D2:G2,D60:G60)+C2</f>
        <v>41159088.074932009</v>
      </c>
      <c r="D60" s="29">
        <v>37</v>
      </c>
      <c r="E60" s="29">
        <v>54.400001525878906</v>
      </c>
      <c r="F60" s="29">
        <v>30</v>
      </c>
      <c r="G60" s="29">
        <v>1</v>
      </c>
      <c r="H60" s="29"/>
      <c r="I60" s="29"/>
      <c r="J60" s="29"/>
      <c r="K60" s="29"/>
      <c r="L60" s="29"/>
      <c r="M60" s="479">
        <f>C60-'Input - CDM'!C161</f>
        <v>39574183.218570501</v>
      </c>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ht="13" x14ac:dyDescent="0.3">
      <c r="B61" s="135">
        <v>38424544</v>
      </c>
      <c r="C61" s="136">
        <f>SUMPRODUCT(D2:G2,D61:G61)+C2</f>
        <v>39941267.071981207</v>
      </c>
      <c r="D61" s="29">
        <v>252.30000305175781</v>
      </c>
      <c r="E61" s="29">
        <v>0.89999997615814209</v>
      </c>
      <c r="F61" s="29">
        <v>31</v>
      </c>
      <c r="G61" s="29">
        <v>1</v>
      </c>
      <c r="H61" s="29"/>
      <c r="I61" s="29"/>
      <c r="J61" s="29"/>
      <c r="K61" s="29"/>
      <c r="L61" s="29"/>
      <c r="M61" s="479">
        <f>C61-'Input - CDM'!C162</f>
        <v>38303157.066048875</v>
      </c>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ht="13" x14ac:dyDescent="0.3">
      <c r="B62" s="135">
        <v>38849892</v>
      </c>
      <c r="C62" s="136">
        <f>SUMPRODUCT(D2:G2,D62:G62)+C2</f>
        <v>40064326.066071689</v>
      </c>
      <c r="D62" s="29">
        <v>341.39999389648438</v>
      </c>
      <c r="E62" s="29">
        <v>0</v>
      </c>
      <c r="F62" s="29">
        <v>30</v>
      </c>
      <c r="G62" s="29">
        <v>1</v>
      </c>
      <c r="H62" s="29"/>
      <c r="I62" s="29"/>
      <c r="J62" s="29"/>
      <c r="K62" s="29"/>
      <c r="L62" s="29"/>
      <c r="M62" s="479">
        <f>C62-'Input - CDM'!C163</f>
        <v>38373010.910568535</v>
      </c>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ht="13" x14ac:dyDescent="0.3">
      <c r="B63" s="135">
        <v>41514400</v>
      </c>
      <c r="C63" s="136">
        <f>SUMPRODUCT(D2:G2,D63:G63)+C2</f>
        <v>44002792.074707896</v>
      </c>
      <c r="D63" s="29">
        <v>418</v>
      </c>
      <c r="E63" s="29">
        <v>0</v>
      </c>
      <c r="F63" s="29">
        <v>31</v>
      </c>
      <c r="G63" s="29">
        <v>0</v>
      </c>
      <c r="H63" s="29"/>
      <c r="I63" s="29"/>
      <c r="J63" s="29"/>
      <c r="K63" s="29"/>
      <c r="L63" s="29"/>
      <c r="M63" s="479">
        <f>C63-'Input - CDM'!C164</f>
        <v>42258271.769633926</v>
      </c>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ht="13" x14ac:dyDescent="0.3">
      <c r="B64" s="135">
        <v>46346808</v>
      </c>
      <c r="C64" s="136">
        <f>SUMPRODUCT(D2:G2,D64:G64)+C2</f>
        <v>47456211.580793113</v>
      </c>
      <c r="D64" s="29">
        <v>657.20001220703125</v>
      </c>
      <c r="E64" s="29">
        <v>0</v>
      </c>
      <c r="F64" s="29">
        <v>31</v>
      </c>
      <c r="G64" s="29">
        <v>0</v>
      </c>
      <c r="H64" s="29"/>
      <c r="I64" s="29"/>
      <c r="J64" s="29"/>
      <c r="K64" s="29"/>
      <c r="L64" s="29"/>
      <c r="M64" s="479">
        <f>C64-'Input - CDM'!C165</f>
        <v>45657672.267240748</v>
      </c>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ht="13" x14ac:dyDescent="0.3">
      <c r="B65" s="135">
        <v>43010724</v>
      </c>
      <c r="C65" s="136">
        <f>SUMPRODUCT(D2:G2,D65:G65)+C2</f>
        <v>44299167.679515734</v>
      </c>
      <c r="D65" s="29">
        <v>587.0999755859375</v>
      </c>
      <c r="E65" s="29">
        <v>0</v>
      </c>
      <c r="F65" s="29">
        <v>29</v>
      </c>
      <c r="G65" s="29">
        <v>0</v>
      </c>
      <c r="H65" s="29"/>
      <c r="I65" s="29"/>
      <c r="J65" s="29"/>
      <c r="K65" s="29"/>
      <c r="L65" s="29"/>
      <c r="M65" s="479">
        <f>C65-'Input - CDM'!C166</f>
        <v>42446609.357484974</v>
      </c>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ht="13" x14ac:dyDescent="0.3">
      <c r="B66" s="135">
        <v>41715724</v>
      </c>
      <c r="C66" s="136">
        <f>SUMPRODUCT(D2:G2,D66:G66)+C2</f>
        <v>42687391.512540191</v>
      </c>
      <c r="D66" s="29">
        <v>448.79998779296875</v>
      </c>
      <c r="E66" s="29">
        <v>0</v>
      </c>
      <c r="F66" s="29">
        <v>31</v>
      </c>
      <c r="G66" s="29">
        <v>1</v>
      </c>
      <c r="H66" s="29"/>
      <c r="I66" s="29"/>
      <c r="J66" s="29"/>
      <c r="K66" s="29"/>
      <c r="L66" s="29"/>
      <c r="M66" s="479">
        <f>C66-'Input - CDM'!C167</f>
        <v>40780814.182031035</v>
      </c>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ht="13" x14ac:dyDescent="0.3">
      <c r="B67" s="135">
        <v>38183392</v>
      </c>
      <c r="C67" s="136">
        <f>SUMPRODUCT(D2:G2,D67:G67)+C2</f>
        <v>40680802.017327949</v>
      </c>
      <c r="D67" s="29">
        <v>384.10000610351563</v>
      </c>
      <c r="E67" s="29">
        <v>0</v>
      </c>
      <c r="F67" s="29">
        <v>30</v>
      </c>
      <c r="G67" s="29">
        <v>1</v>
      </c>
      <c r="H67" s="29"/>
      <c r="I67" s="29"/>
      <c r="J67" s="29"/>
      <c r="K67" s="29"/>
      <c r="L67" s="29"/>
      <c r="M67" s="479">
        <f>C67-'Input - CDM'!C168</f>
        <v>38720205.678340405</v>
      </c>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ht="13" x14ac:dyDescent="0.3">
      <c r="B68" s="135">
        <v>37905008</v>
      </c>
      <c r="C68" s="136">
        <f>SUMPRODUCT(D2:G2,D68:G68)+C2</f>
        <v>40880462.09368822</v>
      </c>
      <c r="D68" s="29">
        <v>153.10000610351563</v>
      </c>
      <c r="E68" s="29">
        <v>24.399999618530273</v>
      </c>
      <c r="F68" s="29">
        <v>31</v>
      </c>
      <c r="G68" s="29">
        <v>1</v>
      </c>
      <c r="H68" s="29"/>
      <c r="I68" s="29"/>
      <c r="J68" s="29"/>
      <c r="K68" s="29"/>
      <c r="L68" s="29"/>
      <c r="M68" s="479">
        <f>C68-'Input - CDM'!C169</f>
        <v>38865846.74622228</v>
      </c>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ht="13" x14ac:dyDescent="0.3">
      <c r="B69" s="135">
        <v>41731484</v>
      </c>
      <c r="C69" s="136">
        <f>SUMPRODUCT(D2:G2,D69:G69)+C2</f>
        <v>42534091.256698757</v>
      </c>
      <c r="D69" s="29">
        <v>29.200000762939453</v>
      </c>
      <c r="E69" s="29">
        <v>51.700000762939453</v>
      </c>
      <c r="F69" s="29">
        <v>30</v>
      </c>
      <c r="G69" s="29">
        <v>0</v>
      </c>
      <c r="H69" s="29"/>
      <c r="I69" s="29"/>
      <c r="J69" s="29"/>
      <c r="K69" s="29"/>
      <c r="L69" s="29"/>
      <c r="M69" s="479">
        <f>C69-'Input - CDM'!C170</f>
        <v>40465456.900754422</v>
      </c>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ht="13" x14ac:dyDescent="0.3">
      <c r="B70" s="135">
        <v>49651544</v>
      </c>
      <c r="C70" s="136">
        <f>SUMPRODUCT(D2:G2,D70:G70)+C2</f>
        <v>52165991.163179889</v>
      </c>
      <c r="D70" s="29">
        <v>0</v>
      </c>
      <c r="E70" s="29">
        <v>140.69999694824219</v>
      </c>
      <c r="F70" s="29">
        <v>31</v>
      </c>
      <c r="G70" s="29">
        <v>0</v>
      </c>
      <c r="H70" s="29"/>
      <c r="I70" s="29"/>
      <c r="J70" s="29"/>
      <c r="K70" s="29"/>
      <c r="L70" s="29"/>
      <c r="M70" s="479">
        <f>C70-'Input - CDM'!C171</f>
        <v>50043337.798757166</v>
      </c>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ht="13" x14ac:dyDescent="0.3">
      <c r="B71" s="135">
        <v>53420000</v>
      </c>
      <c r="C71" s="136">
        <f>SUMPRODUCT(D2:G2,D71:G71)+C2</f>
        <v>54044359.374784648</v>
      </c>
      <c r="D71" s="29">
        <v>0.10000000149011612</v>
      </c>
      <c r="E71" s="29">
        <v>159.30000305175781</v>
      </c>
      <c r="F71" s="29">
        <v>31</v>
      </c>
      <c r="G71" s="29">
        <v>0</v>
      </c>
      <c r="H71" s="29"/>
      <c r="I71" s="29"/>
      <c r="J71" s="29"/>
      <c r="K71" s="29"/>
      <c r="L71" s="29"/>
      <c r="M71" s="479">
        <f>C71-'Input - CDM'!C172</f>
        <v>51867687.001883529</v>
      </c>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ht="13" x14ac:dyDescent="0.3">
      <c r="B72" s="135">
        <v>42224924</v>
      </c>
      <c r="C72" s="136">
        <f>SUMPRODUCT(D2:G2,D72:G72)+C2</f>
        <v>40484374.577504545</v>
      </c>
      <c r="D72" s="29">
        <v>34.299999237060547</v>
      </c>
      <c r="E72" s="29">
        <v>48.099998474121094</v>
      </c>
      <c r="F72" s="29">
        <v>30</v>
      </c>
      <c r="G72" s="29">
        <v>1</v>
      </c>
      <c r="H72" s="29"/>
      <c r="I72" s="29"/>
      <c r="J72" s="29"/>
      <c r="K72" s="29"/>
      <c r="L72" s="29"/>
      <c r="M72" s="479">
        <f>C72-'Input - CDM'!C173</f>
        <v>38253683.196125031</v>
      </c>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ht="13" x14ac:dyDescent="0.3">
      <c r="B73" s="135">
        <v>38494852</v>
      </c>
      <c r="C73" s="136">
        <f>SUMPRODUCT(D2:G2,D73:G73)+C2</f>
        <v>39591245.365656286</v>
      </c>
      <c r="D73" s="29">
        <v>198.69999694824219</v>
      </c>
      <c r="E73" s="29">
        <v>5.0999999046325684</v>
      </c>
      <c r="F73" s="29">
        <v>31</v>
      </c>
      <c r="G73" s="29">
        <v>1</v>
      </c>
      <c r="H73" s="29"/>
      <c r="I73" s="29"/>
      <c r="J73" s="29"/>
      <c r="K73" s="29"/>
      <c r="L73" s="29"/>
      <c r="M73" s="479">
        <f>C73-'Input - CDM'!C174</f>
        <v>37306534.975798383</v>
      </c>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ht="13" x14ac:dyDescent="0.3">
      <c r="B74" s="135">
        <v>39128468</v>
      </c>
      <c r="C74" s="136">
        <f>SUMPRODUCT(D2:G2,D74:G74)+C2</f>
        <v>40285218.118666455</v>
      </c>
      <c r="D74" s="29">
        <v>356.70001220703125</v>
      </c>
      <c r="E74" s="29">
        <v>0</v>
      </c>
      <c r="F74" s="29">
        <v>30</v>
      </c>
      <c r="G74" s="29">
        <v>1</v>
      </c>
      <c r="H74" s="29"/>
      <c r="I74" s="29"/>
      <c r="J74" s="29"/>
      <c r="K74" s="29"/>
      <c r="L74" s="29"/>
      <c r="M74" s="479">
        <f>C74-'Input - CDM'!C175</f>
        <v>37946488.720330156</v>
      </c>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35">
      <c r="B75" s="135">
        <v>44968072</v>
      </c>
      <c r="C75" s="136">
        <f>SUMPRODUCT(D2:G2,D75:G75)+C2</f>
        <v>46358971.325490311</v>
      </c>
      <c r="D75" s="29">
        <v>581.20001220703125</v>
      </c>
      <c r="E75" s="29">
        <v>0</v>
      </c>
      <c r="F75" s="29">
        <v>31</v>
      </c>
      <c r="G75" s="29">
        <v>0</v>
      </c>
      <c r="H75" s="29"/>
      <c r="I75" s="29"/>
      <c r="J75" s="29"/>
      <c r="K75" s="29"/>
      <c r="L75" s="29"/>
      <c r="M75" s="479">
        <f>C75-'Input - CDM'!C176</f>
        <v>43966222.918675616</v>
      </c>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ht="13" x14ac:dyDescent="0.3">
      <c r="B76" s="413">
        <v>45563984</v>
      </c>
      <c r="C76" s="136">
        <f>SUMPRODUCT(D2:G2,D76:G76)+C2</f>
        <v>46542326.123337567</v>
      </c>
      <c r="D76" s="29">
        <v>593.9000244140625</v>
      </c>
      <c r="E76" s="29">
        <v>0</v>
      </c>
      <c r="F76" s="29">
        <v>31</v>
      </c>
      <c r="G76" s="29">
        <v>0</v>
      </c>
      <c r="H76" s="29"/>
      <c r="I76" s="29"/>
      <c r="J76" s="29"/>
      <c r="K76" s="29"/>
      <c r="L76" s="29"/>
      <c r="M76" s="479">
        <f>C76-'Input - CDM'!C177</f>
        <v>44109763.632263258</v>
      </c>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ht="13" x14ac:dyDescent="0.3">
      <c r="B77" s="135">
        <v>40006268</v>
      </c>
      <c r="C77" s="136">
        <f>SUMPRODUCT(D2:G2,D77:G77)+C2</f>
        <v>41793045.032586396</v>
      </c>
      <c r="D77" s="29">
        <v>487.79998779296875</v>
      </c>
      <c r="E77" s="29">
        <v>0</v>
      </c>
      <c r="F77" s="29">
        <v>28</v>
      </c>
      <c r="G77" s="29">
        <v>0</v>
      </c>
      <c r="H77" s="29"/>
      <c r="I77" s="29"/>
      <c r="J77" s="29"/>
      <c r="K77" s="29"/>
      <c r="L77" s="29"/>
      <c r="M77" s="479">
        <f>C77-'Input - CDM'!C178</f>
        <v>39320668.457252473</v>
      </c>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ht="13" x14ac:dyDescent="0.3">
      <c r="B78" s="135">
        <v>44075608</v>
      </c>
      <c r="C78" s="136">
        <f>SUMPRODUCT(D2:G2,D78:G78)+C2</f>
        <v>44224971.607142136</v>
      </c>
      <c r="D78" s="29">
        <v>555.29998779296875</v>
      </c>
      <c r="E78" s="29">
        <v>0</v>
      </c>
      <c r="F78" s="29">
        <v>31</v>
      </c>
      <c r="G78" s="29">
        <v>1</v>
      </c>
      <c r="H78" s="29"/>
      <c r="I78" s="29"/>
      <c r="J78" s="29"/>
      <c r="K78" s="29"/>
      <c r="L78" s="29"/>
      <c r="M78" s="479">
        <f>C78-'Input - CDM'!C179</f>
        <v>41712780.947548598</v>
      </c>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ht="13" x14ac:dyDescent="0.3">
      <c r="B79" s="135">
        <v>37499468</v>
      </c>
      <c r="C79" s="136">
        <f>SUMPRODUCT(D2:G2,D79:G79)+C2</f>
        <v>38965566.126673892</v>
      </c>
      <c r="D79" s="29">
        <v>261.79998779296875</v>
      </c>
      <c r="E79" s="29">
        <v>0.5</v>
      </c>
      <c r="F79" s="29">
        <v>30</v>
      </c>
      <c r="G79" s="29">
        <v>1</v>
      </c>
      <c r="H79" s="29"/>
      <c r="I79" s="29"/>
      <c r="J79" s="29"/>
      <c r="K79" s="29"/>
      <c r="L79" s="29"/>
      <c r="M79" s="479">
        <f>C79-'Input - CDM'!C180</f>
        <v>36413561.382820748</v>
      </c>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ht="13" x14ac:dyDescent="0.3">
      <c r="B80" s="135">
        <v>38224944</v>
      </c>
      <c r="C80" s="136">
        <f>SUMPRODUCT(D2:G2,D80:G80)+C2</f>
        <v>39293623.200089246</v>
      </c>
      <c r="D80" s="29">
        <v>168.30000305175781</v>
      </c>
      <c r="E80" s="29">
        <v>6.5</v>
      </c>
      <c r="F80" s="29">
        <v>31</v>
      </c>
      <c r="G80" s="29">
        <v>1</v>
      </c>
      <c r="H80" s="29"/>
      <c r="I80" s="29"/>
      <c r="J80" s="29"/>
      <c r="K80" s="29"/>
      <c r="L80" s="29"/>
      <c r="M80" s="479">
        <f>C80-'Input - CDM'!C181</f>
        <v>36701804.371976487</v>
      </c>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ht="13" x14ac:dyDescent="0.3">
      <c r="B81" s="135">
        <v>40787416</v>
      </c>
      <c r="C81" s="136">
        <f>SUMPRODUCT(D2:G2,D81:G81)+C2</f>
        <v>43642732.078796059</v>
      </c>
      <c r="D81" s="29">
        <v>32.599998474121094</v>
      </c>
      <c r="E81" s="29">
        <v>62.200000762939453</v>
      </c>
      <c r="F81" s="29">
        <v>30</v>
      </c>
      <c r="G81" s="29">
        <v>0</v>
      </c>
      <c r="H81" s="29"/>
      <c r="I81" s="29"/>
      <c r="J81" s="29"/>
      <c r="K81" s="29"/>
      <c r="L81" s="29"/>
      <c r="M81" s="479">
        <f>C81-'Input - CDM'!C182</f>
        <v>41011099.166423686</v>
      </c>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ht="13" x14ac:dyDescent="0.3">
      <c r="B82" s="135">
        <v>46945436</v>
      </c>
      <c r="C82" s="136">
        <f>SUMPRODUCT(D2:G2,D82:G82)+C2</f>
        <v>46889893.591830686</v>
      </c>
      <c r="D82" s="29">
        <v>2.2000000476837158</v>
      </c>
      <c r="E82" s="29">
        <v>88.099998474121094</v>
      </c>
      <c r="F82" s="29">
        <v>31</v>
      </c>
      <c r="G82" s="29">
        <v>0</v>
      </c>
      <c r="H82" s="29"/>
      <c r="I82" s="29"/>
      <c r="J82" s="29"/>
      <c r="K82" s="29"/>
      <c r="L82" s="29"/>
      <c r="M82" s="479">
        <f>C82-'Input - CDM'!C183</f>
        <v>44218446.595198698</v>
      </c>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ht="13" x14ac:dyDescent="0.3">
      <c r="B83" s="135">
        <v>46291216</v>
      </c>
      <c r="C83" s="136">
        <f>SUMPRODUCT(D2:G2,D83:G83)+C2</f>
        <v>43371390.293923452</v>
      </c>
      <c r="D83" s="29">
        <v>19.200000762939453</v>
      </c>
      <c r="E83" s="29">
        <v>50.799999237060547</v>
      </c>
      <c r="F83" s="29">
        <v>31</v>
      </c>
      <c r="G83" s="29">
        <v>0</v>
      </c>
      <c r="H83" s="29"/>
      <c r="I83" s="29"/>
      <c r="J83" s="29"/>
      <c r="K83" s="29"/>
      <c r="L83" s="29"/>
      <c r="M83" s="479">
        <f>C83-'Input - CDM'!C184</f>
        <v>40660129.213031851</v>
      </c>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ht="13" x14ac:dyDescent="0.3">
      <c r="B84" s="135">
        <v>41724060</v>
      </c>
      <c r="C84" s="136">
        <f>SUMPRODUCT(D2:G2,D84:G84)+C2</f>
        <v>41070349.898671895</v>
      </c>
      <c r="D84" s="29">
        <v>66.5</v>
      </c>
      <c r="E84" s="29">
        <v>49.299999237060547</v>
      </c>
      <c r="F84" s="29">
        <v>30</v>
      </c>
      <c r="G84" s="29">
        <v>1</v>
      </c>
      <c r="H84" s="29"/>
      <c r="I84" s="29"/>
      <c r="J84" s="29"/>
      <c r="K84" s="29"/>
      <c r="L84" s="29"/>
      <c r="M84" s="479">
        <f>C84-'Input - CDM'!C185</f>
        <v>38319274.733520679</v>
      </c>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ht="13" x14ac:dyDescent="0.3">
      <c r="B85" s="135">
        <v>39047668</v>
      </c>
      <c r="C85" s="136">
        <f>SUMPRODUCT(D2:G2,D85:G85)+C2</f>
        <v>39048203.017147958</v>
      </c>
      <c r="D85" s="29">
        <v>152</v>
      </c>
      <c r="E85" s="29">
        <v>6.4000000953674316</v>
      </c>
      <c r="F85" s="29">
        <v>31</v>
      </c>
      <c r="G85" s="29">
        <v>1</v>
      </c>
      <c r="H85" s="29"/>
      <c r="I85" s="29"/>
      <c r="J85" s="29"/>
      <c r="K85" s="29"/>
      <c r="L85" s="29"/>
      <c r="M85" s="479">
        <f>C85-'Input - CDM'!C186</f>
        <v>36257313.767737128</v>
      </c>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ht="13" x14ac:dyDescent="0.3">
      <c r="B86" s="135">
        <v>41779656</v>
      </c>
      <c r="C86" s="136">
        <f>SUMPRODUCT(D2:G2,D86:G86)+C2</f>
        <v>41291502.667397186</v>
      </c>
      <c r="D86" s="29">
        <v>426.39999389648438</v>
      </c>
      <c r="E86" s="29">
        <v>0</v>
      </c>
      <c r="F86" s="29">
        <v>30</v>
      </c>
      <c r="G86" s="29">
        <v>1</v>
      </c>
      <c r="H86" s="29"/>
      <c r="I86" s="29"/>
      <c r="J86" s="29"/>
      <c r="K86" s="29"/>
      <c r="L86" s="29"/>
      <c r="M86" s="479">
        <f>C86-'Input - CDM'!C187</f>
        <v>38460799.333726741</v>
      </c>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ht="13" x14ac:dyDescent="0.3">
      <c r="B87" s="135">
        <v>46781760</v>
      </c>
      <c r="C87" s="136">
        <f>SUMPRODUCT(D2:G2,D87:G87)+C2</f>
        <v>48237273.041632444</v>
      </c>
      <c r="D87" s="29">
        <v>711.29998779296875</v>
      </c>
      <c r="E87" s="29">
        <v>0</v>
      </c>
      <c r="F87" s="29">
        <v>31</v>
      </c>
      <c r="G87" s="29">
        <v>0</v>
      </c>
      <c r="H87" s="29"/>
      <c r="I87" s="29"/>
      <c r="J87" s="29"/>
      <c r="K87" s="29"/>
      <c r="L87" s="29"/>
      <c r="M87" s="479">
        <f>C87-'Input - CDM'!C188</f>
        <v>45366755.623702385</v>
      </c>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ht="13" x14ac:dyDescent="0.3">
      <c r="B88" s="135">
        <v>49984440</v>
      </c>
      <c r="C88" s="136">
        <f>SUMPRODUCT(D2:G2,D88:G88)+C2</f>
        <v>48521689.441941798</v>
      </c>
      <c r="D88" s="29">
        <v>731</v>
      </c>
      <c r="E88" s="29">
        <v>0</v>
      </c>
      <c r="F88" s="29">
        <v>31</v>
      </c>
      <c r="G88" s="29">
        <v>0</v>
      </c>
      <c r="H88" s="29"/>
      <c r="I88" s="29"/>
      <c r="J88" s="29"/>
      <c r="K88" s="29"/>
      <c r="L88" s="29"/>
      <c r="M88" s="479">
        <f>C88-'Input - CDM'!C189</f>
        <v>45631970.155091375</v>
      </c>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ht="13" x14ac:dyDescent="0.3">
      <c r="B89" s="135">
        <v>42540524</v>
      </c>
      <c r="C89" s="136">
        <f>SUMPRODUCT(D2:G2,D89:G89)+C2</f>
        <v>42551007.051052138</v>
      </c>
      <c r="D89" s="29">
        <v>540.29998779296875</v>
      </c>
      <c r="E89" s="29">
        <v>0</v>
      </c>
      <c r="F89" s="29">
        <v>28</v>
      </c>
      <c r="G89" s="29">
        <v>0</v>
      </c>
      <c r="H89" s="29"/>
      <c r="I89" s="29"/>
      <c r="J89" s="29"/>
      <c r="K89" s="29"/>
      <c r="L89" s="29"/>
      <c r="M89" s="479">
        <f>C89-'Input - CDM'!C190</f>
        <v>39642085.89528136</v>
      </c>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ht="13" x14ac:dyDescent="0.3">
      <c r="B90" s="135">
        <v>44585032</v>
      </c>
      <c r="C90" s="136">
        <f>SUMPRODUCT(D2:G2,D90:G90)+C2</f>
        <v>44548369.087495759</v>
      </c>
      <c r="D90" s="29">
        <v>577.70001220703125</v>
      </c>
      <c r="E90" s="29">
        <v>0</v>
      </c>
      <c r="F90" s="29">
        <v>31</v>
      </c>
      <c r="G90" s="29">
        <v>1</v>
      </c>
      <c r="H90" s="29"/>
      <c r="I90" s="29"/>
      <c r="J90" s="29"/>
      <c r="K90" s="29"/>
      <c r="L90" s="29"/>
      <c r="M90" s="479">
        <f>C90-'Input - CDM'!C191</f>
        <v>41620246.062804617</v>
      </c>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ht="13" x14ac:dyDescent="0.3">
      <c r="B91" s="135">
        <v>41562096</v>
      </c>
      <c r="C91" s="136">
        <f>SUMPRODUCT(D2:G2,D91:G91)+C2</f>
        <v>41463307.30346404</v>
      </c>
      <c r="D91" s="29">
        <v>438.29998779296875</v>
      </c>
      <c r="E91" s="29">
        <v>0</v>
      </c>
      <c r="F91" s="29">
        <v>30</v>
      </c>
      <c r="G91" s="29">
        <v>1</v>
      </c>
      <c r="H91" s="29"/>
      <c r="I91" s="29"/>
      <c r="J91" s="29"/>
      <c r="K91" s="29"/>
      <c r="L91" s="29"/>
      <c r="M91" s="479">
        <f>C91-'Input - CDM'!C192</f>
        <v>38515982.409852535</v>
      </c>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ht="13" x14ac:dyDescent="0.3">
      <c r="B92" s="135">
        <v>39028400</v>
      </c>
      <c r="C92" s="136">
        <f>SUMPRODUCT(D2:G2,D92:G92)+C2</f>
        <v>40442160.038550392</v>
      </c>
      <c r="D92" s="29">
        <v>83.599998474121094</v>
      </c>
      <c r="E92" s="29">
        <v>30</v>
      </c>
      <c r="F92" s="29">
        <v>31</v>
      </c>
      <c r="G92" s="29">
        <v>1</v>
      </c>
      <c r="H92" s="29"/>
      <c r="I92" s="29"/>
      <c r="J92" s="29"/>
      <c r="K92" s="29"/>
      <c r="L92" s="29"/>
      <c r="M92" s="479">
        <f>C92-'Input - CDM'!C193</f>
        <v>37475633.27601853</v>
      </c>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ht="13" x14ac:dyDescent="0.3">
      <c r="B93" s="135">
        <v>41986096</v>
      </c>
      <c r="C93" s="136">
        <f>SUMPRODUCT(D2:G2,D93:G93)+C2</f>
        <v>42025043.577504247</v>
      </c>
      <c r="D93" s="29">
        <v>21.200000762939453</v>
      </c>
      <c r="E93" s="29">
        <v>47.799999237060547</v>
      </c>
      <c r="F93" s="29">
        <v>30</v>
      </c>
      <c r="G93" s="29">
        <v>0</v>
      </c>
      <c r="H93" s="29"/>
      <c r="I93" s="29"/>
      <c r="J93" s="29"/>
      <c r="K93" s="29"/>
      <c r="L93" s="29"/>
      <c r="M93" s="479">
        <f>C93-'Input - CDM'!C194</f>
        <v>39039314.946052022</v>
      </c>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ht="13" x14ac:dyDescent="0.3">
      <c r="B94" s="135">
        <v>53081244</v>
      </c>
      <c r="C94" s="136">
        <f>SUMPRODUCT(D2:G2,D94:G94)+C2</f>
        <v>51843079.839562505</v>
      </c>
      <c r="D94" s="29">
        <v>0</v>
      </c>
      <c r="E94" s="29">
        <v>137.5</v>
      </c>
      <c r="F94" s="29">
        <v>31</v>
      </c>
      <c r="G94" s="29">
        <v>0</v>
      </c>
      <c r="H94" s="29"/>
      <c r="I94" s="29"/>
      <c r="J94" s="29"/>
      <c r="K94" s="29"/>
      <c r="L94" s="29"/>
      <c r="M94" s="479">
        <f>C94-'Input - CDM'!C195</f>
        <v>48838149.339189917</v>
      </c>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ht="13" x14ac:dyDescent="0.3">
      <c r="B95" s="135">
        <v>52182220</v>
      </c>
      <c r="C95" s="136">
        <f>SUMPRODUCT(D2:G2,D95:G95)+C2</f>
        <v>50503896.189069599</v>
      </c>
      <c r="D95" s="29">
        <v>1.6000000238418579</v>
      </c>
      <c r="E95" s="29">
        <v>124</v>
      </c>
      <c r="F95" s="29">
        <v>31</v>
      </c>
      <c r="G95" s="29">
        <v>0</v>
      </c>
      <c r="H95" s="29"/>
      <c r="I95" s="29"/>
      <c r="J95" s="29"/>
      <c r="K95" s="29"/>
      <c r="L95" s="29"/>
      <c r="M95" s="479">
        <f>C95-'Input - CDM'!C196</f>
        <v>47479763.819776654</v>
      </c>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ht="13" x14ac:dyDescent="0.3">
      <c r="B96" s="135">
        <v>44539876</v>
      </c>
      <c r="C96" s="136">
        <f>SUMPRODUCT(D2:G2,D96:G96)+C2</f>
        <v>42964386.60564366</v>
      </c>
      <c r="D96" s="29">
        <v>57.900001525878906</v>
      </c>
      <c r="E96" s="29">
        <v>69.300003051757813</v>
      </c>
      <c r="F96" s="29">
        <v>30</v>
      </c>
      <c r="G96" s="29">
        <v>1</v>
      </c>
      <c r="H96" s="29"/>
      <c r="I96" s="29"/>
      <c r="J96" s="29"/>
      <c r="K96" s="29"/>
      <c r="L96" s="29"/>
      <c r="M96" s="479">
        <f>C96-'Input - CDM'!C197</f>
        <v>39921052.367430352</v>
      </c>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ht="13" x14ac:dyDescent="0.3">
      <c r="B97" s="135">
        <v>40825888</v>
      </c>
      <c r="C97" s="136">
        <f>SUMPRODUCT(D2:G2,D97:G97)+C2</f>
        <v>41055728.564192131</v>
      </c>
      <c r="D97" s="29">
        <v>258.20001220703125</v>
      </c>
      <c r="E97" s="29">
        <v>11.100000381469727</v>
      </c>
      <c r="F97" s="29">
        <v>31</v>
      </c>
      <c r="G97" s="29">
        <v>1</v>
      </c>
      <c r="H97" s="29"/>
      <c r="I97" s="29"/>
      <c r="J97" s="29"/>
      <c r="K97" s="29"/>
      <c r="L97" s="29"/>
      <c r="M97" s="479">
        <f>C97-'Input - CDM'!C198</f>
        <v>37993192.45705846</v>
      </c>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ht="13" x14ac:dyDescent="0.3">
      <c r="B98" s="135">
        <v>43133192</v>
      </c>
      <c r="C98" s="136">
        <f>SUMPRODUCT(D2:G2,D98:G98)+C2</f>
        <v>42062458.23234649</v>
      </c>
      <c r="D98" s="29">
        <v>479.79998779296875</v>
      </c>
      <c r="E98" s="29">
        <v>0</v>
      </c>
      <c r="F98" s="29">
        <v>30</v>
      </c>
      <c r="G98" s="29">
        <v>1</v>
      </c>
      <c r="H98" s="29"/>
      <c r="I98" s="29"/>
      <c r="J98" s="29"/>
      <c r="K98" s="29"/>
      <c r="L98" s="29"/>
      <c r="M98" s="479">
        <f>C98-'Input - CDM'!C199</f>
        <v>38980720.256292462</v>
      </c>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35">
      <c r="B99" s="135">
        <v>45120216</v>
      </c>
      <c r="C99" s="136">
        <f>SUMPRODUCT(D2:G2,D99:G99)+C2</f>
        <v>45914300.45089452</v>
      </c>
      <c r="D99" s="29">
        <v>550.4000244140625</v>
      </c>
      <c r="E99" s="29">
        <v>0</v>
      </c>
      <c r="F99" s="29">
        <v>31</v>
      </c>
      <c r="G99" s="29">
        <v>0</v>
      </c>
      <c r="H99" s="29"/>
      <c r="I99" s="29"/>
      <c r="J99" s="29"/>
      <c r="K99" s="29"/>
      <c r="L99" s="29"/>
      <c r="M99" s="479">
        <f>C99-'Input - CDM'!C200</f>
        <v>42813360.605920129</v>
      </c>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ht="13" x14ac:dyDescent="0.3">
      <c r="B100" s="413">
        <v>49781960</v>
      </c>
      <c r="C100" s="136">
        <f>SUMPRODUCT(D2:G2,D100:G100)+C2</f>
        <v>48453833.618336946</v>
      </c>
      <c r="D100" s="29">
        <v>726.29998779296875</v>
      </c>
      <c r="E100" s="29">
        <v>0</v>
      </c>
      <c r="F100" s="29">
        <v>31</v>
      </c>
      <c r="G100" s="29">
        <v>0</v>
      </c>
      <c r="H100" s="29"/>
      <c r="I100" s="29"/>
      <c r="J100" s="29"/>
      <c r="K100" s="29"/>
      <c r="L100" s="29"/>
      <c r="M100" s="479">
        <f>C100-'Input - CDM'!C201</f>
        <v>45350456.011464626</v>
      </c>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ht="13" x14ac:dyDescent="0.3">
      <c r="B101" s="135">
        <v>44300280</v>
      </c>
      <c r="C101" s="136">
        <f>SUMPRODUCT(D2:G2,D101:G101)+C2</f>
        <v>43236782.210616395</v>
      </c>
      <c r="D101" s="29">
        <v>587.79998779296875</v>
      </c>
      <c r="E101" s="29">
        <v>0</v>
      </c>
      <c r="F101" s="29">
        <v>28</v>
      </c>
      <c r="G101" s="29">
        <v>0</v>
      </c>
      <c r="H101" s="29"/>
      <c r="I101" s="29"/>
      <c r="J101" s="29"/>
      <c r="K101" s="29"/>
      <c r="L101" s="29"/>
      <c r="M101" s="479">
        <f>C101-'Input - CDM'!C202</f>
        <v>40130966.841846146</v>
      </c>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ht="13" x14ac:dyDescent="0.3">
      <c r="B102" s="135">
        <v>45198752</v>
      </c>
      <c r="C102" s="136">
        <f>SUMPRODUCT(D2:G2,D102:G102)+C2</f>
        <v>44841447.558398396</v>
      </c>
      <c r="D102" s="29">
        <v>598</v>
      </c>
      <c r="E102" s="29">
        <v>0</v>
      </c>
      <c r="F102" s="29">
        <v>31</v>
      </c>
      <c r="G102" s="29">
        <v>1</v>
      </c>
      <c r="H102" s="29"/>
      <c r="I102" s="29"/>
      <c r="J102" s="29"/>
      <c r="K102" s="29"/>
      <c r="L102" s="29"/>
      <c r="M102" s="479">
        <f>C102-'Input - CDM'!C203</f>
        <v>41733194.427730218</v>
      </c>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ht="13" x14ac:dyDescent="0.3">
      <c r="B103" s="135">
        <v>39650440</v>
      </c>
      <c r="C103" s="136">
        <f>SUMPRODUCT(D2:G2,D103:G103)+C2</f>
        <v>39958933.428312957</v>
      </c>
      <c r="D103" s="29">
        <v>334.10000610351563</v>
      </c>
      <c r="E103" s="29">
        <v>0</v>
      </c>
      <c r="F103" s="29">
        <v>30</v>
      </c>
      <c r="G103" s="29">
        <v>1</v>
      </c>
      <c r="H103" s="29"/>
      <c r="I103" s="29"/>
      <c r="J103" s="29"/>
      <c r="K103" s="29"/>
      <c r="L103" s="29"/>
      <c r="M103" s="479">
        <f>C103-'Input - CDM'!C204</f>
        <v>36848242.53574685</v>
      </c>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ht="13" x14ac:dyDescent="0.3">
      <c r="B104" s="135">
        <v>38645132</v>
      </c>
      <c r="C104" s="136">
        <f>SUMPRODUCT(D2:G2,D104:G104)+C2</f>
        <v>38897308.455904067</v>
      </c>
      <c r="D104" s="29">
        <v>173.69999694824219</v>
      </c>
      <c r="E104" s="29">
        <v>1.7999999523162842</v>
      </c>
      <c r="F104" s="29">
        <v>31</v>
      </c>
      <c r="G104" s="29">
        <v>1</v>
      </c>
      <c r="H104" s="29"/>
      <c r="I104" s="29"/>
      <c r="J104" s="29"/>
      <c r="K104" s="29"/>
      <c r="L104" s="29"/>
      <c r="M104" s="479">
        <f>C104-'Input - CDM'!C205</f>
        <v>35784179.80144003</v>
      </c>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ht="13" x14ac:dyDescent="0.3">
      <c r="B105" s="135">
        <v>40266460</v>
      </c>
      <c r="C105" s="136">
        <f>SUMPRODUCT(D2:G2,D105:G105)+C2</f>
        <v>40589508.796685845</v>
      </c>
      <c r="D105" s="29">
        <v>33.599998474121094</v>
      </c>
      <c r="E105" s="29">
        <v>31.799999237060547</v>
      </c>
      <c r="F105" s="29">
        <v>30</v>
      </c>
      <c r="G105" s="29">
        <v>0</v>
      </c>
      <c r="H105" s="29"/>
      <c r="I105" s="29"/>
      <c r="J105" s="29"/>
      <c r="K105" s="29"/>
      <c r="L105" s="29"/>
      <c r="M105" s="479">
        <f>C105-'Input - CDM'!C206</f>
        <v>37473942.380323879</v>
      </c>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ht="13" x14ac:dyDescent="0.3">
      <c r="B106" s="135">
        <v>52282280</v>
      </c>
      <c r="C106" s="136">
        <f>SUMPRODUCT(D2:G2,D106:G106)+C2</f>
        <v>52478812.422168314</v>
      </c>
      <c r="D106" s="29">
        <v>0</v>
      </c>
      <c r="E106" s="29">
        <v>143.80000305175781</v>
      </c>
      <c r="F106" s="29">
        <v>31</v>
      </c>
      <c r="G106" s="29">
        <v>0</v>
      </c>
      <c r="H106" s="29"/>
      <c r="I106" s="29"/>
      <c r="J106" s="29"/>
      <c r="K106" s="29"/>
      <c r="L106" s="29"/>
      <c r="M106" s="479">
        <f>C106-'Input - CDM'!C207</f>
        <v>49360808.24390842</v>
      </c>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ht="13" x14ac:dyDescent="0.3">
      <c r="B107" s="135">
        <v>49027500</v>
      </c>
      <c r="C107" s="136">
        <f>SUMPRODUCT(D2:G2,D107:G107)+C2</f>
        <v>45703533.829140633</v>
      </c>
      <c r="D107" s="29">
        <v>4.5999999046325684</v>
      </c>
      <c r="E107" s="29">
        <v>76</v>
      </c>
      <c r="F107" s="29">
        <v>31</v>
      </c>
      <c r="G107" s="29">
        <v>0</v>
      </c>
      <c r="H107" s="29"/>
      <c r="I107" s="29"/>
      <c r="J107" s="29"/>
      <c r="K107" s="29"/>
      <c r="L107" s="29"/>
      <c r="M107" s="479">
        <f>C107-'Input - CDM'!C208</f>
        <v>42583091.88898281</v>
      </c>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ht="13" x14ac:dyDescent="0.3">
      <c r="B108" s="135">
        <v>40657028</v>
      </c>
      <c r="C108" s="136">
        <f>SUMPRODUCT(D2:G2,D108:G108)+C2</f>
        <v>36767958.028300628</v>
      </c>
      <c r="D108" s="29">
        <v>32</v>
      </c>
      <c r="E108" s="29">
        <v>11.600000381469727</v>
      </c>
      <c r="F108" s="29">
        <v>30</v>
      </c>
      <c r="G108" s="29">
        <v>1</v>
      </c>
      <c r="H108" s="29"/>
      <c r="I108" s="29"/>
      <c r="J108" s="29"/>
      <c r="K108" s="29"/>
      <c r="L108" s="29"/>
      <c r="M108" s="479">
        <f>C108-'Input - CDM'!C209</f>
        <v>33645078.326244876</v>
      </c>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ht="13" x14ac:dyDescent="0.3">
      <c r="B109" s="135">
        <v>39301848</v>
      </c>
      <c r="C109" s="136">
        <f>SUMPRODUCT(D2:G2,D109:G109)+C2</f>
        <v>39790663.132527903</v>
      </c>
      <c r="D109" s="29">
        <v>220.89999389648438</v>
      </c>
      <c r="E109" s="29">
        <v>3.9000000953674316</v>
      </c>
      <c r="F109" s="29">
        <v>31</v>
      </c>
      <c r="G109" s="29">
        <v>1</v>
      </c>
      <c r="H109" s="29"/>
      <c r="I109" s="29"/>
      <c r="J109" s="29"/>
      <c r="K109" s="29"/>
      <c r="L109" s="29"/>
      <c r="M109" s="479">
        <f>C109-'Input - CDM'!C210</f>
        <v>36665345.668574221</v>
      </c>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ht="13" x14ac:dyDescent="0.3">
      <c r="B110" s="135">
        <v>42865196</v>
      </c>
      <c r="C110" s="136">
        <f>SUMPRODUCT(D2:G2,D110:G110)+C2</f>
        <v>42393074.398590252</v>
      </c>
      <c r="D110" s="29">
        <v>502.70001220703125</v>
      </c>
      <c r="E110" s="29">
        <v>0</v>
      </c>
      <c r="F110" s="29">
        <v>30</v>
      </c>
      <c r="G110" s="29">
        <v>1</v>
      </c>
      <c r="H110" s="29"/>
      <c r="I110" s="29"/>
      <c r="J110" s="29"/>
      <c r="K110" s="29"/>
      <c r="L110" s="29"/>
      <c r="M110" s="479">
        <f>C110-'Input - CDM'!C211</f>
        <v>39265319.172738642</v>
      </c>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ht="13" x14ac:dyDescent="0.3">
      <c r="B111" s="135">
        <v>45454040</v>
      </c>
      <c r="C111" s="136">
        <f>SUMPRODUCT(D2:G2,D111:G111)+C2</f>
        <v>46119310.42522499</v>
      </c>
      <c r="D111" s="29">
        <v>564.5999755859375</v>
      </c>
      <c r="E111" s="29">
        <v>0</v>
      </c>
      <c r="F111" s="29">
        <v>31</v>
      </c>
      <c r="G111" s="29">
        <v>0</v>
      </c>
      <c r="H111" s="29"/>
      <c r="I111" s="29"/>
      <c r="J111" s="29"/>
      <c r="K111" s="29"/>
      <c r="L111" s="29"/>
      <c r="M111" s="479">
        <f>C111-'Input - CDM'!C212</f>
        <v>42989117.437475458</v>
      </c>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ht="13" x14ac:dyDescent="0.3">
      <c r="B112" s="135">
        <v>46627280</v>
      </c>
      <c r="C112" s="136">
        <f>SUMPRODUCT(D2:G2,D112:G112)+C2</f>
        <v>46145298.399379313</v>
      </c>
      <c r="D112" s="29">
        <v>566.4000244140625</v>
      </c>
      <c r="E112" s="29">
        <v>0</v>
      </c>
      <c r="F112" s="29">
        <v>31</v>
      </c>
      <c r="G112" s="29">
        <v>0</v>
      </c>
      <c r="H112" s="29"/>
      <c r="I112" s="29"/>
      <c r="J112" s="29"/>
      <c r="K112" s="29"/>
      <c r="L112" s="29"/>
      <c r="M112" s="479">
        <f>C112-'Input - CDM'!C213</f>
        <v>43017007.533571973</v>
      </c>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ht="13" x14ac:dyDescent="0.3">
      <c r="B113" s="135">
        <v>43893612</v>
      </c>
      <c r="C113" s="136">
        <f>SUMPRODUCT(D2:G2,D113:G113)+C2</f>
        <v>44296280.91010946</v>
      </c>
      <c r="D113" s="29">
        <v>586.9000244140625</v>
      </c>
      <c r="E113" s="29">
        <v>0</v>
      </c>
      <c r="F113" s="29">
        <v>29</v>
      </c>
      <c r="G113" s="29">
        <v>0</v>
      </c>
      <c r="H113" s="29"/>
      <c r="I113" s="29"/>
      <c r="J113" s="29"/>
      <c r="K113" s="29"/>
      <c r="L113" s="29"/>
      <c r="M113" s="479">
        <f>C113-'Input - CDM'!C214</f>
        <v>41169892.166244321</v>
      </c>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ht="13" x14ac:dyDescent="0.3">
      <c r="B114" s="135">
        <v>42577132</v>
      </c>
      <c r="C114" s="136">
        <f>SUMPRODUCT(D2:G2,D114:G114)+C2</f>
        <v>42470830.935835689</v>
      </c>
      <c r="D114" s="29">
        <v>433.79998779296875</v>
      </c>
      <c r="E114" s="29">
        <v>0</v>
      </c>
      <c r="F114" s="29">
        <v>31</v>
      </c>
      <c r="G114" s="29">
        <v>1</v>
      </c>
      <c r="H114" s="29"/>
      <c r="I114" s="29"/>
      <c r="J114" s="29"/>
      <c r="K114" s="29"/>
      <c r="L114" s="29"/>
      <c r="M114" s="479">
        <f>C114-'Input - CDM'!C215</f>
        <v>39346344.313912749</v>
      </c>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ht="13" x14ac:dyDescent="0.3">
      <c r="B115" s="135">
        <v>37611548</v>
      </c>
      <c r="C115" s="136">
        <f>SUMPRODUCT(D2:G2,D115:G115)+C2</f>
        <v>40519103.277151138</v>
      </c>
      <c r="D115" s="29">
        <v>372.89999389648438</v>
      </c>
      <c r="E115" s="29">
        <v>0</v>
      </c>
      <c r="F115" s="29">
        <v>30</v>
      </c>
      <c r="G115" s="29">
        <v>1</v>
      </c>
      <c r="H115" s="29"/>
      <c r="I115" s="29"/>
      <c r="J115" s="29"/>
      <c r="K115" s="29"/>
      <c r="L115" s="29"/>
      <c r="M115" s="479">
        <f>C115-'Input - CDM'!C216</f>
        <v>37396518.777170397</v>
      </c>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ht="13" x14ac:dyDescent="0.3">
      <c r="B116" s="135">
        <v>38131292</v>
      </c>
      <c r="C116" s="136">
        <f>SUMPRODUCT(D2:G2,D116:G116)+C2</f>
        <v>41510174.036732197</v>
      </c>
      <c r="D116" s="29">
        <v>207.89999389648438</v>
      </c>
      <c r="E116" s="29">
        <v>22.799999237060547</v>
      </c>
      <c r="F116" s="29">
        <v>31</v>
      </c>
      <c r="G116" s="29">
        <v>1</v>
      </c>
      <c r="H116" s="29"/>
      <c r="I116" s="29"/>
      <c r="J116" s="29"/>
      <c r="K116" s="29"/>
      <c r="L116" s="29"/>
      <c r="M116" s="479">
        <f>C116-'Input - CDM'!C217</f>
        <v>38389491.658693656</v>
      </c>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ht="13" x14ac:dyDescent="0.3">
      <c r="B117" s="135">
        <v>42157080</v>
      </c>
      <c r="C117" s="136">
        <f>SUMPRODUCT(D2:G2,D117:G117)+C2</f>
        <v>44729564.795759946</v>
      </c>
      <c r="D117" s="29">
        <v>27.5</v>
      </c>
      <c r="E117" s="29">
        <v>73.699996948242188</v>
      </c>
      <c r="F117" s="29">
        <v>30</v>
      </c>
      <c r="G117" s="29">
        <v>0</v>
      </c>
      <c r="H117" s="29"/>
      <c r="I117" s="29"/>
      <c r="J117" s="29"/>
      <c r="K117" s="29"/>
      <c r="L117" s="29"/>
      <c r="M117" s="479">
        <f>C117-'Input - CDM'!C218</f>
        <v>41610784.539663605</v>
      </c>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ht="13" x14ac:dyDescent="0.3">
      <c r="B118" s="135">
        <v>54824440</v>
      </c>
      <c r="C118" s="136">
        <f>SUMPRODUCT(D2:G2,D118:G118)+C2</f>
        <v>54971286.270396098</v>
      </c>
      <c r="D118" s="29">
        <v>0</v>
      </c>
      <c r="E118" s="29">
        <v>168.5</v>
      </c>
      <c r="F118" s="29">
        <v>31</v>
      </c>
      <c r="G118" s="29">
        <v>0</v>
      </c>
      <c r="H118" s="29"/>
      <c r="I118" s="29"/>
      <c r="J118" s="29"/>
      <c r="K118" s="29"/>
      <c r="L118" s="29"/>
      <c r="M118" s="479">
        <f>C118-'Input - CDM'!C219</f>
        <v>51854408.136241958</v>
      </c>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ht="13" x14ac:dyDescent="0.3">
      <c r="B119" s="135">
        <v>49369900</v>
      </c>
      <c r="C119" s="136">
        <f>SUMPRODUCT(D2:G2,D119:G119)+C2</f>
        <v>47638055.304910287</v>
      </c>
      <c r="D119" s="29">
        <v>1.6000000238418579</v>
      </c>
      <c r="E119" s="29">
        <v>95.599998474121094</v>
      </c>
      <c r="F119" s="29">
        <v>31</v>
      </c>
      <c r="G119" s="29">
        <v>0</v>
      </c>
      <c r="H119" s="29"/>
      <c r="I119" s="29"/>
      <c r="J119" s="29"/>
      <c r="K119" s="29"/>
      <c r="L119" s="29"/>
      <c r="M119" s="479">
        <f>C119-'Input - CDM'!C220</f>
        <v>44523079.292698346</v>
      </c>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ht="13" x14ac:dyDescent="0.3">
      <c r="B120" s="135">
        <v>39821248</v>
      </c>
      <c r="C120" s="136">
        <f>SUMPRODUCT(D2:G2,D120:G120)+C2</f>
        <v>38579501.579279467</v>
      </c>
      <c r="D120" s="29">
        <v>75</v>
      </c>
      <c r="E120" s="29">
        <v>23.399999618530273</v>
      </c>
      <c r="F120" s="29">
        <v>30</v>
      </c>
      <c r="G120" s="29">
        <v>1</v>
      </c>
      <c r="H120" s="29"/>
      <c r="I120" s="29"/>
      <c r="J120" s="29"/>
      <c r="K120" s="29"/>
      <c r="L120" s="29"/>
      <c r="M120" s="479">
        <f>C120-'Input - CDM'!C221</f>
        <v>35466427.689009719</v>
      </c>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ht="13" x14ac:dyDescent="0.3">
      <c r="B121" s="135">
        <v>38909224</v>
      </c>
      <c r="C121" s="136">
        <f>SUMPRODUCT(D2:G2,D121:G121)+C2</f>
        <v>39853335.608304754</v>
      </c>
      <c r="D121" s="29">
        <v>252.5</v>
      </c>
      <c r="E121" s="29">
        <v>0</v>
      </c>
      <c r="F121" s="29">
        <v>31</v>
      </c>
      <c r="G121" s="29">
        <v>1</v>
      </c>
      <c r="H121" s="29"/>
      <c r="I121" s="29"/>
      <c r="J121" s="29"/>
      <c r="K121" s="29"/>
      <c r="L121" s="29"/>
      <c r="M121" s="479">
        <f>C121-'Input - CDM'!C222</f>
        <v>36742163.839977205</v>
      </c>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ht="13" x14ac:dyDescent="0.3">
      <c r="B122" s="135">
        <v>40007616</v>
      </c>
      <c r="C122" s="136">
        <f>SUMPRODUCT(D2:G2,D122:G122)+C2</f>
        <v>39888190.394708201</v>
      </c>
      <c r="D122" s="29">
        <v>329.20001220703125</v>
      </c>
      <c r="E122" s="29">
        <v>0</v>
      </c>
      <c r="F122" s="29">
        <v>30</v>
      </c>
      <c r="G122" s="29">
        <v>1</v>
      </c>
      <c r="H122" s="29"/>
      <c r="I122" s="29"/>
      <c r="J122" s="29"/>
      <c r="K122" s="29"/>
      <c r="L122" s="29"/>
      <c r="M122" s="479">
        <f>C122-'Input - CDM'!C223</f>
        <v>36778920.748322852</v>
      </c>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ht="13" x14ac:dyDescent="0.3">
      <c r="B123" s="135">
        <v>45977612</v>
      </c>
      <c r="C123" s="136">
        <f>SUMPRODUCT(D2:G2,D123:G123)+C2</f>
        <v>45769926.733091518</v>
      </c>
      <c r="D123" s="29">
        <v>540.4000244140625</v>
      </c>
      <c r="E123" s="29">
        <v>0</v>
      </c>
      <c r="F123" s="29">
        <v>31</v>
      </c>
      <c r="G123" s="29">
        <v>0</v>
      </c>
      <c r="H123" s="29"/>
      <c r="I123" s="29"/>
      <c r="J123" s="29"/>
      <c r="K123" s="29"/>
      <c r="L123" s="29"/>
      <c r="M123" s="479">
        <f>C123-'Input - CDM'!C224</f>
        <v>42662559.208648369</v>
      </c>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ht="13" x14ac:dyDescent="0.3">
      <c r="B124" s="135"/>
      <c r="C124" s="446">
        <f>SUMPRODUCT(D2:H2,D124:H124)+C2</f>
        <v>47846597.972742468</v>
      </c>
      <c r="D124" s="445">
        <f>AVERAGE(D4,D16,D28,D40,D52,D64,D76,D88,D100,D112)</f>
        <v>684.2400024414062</v>
      </c>
      <c r="E124" s="445">
        <f>AVERAGE(E4,E16,E28,E40,E52,E64,E76,E88,E100,E112)</f>
        <v>0</v>
      </c>
      <c r="F124" s="445">
        <v>31</v>
      </c>
      <c r="G124" s="445">
        <f>AVERAGE(G4,G16,G28,G40,G52,G64,G76,G88,G100,G112)</f>
        <v>0</v>
      </c>
      <c r="H124" s="29"/>
      <c r="I124" s="29"/>
      <c r="J124" s="29"/>
      <c r="K124" s="29"/>
      <c r="L124" s="29"/>
      <c r="M124" s="479">
        <f>C124-'Input - CDM'!C225</f>
        <v>44746796.499133348</v>
      </c>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ht="13" x14ac:dyDescent="0.3">
      <c r="B125" s="135"/>
      <c r="C125" s="446">
        <f>SUMPRODUCT(D2:H2,D125:H125)+C2</f>
        <v>43736459.788922533</v>
      </c>
      <c r="D125" s="445">
        <f t="shared" ref="D125:G140" si="0">AVERAGE(D5,D17,D29,D41,D53,D65,D77,D89,D101,D113)</f>
        <v>622.40999755859377</v>
      </c>
      <c r="E125" s="445">
        <f t="shared" si="0"/>
        <v>0</v>
      </c>
      <c r="F125" s="445">
        <v>28</v>
      </c>
      <c r="G125" s="445">
        <f t="shared" si="0"/>
        <v>0</v>
      </c>
      <c r="H125" s="29"/>
      <c r="I125" s="29"/>
      <c r="J125" s="29"/>
      <c r="K125" s="29"/>
      <c r="L125" s="29"/>
      <c r="M125" s="479">
        <f>C125-'Input - CDM'!C226</f>
        <v>40644224.366147451</v>
      </c>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ht="13" x14ac:dyDescent="0.3">
      <c r="B126" s="135"/>
      <c r="C126" s="446">
        <f>SUMPRODUCT(D2:H2,D126:H126)+C2</f>
        <v>44005090.540670633</v>
      </c>
      <c r="D126" s="445">
        <f t="shared" si="0"/>
        <v>540.06999511718755</v>
      </c>
      <c r="E126" s="445">
        <f t="shared" si="0"/>
        <v>0</v>
      </c>
      <c r="F126" s="445">
        <v>31</v>
      </c>
      <c r="G126" s="445">
        <f t="shared" si="0"/>
        <v>1</v>
      </c>
      <c r="H126" s="29"/>
      <c r="I126" s="29"/>
      <c r="J126" s="29"/>
      <c r="K126" s="29"/>
      <c r="L126" s="29"/>
      <c r="M126" s="479">
        <f>C126-'Input - CDM'!C227</f>
        <v>40920421.168729581</v>
      </c>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ht="13" x14ac:dyDescent="0.3">
      <c r="B127" s="135"/>
      <c r="C127" s="446">
        <f>SUMPRODUCT(D2:H2,D127:H127)+C2</f>
        <v>40146894.213378966</v>
      </c>
      <c r="D127" s="445">
        <f t="shared" si="0"/>
        <v>346.4899963378906</v>
      </c>
      <c r="E127" s="445">
        <f t="shared" si="0"/>
        <v>9.0000000596046445E-2</v>
      </c>
      <c r="F127" s="445">
        <v>30</v>
      </c>
      <c r="G127" s="445">
        <f t="shared" si="0"/>
        <v>1</v>
      </c>
      <c r="H127" s="29"/>
      <c r="I127" s="29"/>
      <c r="J127" s="29"/>
      <c r="K127" s="29"/>
      <c r="L127" s="29"/>
      <c r="M127" s="479">
        <f>C127-'Input - CDM'!C228</f>
        <v>37069790.892271951</v>
      </c>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ht="13" x14ac:dyDescent="0.3">
      <c r="B128" s="135"/>
      <c r="C128" s="446">
        <f>SUMPRODUCT(D2:H2,D128:H128)+C2</f>
        <v>40131942.271946624</v>
      </c>
      <c r="D128" s="445">
        <f t="shared" si="0"/>
        <v>137.17999954223632</v>
      </c>
      <c r="E128" s="445">
        <f t="shared" si="0"/>
        <v>19.260000014305113</v>
      </c>
      <c r="F128" s="445">
        <v>31</v>
      </c>
      <c r="G128" s="445">
        <f t="shared" si="0"/>
        <v>1</v>
      </c>
      <c r="H128" s="29"/>
      <c r="I128" s="29"/>
      <c r="J128" s="29"/>
      <c r="K128" s="29"/>
      <c r="L128" s="29"/>
      <c r="M128" s="479">
        <f>C128-'Input - CDM'!C229</f>
        <v>37062405.001673639</v>
      </c>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ht="13" x14ac:dyDescent="0.3">
      <c r="B129" s="135"/>
      <c r="C129" s="446">
        <f>SUMPRODUCT(D2:H2,D129:H129)+C2</f>
        <v>42554431.138774991</v>
      </c>
      <c r="D129" s="445">
        <f t="shared" si="0"/>
        <v>29.839999961853028</v>
      </c>
      <c r="E129" s="445">
        <f t="shared" si="0"/>
        <v>51.809999656677249</v>
      </c>
      <c r="F129" s="445">
        <v>30</v>
      </c>
      <c r="G129" s="445">
        <f t="shared" si="0"/>
        <v>0</v>
      </c>
      <c r="H129" s="29"/>
      <c r="I129" s="29"/>
      <c r="J129" s="29"/>
      <c r="K129" s="29"/>
      <c r="L129" s="29"/>
      <c r="M129" s="479">
        <f>C129-'Input - CDM'!C230</f>
        <v>39492459.919336043</v>
      </c>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ht="13" x14ac:dyDescent="0.3">
      <c r="B130" s="135"/>
      <c r="C130" s="446">
        <f>SUMPRODUCT(D2:H2,D130:H130)+C2</f>
        <v>50494698.720577851</v>
      </c>
      <c r="D130" s="445">
        <f t="shared" si="0"/>
        <v>2.9199999764561655</v>
      </c>
      <c r="E130" s="445">
        <f t="shared" si="0"/>
        <v>123.71999969482422</v>
      </c>
      <c r="F130" s="445">
        <v>31</v>
      </c>
      <c r="G130" s="445">
        <f t="shared" si="0"/>
        <v>0</v>
      </c>
      <c r="H130" s="29"/>
      <c r="I130" s="29"/>
      <c r="J130" s="29"/>
      <c r="K130" s="29"/>
      <c r="L130" s="29"/>
      <c r="M130" s="479">
        <f>C130-'Input - CDM'!C231</f>
        <v>47440293.551972933</v>
      </c>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ht="13" x14ac:dyDescent="0.3">
      <c r="B131" s="135"/>
      <c r="C131" s="446">
        <f>SUMPRODUCT(D2:H2,D131:H131)+C2</f>
        <v>47186983.504208371</v>
      </c>
      <c r="D131" s="445">
        <f t="shared" si="0"/>
        <v>8.0300001002848145</v>
      </c>
      <c r="E131" s="445">
        <f t="shared" si="0"/>
        <v>90.210000228881839</v>
      </c>
      <c r="F131" s="445">
        <v>31</v>
      </c>
      <c r="G131" s="445">
        <f t="shared" si="0"/>
        <v>0</v>
      </c>
      <c r="H131" s="29"/>
      <c r="I131" s="29"/>
      <c r="J131" s="29"/>
      <c r="K131" s="29"/>
      <c r="L131" s="29"/>
      <c r="M131" s="479">
        <f>C131-'Input - CDM'!C232</f>
        <v>44140144.386437491</v>
      </c>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ht="13" x14ac:dyDescent="0.3">
      <c r="B132" s="135"/>
      <c r="C132" s="446">
        <f>SUMPRODUCT(D2:H2,D132:H132)+C2</f>
        <v>39741600.941985995</v>
      </c>
      <c r="D132" s="445">
        <f t="shared" si="0"/>
        <v>64.000000381469732</v>
      </c>
      <c r="E132" s="445">
        <f t="shared" si="0"/>
        <v>36.490000152587889</v>
      </c>
      <c r="F132" s="445">
        <v>30</v>
      </c>
      <c r="G132" s="445">
        <f t="shared" si="0"/>
        <v>1</v>
      </c>
      <c r="H132" s="29"/>
      <c r="I132" s="29"/>
      <c r="J132" s="29"/>
      <c r="K132" s="29"/>
      <c r="L132" s="29"/>
      <c r="M132" s="479">
        <f>C132-'Input - CDM'!C233</f>
        <v>36702327.875049144</v>
      </c>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ht="13" x14ac:dyDescent="0.3">
      <c r="B133" s="135"/>
      <c r="C133" s="446">
        <f>SUMPRODUCT(D2:H2,D133:H133)+C2</f>
        <v>39824601.67188549</v>
      </c>
      <c r="D133" s="445">
        <f t="shared" si="0"/>
        <v>223.74000091552733</v>
      </c>
      <c r="E133" s="445">
        <f t="shared" si="0"/>
        <v>3.8300000369548797</v>
      </c>
      <c r="F133" s="445">
        <v>31</v>
      </c>
      <c r="G133" s="445">
        <f t="shared" si="0"/>
        <v>1</v>
      </c>
      <c r="H133" s="29"/>
      <c r="I133" s="29"/>
      <c r="J133" s="29"/>
      <c r="K133" s="29"/>
      <c r="L133" s="29"/>
      <c r="M133" s="479">
        <f>C133-'Input - CDM'!C234</f>
        <v>36792894.65578267</v>
      </c>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ht="13" x14ac:dyDescent="0.3">
      <c r="B134" s="135"/>
      <c r="C134" s="446">
        <f>SUMPRODUCT(D2:H2,D134:H134)+C2</f>
        <v>41076385.96004881</v>
      </c>
      <c r="D134" s="445">
        <f t="shared" si="0"/>
        <v>411.5000030517578</v>
      </c>
      <c r="E134" s="445">
        <f t="shared" si="0"/>
        <v>0</v>
      </c>
      <c r="F134" s="445">
        <v>30</v>
      </c>
      <c r="G134" s="445">
        <f t="shared" si="0"/>
        <v>1</v>
      </c>
      <c r="H134" s="29"/>
      <c r="I134" s="29"/>
      <c r="J134" s="29"/>
      <c r="K134" s="29"/>
      <c r="L134" s="29"/>
      <c r="M134" s="479">
        <f>C134-'Input - CDM'!C235</f>
        <v>38052244.994780026</v>
      </c>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ht="13" x14ac:dyDescent="0.3">
      <c r="B135" s="135"/>
      <c r="C135" s="446">
        <f>SUMPRODUCT(D2:H2,D135:H135)+C2</f>
        <v>46024312.933068618</v>
      </c>
      <c r="D135" s="445">
        <f t="shared" si="0"/>
        <v>558.02000427246094</v>
      </c>
      <c r="E135" s="445">
        <f t="shared" si="0"/>
        <v>0</v>
      </c>
      <c r="F135" s="445">
        <v>31</v>
      </c>
      <c r="G135" s="445">
        <f t="shared" si="0"/>
        <v>0</v>
      </c>
      <c r="H135" s="29"/>
      <c r="I135" s="29"/>
      <c r="J135" s="29"/>
      <c r="K135" s="29"/>
      <c r="L135" s="29"/>
      <c r="M135" s="479">
        <f>C135-'Input - CDM'!C236</f>
        <v>43007738.018633865</v>
      </c>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ht="13" x14ac:dyDescent="0.3">
      <c r="B136" s="135"/>
      <c r="C136" s="446">
        <f>SUMPRODUCT(D2:H2,D136:H136)+C2</f>
        <v>47846597.972742468</v>
      </c>
      <c r="D136" s="445">
        <f>D124</f>
        <v>684.2400024414062</v>
      </c>
      <c r="E136" s="445">
        <f>E124</f>
        <v>0</v>
      </c>
      <c r="F136" s="445">
        <v>31</v>
      </c>
      <c r="G136" s="445">
        <f t="shared" si="0"/>
        <v>0</v>
      </c>
      <c r="H136" s="29"/>
      <c r="I136" s="29"/>
      <c r="J136" s="29"/>
      <c r="K136" s="29"/>
      <c r="L136" s="29"/>
      <c r="M136" s="479">
        <f>C136-'Input - CDM'!C237</f>
        <v>44836325.058756277</v>
      </c>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ht="13" x14ac:dyDescent="0.3">
      <c r="B137" s="135"/>
      <c r="C137" s="446">
        <f>SUMPRODUCT(D2:H2,D137:H137)+C2</f>
        <v>43736459.788922533</v>
      </c>
      <c r="D137" s="445">
        <f t="shared" ref="D137:E147" si="1">D125</f>
        <v>622.40999755859377</v>
      </c>
      <c r="E137" s="445">
        <f t="shared" si="1"/>
        <v>0</v>
      </c>
      <c r="F137" s="445">
        <v>28</v>
      </c>
      <c r="G137" s="445">
        <f t="shared" si="0"/>
        <v>0</v>
      </c>
      <c r="H137" s="29"/>
      <c r="I137" s="29"/>
      <c r="J137" s="29"/>
      <c r="K137" s="29"/>
      <c r="L137" s="29"/>
      <c r="M137" s="479">
        <f>C137-'Input - CDM'!C238</f>
        <v>40732488.875384904</v>
      </c>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ht="13" x14ac:dyDescent="0.3">
      <c r="B138" s="135"/>
      <c r="C138" s="446">
        <f>SUMPRODUCT(D2:H2,D138:H138)+C2</f>
        <v>44005090.540670633</v>
      </c>
      <c r="D138" s="445">
        <f t="shared" si="1"/>
        <v>540.06999511718755</v>
      </c>
      <c r="E138" s="445">
        <f t="shared" si="1"/>
        <v>0</v>
      </c>
      <c r="F138" s="445">
        <v>31</v>
      </c>
      <c r="G138" s="445">
        <f t="shared" si="0"/>
        <v>1</v>
      </c>
      <c r="H138" s="29"/>
      <c r="I138" s="29"/>
      <c r="J138" s="29"/>
      <c r="K138" s="29"/>
      <c r="L138" s="29"/>
      <c r="M138" s="479">
        <f>C138-'Input - CDM'!C239</f>
        <v>41007421.627581567</v>
      </c>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ht="13" x14ac:dyDescent="0.3">
      <c r="B139" s="135"/>
      <c r="C139" s="446">
        <f>SUMPRODUCT(D2:H2,D139:H139)+C2</f>
        <v>40146894.213378966</v>
      </c>
      <c r="D139" s="445">
        <f t="shared" si="1"/>
        <v>346.4899963378906</v>
      </c>
      <c r="E139" s="445">
        <f t="shared" si="1"/>
        <v>9.0000000596046445E-2</v>
      </c>
      <c r="F139" s="445">
        <v>30</v>
      </c>
      <c r="G139" s="445">
        <f t="shared" si="0"/>
        <v>1</v>
      </c>
      <c r="H139" s="29"/>
      <c r="I139" s="29"/>
      <c r="J139" s="29"/>
      <c r="K139" s="29"/>
      <c r="L139" s="29"/>
      <c r="M139" s="479">
        <f>C139-'Input - CDM'!C240</f>
        <v>37155527.300738461</v>
      </c>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ht="13" x14ac:dyDescent="0.3">
      <c r="B140" s="135"/>
      <c r="C140" s="446">
        <f>SUMPRODUCT(D2:H2,D140:H140)+C2</f>
        <v>40131942.271946624</v>
      </c>
      <c r="D140" s="445">
        <f t="shared" si="1"/>
        <v>137.17999954223632</v>
      </c>
      <c r="E140" s="445">
        <f t="shared" si="1"/>
        <v>19.260000014305113</v>
      </c>
      <c r="F140" s="445">
        <v>31</v>
      </c>
      <c r="G140" s="445">
        <f t="shared" si="0"/>
        <v>1</v>
      </c>
      <c r="H140" s="29"/>
      <c r="I140" s="29"/>
      <c r="J140" s="29"/>
      <c r="K140" s="29"/>
      <c r="L140" s="29"/>
      <c r="M140" s="479">
        <f>C140-'Input - CDM'!C241</f>
        <v>37146877.359754682</v>
      </c>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ht="13" x14ac:dyDescent="0.3">
      <c r="B141" s="135"/>
      <c r="C141" s="446">
        <f>SUMPRODUCT(D2:H2,D141:H141)+C2</f>
        <v>42554431.138774991</v>
      </c>
      <c r="D141" s="445">
        <f t="shared" si="1"/>
        <v>29.839999961853028</v>
      </c>
      <c r="E141" s="445">
        <f t="shared" si="1"/>
        <v>51.809999656677249</v>
      </c>
      <c r="F141" s="445">
        <v>30</v>
      </c>
      <c r="G141" s="445">
        <f t="shared" ref="G141:G147" si="2">AVERAGE(G21,G33,G45,G57,G69,G81,G93,G105,G117,G129)</f>
        <v>0</v>
      </c>
      <c r="H141" s="29"/>
      <c r="I141" s="29"/>
      <c r="J141" s="29"/>
      <c r="K141" s="29"/>
      <c r="L141" s="29"/>
      <c r="M141" s="479">
        <f>C141-'Input - CDM'!C242</f>
        <v>39575668.227031611</v>
      </c>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ht="13" x14ac:dyDescent="0.3">
      <c r="B142" s="135"/>
      <c r="C142" s="446">
        <f>SUMPRODUCT(D2:H2,D142:H142)+C2</f>
        <v>50494698.720577851</v>
      </c>
      <c r="D142" s="445">
        <f t="shared" si="1"/>
        <v>2.9199999764561655</v>
      </c>
      <c r="E142" s="445">
        <f t="shared" si="1"/>
        <v>123.71999969482422</v>
      </c>
      <c r="F142" s="445">
        <v>31</v>
      </c>
      <c r="G142" s="445">
        <f t="shared" si="2"/>
        <v>0</v>
      </c>
      <c r="H142" s="29"/>
      <c r="I142" s="29"/>
      <c r="J142" s="29"/>
      <c r="K142" s="29"/>
      <c r="L142" s="29"/>
      <c r="M142" s="479">
        <f>C142-'Input - CDM'!C243</f>
        <v>47522237.809283026</v>
      </c>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ht="13" x14ac:dyDescent="0.3">
      <c r="B143" s="135"/>
      <c r="C143" s="446">
        <f>SUMPRODUCT(D2:H2,D143:H143)+C2</f>
        <v>47186983.504208371</v>
      </c>
      <c r="D143" s="445">
        <f t="shared" si="1"/>
        <v>8.0300001002848145</v>
      </c>
      <c r="E143" s="445">
        <f t="shared" si="1"/>
        <v>90.210000228881839</v>
      </c>
      <c r="F143" s="445">
        <v>31</v>
      </c>
      <c r="G143" s="445">
        <f t="shared" si="2"/>
        <v>0</v>
      </c>
      <c r="H143" s="29"/>
      <c r="I143" s="29"/>
      <c r="J143" s="29"/>
      <c r="K143" s="29"/>
      <c r="L143" s="29"/>
      <c r="M143" s="479">
        <f>C143-'Input - CDM'!C244</f>
        <v>44220824.593362108</v>
      </c>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ht="13" x14ac:dyDescent="0.3">
      <c r="B144" s="135"/>
      <c r="C144" s="446">
        <f>SUMPRODUCT(D2:H2,D144:H144)+C2</f>
        <v>39741600.941985995</v>
      </c>
      <c r="D144" s="445">
        <f t="shared" si="1"/>
        <v>64.000000381469732</v>
      </c>
      <c r="E144" s="445">
        <f t="shared" si="1"/>
        <v>36.490000152587889</v>
      </c>
      <c r="F144" s="445">
        <v>30</v>
      </c>
      <c r="G144" s="445">
        <f t="shared" si="2"/>
        <v>1</v>
      </c>
      <c r="H144" s="29"/>
      <c r="I144" s="29"/>
      <c r="J144" s="29"/>
      <c r="K144" s="29"/>
      <c r="L144" s="29"/>
      <c r="M144" s="479">
        <f>C144-'Input - CDM'!C245</f>
        <v>36781744.031588294</v>
      </c>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ht="13" x14ac:dyDescent="0.3">
      <c r="B145" s="135"/>
      <c r="C145" s="446">
        <f>SUMPRODUCT(D2:H2,D145:H145)+C2</f>
        <v>39824601.67188549</v>
      </c>
      <c r="D145" s="445">
        <f t="shared" si="1"/>
        <v>223.74000091552733</v>
      </c>
      <c r="E145" s="445">
        <f t="shared" si="1"/>
        <v>3.8300000369548797</v>
      </c>
      <c r="F145" s="445">
        <v>31</v>
      </c>
      <c r="G145" s="445">
        <f t="shared" si="2"/>
        <v>1</v>
      </c>
      <c r="H145" s="29"/>
      <c r="I145" s="29"/>
      <c r="J145" s="29"/>
      <c r="K145" s="29"/>
      <c r="L145" s="29"/>
      <c r="M145" s="479">
        <f>C145-'Input - CDM'!C246</f>
        <v>36871046.761936352</v>
      </c>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ht="13" x14ac:dyDescent="0.3">
      <c r="B146" s="135"/>
      <c r="C146" s="446">
        <f>SUMPRODUCT(D2:H2,D146:H146)+C2</f>
        <v>41076385.96004881</v>
      </c>
      <c r="D146" s="445">
        <f t="shared" si="1"/>
        <v>411.5000030517578</v>
      </c>
      <c r="E146" s="445">
        <f t="shared" si="1"/>
        <v>0</v>
      </c>
      <c r="F146" s="445">
        <v>30</v>
      </c>
      <c r="G146" s="445">
        <f t="shared" si="2"/>
        <v>1</v>
      </c>
      <c r="H146" s="29"/>
      <c r="I146" s="29"/>
      <c r="J146" s="29"/>
      <c r="K146" s="29"/>
      <c r="L146" s="29"/>
      <c r="M146" s="479">
        <f>C146-'Input - CDM'!C247</f>
        <v>38129133.050548233</v>
      </c>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ht="13" x14ac:dyDescent="0.3">
      <c r="B147" s="135"/>
      <c r="C147" s="446">
        <f>SUMPRODUCT(D2:H2,D147:H147)+C2</f>
        <v>46024312.933068618</v>
      </c>
      <c r="D147" s="445">
        <f t="shared" si="1"/>
        <v>558.02000427246094</v>
      </c>
      <c r="E147" s="445">
        <f t="shared" si="1"/>
        <v>0</v>
      </c>
      <c r="F147" s="445">
        <v>31</v>
      </c>
      <c r="G147" s="445">
        <f t="shared" si="2"/>
        <v>0</v>
      </c>
      <c r="H147" s="29"/>
      <c r="I147" s="29"/>
      <c r="J147" s="29"/>
      <c r="K147" s="29"/>
      <c r="L147" s="29"/>
      <c r="M147" s="479">
        <f>C147-'Input - CDM'!C248</f>
        <v>43083362.024016604</v>
      </c>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5">
      <c r="B148" s="135"/>
      <c r="C148" s="136"/>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5">
      <c r="B149" s="135"/>
      <c r="C149" s="136"/>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5">
      <c r="B150" s="135"/>
      <c r="C150" s="136"/>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5">
      <c r="B151" s="135"/>
      <c r="C151" s="136"/>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5">
      <c r="B152" s="135"/>
      <c r="C152" s="136"/>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5">
      <c r="B153" s="135"/>
      <c r="C153" s="136"/>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5">
      <c r="B154" s="135"/>
      <c r="C154" s="136"/>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5">
      <c r="B155" s="135"/>
      <c r="C155" s="136"/>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5">
      <c r="B156" s="135"/>
      <c r="C156" s="136"/>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5">
      <c r="B157" s="135"/>
      <c r="C157" s="136"/>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5">
      <c r="B158" s="135"/>
      <c r="C158" s="136"/>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5">
      <c r="B159" s="135"/>
      <c r="C159" s="136"/>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5">
      <c r="B160" s="135"/>
      <c r="C160" s="136"/>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5">
      <c r="B161" s="135"/>
      <c r="C161" s="136"/>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5">
      <c r="B162" s="135"/>
      <c r="C162" s="136"/>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5">
      <c r="B163" s="135"/>
      <c r="C163" s="136"/>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5">
      <c r="B164" s="135"/>
      <c r="C164" s="136"/>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5">
      <c r="B165" s="135"/>
      <c r="C165" s="136"/>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5">
      <c r="B166" s="135"/>
      <c r="C166" s="136"/>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5">
      <c r="B167" s="135"/>
      <c r="C167" s="136"/>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5">
      <c r="B168" s="135"/>
      <c r="C168" s="136"/>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5">
      <c r="B169" s="135"/>
      <c r="C169" s="136"/>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5">
      <c r="B170" s="135"/>
      <c r="C170" s="136"/>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5">
      <c r="B171" s="135"/>
      <c r="C171" s="136"/>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5">
      <c r="B172" s="135"/>
      <c r="C172" s="136"/>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5">
      <c r="B173" s="135"/>
      <c r="C173" s="136"/>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5">
      <c r="B174" s="135"/>
      <c r="C174" s="136"/>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5">
      <c r="B175" s="135"/>
      <c r="C175" s="136"/>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5">
      <c r="B176" s="135"/>
      <c r="C176" s="136"/>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5">
      <c r="B177" s="135"/>
      <c r="C177" s="136"/>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5">
      <c r="B178" s="135"/>
      <c r="C178" s="136"/>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5">
      <c r="B179" s="135"/>
      <c r="C179" s="136"/>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5">
      <c r="B180" s="135"/>
      <c r="C180" s="136"/>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5">
      <c r="B181" s="135"/>
      <c r="C181" s="136"/>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5">
      <c r="B182" s="135"/>
      <c r="C182" s="136"/>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5">
      <c r="B183" s="135"/>
      <c r="C183" s="136"/>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5">
      <c r="B184" s="135"/>
      <c r="C184" s="136"/>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5">
      <c r="B185" s="135"/>
      <c r="C185" s="136"/>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5">
      <c r="B186" s="135"/>
      <c r="C186" s="136"/>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5">
      <c r="B187" s="135"/>
      <c r="C187" s="136"/>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5">
      <c r="B188" s="135"/>
      <c r="C188" s="136"/>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5">
      <c r="B189" s="135"/>
      <c r="C189" s="136"/>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5">
      <c r="B190" s="135"/>
      <c r="C190" s="136"/>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5">
      <c r="B191" s="135"/>
      <c r="C191" s="136"/>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5">
      <c r="B192" s="135"/>
      <c r="C192" s="136"/>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5">
      <c r="B193" s="135"/>
      <c r="C193" s="136"/>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5">
      <c r="B194" s="135"/>
      <c r="C194" s="136"/>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5">
      <c r="B195" s="135"/>
      <c r="C195" s="136"/>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5">
      <c r="B196" s="135"/>
      <c r="C196" s="136"/>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5">
      <c r="B197" s="135"/>
      <c r="C197" s="136"/>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5">
      <c r="B198" s="135"/>
      <c r="C198" s="136"/>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5">
      <c r="B199" s="135"/>
      <c r="C199" s="136"/>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5">
      <c r="B200" s="135"/>
      <c r="C200" s="136"/>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5">
      <c r="B201" s="135"/>
      <c r="C201" s="136"/>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5">
      <c r="B202" s="135"/>
      <c r="C202" s="136"/>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5">
      <c r="B203" s="135"/>
      <c r="C203" s="136"/>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5">
      <c r="B204" s="135"/>
      <c r="C204" s="136"/>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5">
      <c r="B205" s="135"/>
      <c r="C205" s="136"/>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5">
      <c r="B206" s="135"/>
      <c r="C206" s="136"/>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5">
      <c r="B207" s="135"/>
      <c r="C207" s="136"/>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5">
      <c r="B208" s="135"/>
      <c r="C208" s="136"/>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5">
      <c r="B209" s="135"/>
      <c r="C209" s="136"/>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5">
      <c r="B210" s="135"/>
      <c r="C210" s="136"/>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5">
      <c r="B211" s="135"/>
      <c r="C211" s="136"/>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5">
      <c r="B212" s="135"/>
      <c r="C212" s="136"/>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5">
      <c r="B213" s="135"/>
      <c r="C213" s="136"/>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5">
      <c r="B214" s="135"/>
      <c r="C214" s="136"/>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5">
      <c r="B215" s="135"/>
      <c r="C215" s="136"/>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5">
      <c r="B216" s="135"/>
      <c r="C216" s="136"/>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5">
      <c r="B217" s="135"/>
      <c r="C217" s="136"/>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5">
      <c r="B218" s="135"/>
      <c r="C218" s="136"/>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5">
      <c r="B219" s="135"/>
      <c r="C219" s="136"/>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5">
      <c r="B220" s="135"/>
      <c r="C220" s="136"/>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5">
      <c r="B221" s="135"/>
      <c r="C221" s="136"/>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5">
      <c r="B222" s="135"/>
      <c r="C222" s="136"/>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5">
      <c r="B223" s="135"/>
      <c r="C223" s="136"/>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5">
      <c r="B224" s="135"/>
      <c r="C224" s="136"/>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5">
      <c r="B225" s="135"/>
      <c r="C225" s="136"/>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5">
      <c r="B226" s="135"/>
      <c r="C226" s="136"/>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5">
      <c r="B227" s="135"/>
      <c r="C227" s="136"/>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5">
      <c r="B228" s="135"/>
      <c r="C228" s="136"/>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5">
      <c r="B229" s="135"/>
      <c r="C229" s="136"/>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5">
      <c r="B230" s="135"/>
      <c r="C230" s="136"/>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5">
      <c r="B231" s="135"/>
      <c r="C231" s="136"/>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5">
      <c r="B232" s="135"/>
      <c r="C232" s="136"/>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5">
      <c r="B233" s="135"/>
      <c r="C233" s="136"/>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5">
      <c r="B234" s="135"/>
      <c r="C234" s="136"/>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5">
      <c r="B235" s="135"/>
      <c r="C235" s="136"/>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5">
      <c r="B236" s="135"/>
      <c r="C236" s="136"/>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5">
      <c r="B237" s="135"/>
      <c r="C237" s="136"/>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5">
      <c r="B238" s="135"/>
      <c r="C238" s="136"/>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5">
      <c r="B239" s="135"/>
      <c r="C239" s="136"/>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5">
      <c r="B240" s="135"/>
      <c r="C240" s="136"/>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5">
      <c r="B241" s="135"/>
      <c r="C241" s="136"/>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5">
      <c r="B242" s="135"/>
      <c r="C242" s="136"/>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5">
      <c r="B243" s="135"/>
      <c r="C243" s="136"/>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5">
      <c r="B244" s="135"/>
      <c r="C244" s="136"/>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5">
      <c r="B245" s="135"/>
      <c r="C245" s="136"/>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5">
      <c r="B246" s="135"/>
      <c r="C246" s="136"/>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5">
      <c r="B247" s="135"/>
      <c r="C247" s="136"/>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5">
      <c r="B248" s="135"/>
      <c r="C248" s="136"/>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5">
      <c r="B249" s="135"/>
      <c r="C249" s="136"/>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5">
      <c r="B250" s="135"/>
      <c r="C250" s="136"/>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5">
      <c r="B251" s="135"/>
      <c r="C251" s="136"/>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5">
      <c r="B252" s="135"/>
      <c r="C252" s="136"/>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5">
      <c r="B253" s="135"/>
      <c r="C253" s="136"/>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296875" defaultRowHeight="12.5" x14ac:dyDescent="0.25"/>
  <cols>
    <col min="1" max="21" width="9.296875" style="12"/>
    <col min="22" max="22" width="2.5" style="12" customWidth="1"/>
    <col min="23" max="16384" width="9.296875" style="12"/>
  </cols>
  <sheetData>
    <row r="1" spans="1:43" ht="13" x14ac:dyDescent="0.3">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5">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5">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5">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5">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5">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5">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5">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5">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5">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5">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5">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5">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5">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5">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5">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5">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5">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5">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5">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5">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5">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5">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5">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5">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5">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5">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5">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5">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5">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5">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5">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5">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5">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5">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5">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5">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5">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5">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5">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5">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5">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5">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5">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5">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5">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5">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5">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5">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5">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5">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5">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5">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5">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5">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5">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5">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5">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5">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5">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5">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5">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5">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5">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5">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5">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5">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5">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5">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5">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5">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5">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5">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5">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5">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5">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5">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5">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5">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5">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5">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5">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5">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5">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5">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5">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5">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5">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5">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5">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5">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5">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5">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5">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5">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5">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5">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5">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5">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5">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 thickBot="1" x14ac:dyDescent="0.3">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topLeftCell="A49" zoomScale="90" zoomScaleNormal="90" workbookViewId="0">
      <selection activeCell="M81" sqref="M81"/>
    </sheetView>
  </sheetViews>
  <sheetFormatPr defaultColWidth="11.19921875" defaultRowHeight="12.5" x14ac:dyDescent="0.25"/>
  <cols>
    <col min="1" max="6" width="19.296875" style="145" customWidth="1"/>
    <col min="7" max="7" width="19.296875" style="144" customWidth="1"/>
    <col min="8" max="8" width="4.296875" style="161" customWidth="1"/>
    <col min="9" max="9" width="2.796875" style="144" customWidth="1"/>
    <col min="10" max="10" width="4.296875" style="144" customWidth="1"/>
    <col min="11" max="15" width="23.19921875" style="144" customWidth="1"/>
    <col min="16" max="16" width="23.19921875" style="161" customWidth="1"/>
    <col min="17" max="17" width="23.19921875" style="144" customWidth="1"/>
    <col min="18" max="18" width="21" style="144" bestFit="1" customWidth="1"/>
    <col min="19" max="19" width="30.69921875" style="144" bestFit="1" customWidth="1"/>
    <col min="20" max="20" width="27.796875" style="144" bestFit="1" customWidth="1"/>
    <col min="21" max="21" width="8.5" style="144" bestFit="1" customWidth="1"/>
    <col min="22" max="22" width="18.796875" style="144" bestFit="1" customWidth="1"/>
    <col min="23" max="23" width="15.296875" style="144" bestFit="1" customWidth="1"/>
    <col min="24" max="25" width="11.69921875" style="144" customWidth="1"/>
    <col min="26" max="16384" width="11.19921875" style="144"/>
  </cols>
  <sheetData>
    <row r="1" spans="1:18" ht="17.25" customHeight="1" x14ac:dyDescent="0.25">
      <c r="A1" s="532" t="s">
        <v>123</v>
      </c>
      <c r="B1" s="533"/>
      <c r="C1" s="533"/>
      <c r="D1" s="533"/>
      <c r="E1" s="533"/>
      <c r="F1" s="533"/>
      <c r="G1" s="534"/>
      <c r="I1" s="266"/>
      <c r="K1" s="532" t="s">
        <v>124</v>
      </c>
      <c r="L1" s="533"/>
      <c r="M1" s="533"/>
      <c r="N1" s="533"/>
      <c r="O1" s="239"/>
      <c r="P1" s="239"/>
      <c r="Q1" s="239"/>
    </row>
    <row r="2" spans="1:18" ht="16.5" customHeight="1" thickBot="1" x14ac:dyDescent="0.3">
      <c r="A2" s="267"/>
      <c r="B2" s="267"/>
      <c r="C2" s="267"/>
      <c r="D2" s="267"/>
      <c r="E2" s="267"/>
      <c r="F2" s="267"/>
      <c r="G2" s="160"/>
      <c r="H2" s="149"/>
      <c r="I2" s="160"/>
      <c r="J2" s="160"/>
      <c r="K2" s="160"/>
      <c r="L2" s="160"/>
      <c r="M2" s="160"/>
      <c r="N2" s="160"/>
    </row>
    <row r="3" spans="1:18" ht="15.75" customHeight="1" x14ac:dyDescent="0.25">
      <c r="A3" s="527" t="str">
        <f>'Input - Customer Data'!A13</f>
        <v>Residential</v>
      </c>
      <c r="B3" s="528"/>
      <c r="C3" s="528"/>
      <c r="D3" s="528"/>
      <c r="E3" s="528"/>
      <c r="F3" s="528"/>
      <c r="G3" s="529"/>
      <c r="H3" s="166"/>
      <c r="I3" s="266"/>
      <c r="K3" s="527" t="str">
        <f>'Input - Customer Data'!A15</f>
        <v>General Service 50 to 4999 kW</v>
      </c>
      <c r="L3" s="528"/>
      <c r="M3" s="528"/>
      <c r="N3" s="529"/>
      <c r="P3" s="166"/>
    </row>
    <row r="4" spans="1:18" ht="39" x14ac:dyDescent="0.3">
      <c r="A4" s="401" t="s">
        <v>74</v>
      </c>
      <c r="B4" s="402" t="s">
        <v>129</v>
      </c>
      <c r="C4" s="480" t="s">
        <v>218</v>
      </c>
      <c r="D4" s="402" t="s">
        <v>99</v>
      </c>
      <c r="E4" s="480" t="s">
        <v>219</v>
      </c>
      <c r="F4" s="402" t="s">
        <v>130</v>
      </c>
      <c r="G4" s="403" t="s">
        <v>97</v>
      </c>
      <c r="H4" s="165"/>
      <c r="I4" s="266"/>
      <c r="K4" s="290" t="s">
        <v>74</v>
      </c>
      <c r="L4" s="397" t="s">
        <v>208</v>
      </c>
      <c r="M4" s="397" t="s">
        <v>214</v>
      </c>
      <c r="N4" s="397" t="s">
        <v>215</v>
      </c>
      <c r="O4" s="397" t="s">
        <v>209</v>
      </c>
      <c r="P4" s="289" t="s">
        <v>103</v>
      </c>
      <c r="R4" s="165"/>
    </row>
    <row r="5" spans="1:18" ht="13" x14ac:dyDescent="0.25">
      <c r="A5" s="189">
        <f>'Input - Customer Data'!D6</f>
        <v>2011</v>
      </c>
      <c r="B5" s="199">
        <f>'Input - Customer Data'!D$66</f>
        <v>206782921.40000001</v>
      </c>
      <c r="C5" s="473">
        <f>SUM('Input - Adjustments &amp; Variables'!H5:H16)-SUM('Input - Adjustments &amp; Variables'!D5:D16)</f>
        <v>535581625.16999972</v>
      </c>
      <c r="D5" s="399">
        <f>B5/C5</f>
        <v>0.38609039534238082</v>
      </c>
      <c r="E5" s="473">
        <f>SUM(Forecast!M4:M15)</f>
        <v>515955628.21736974</v>
      </c>
      <c r="F5" s="175">
        <f t="shared" ref="F5:F17" si="0">E5*D5</f>
        <v>199205512.47757074</v>
      </c>
      <c r="G5" s="174">
        <f>F5/'Input - Customer Data'!E6</f>
        <v>7793.7953589691015</v>
      </c>
      <c r="H5" s="167"/>
      <c r="I5" s="266"/>
      <c r="K5" s="189">
        <f>'Input - Customer Data'!D6</f>
        <v>2011</v>
      </c>
      <c r="L5" s="175">
        <f>'Bridge&amp;Test Year Class Forecast'!B61</f>
        <v>214876814.13600001</v>
      </c>
      <c r="M5" s="199">
        <f>'Input - Customer Data'!D$75</f>
        <v>753237.76</v>
      </c>
      <c r="N5" s="473">
        <v>-116608.58</v>
      </c>
      <c r="O5" s="199">
        <f>M5+N5</f>
        <v>636629.18000000005</v>
      </c>
      <c r="P5" s="190">
        <f t="shared" ref="P5:P17" si="1">O5/L5</f>
        <v>2.9627634910719784E-3</v>
      </c>
      <c r="R5" s="167"/>
    </row>
    <row r="6" spans="1:18" ht="13" x14ac:dyDescent="0.25">
      <c r="A6" s="189">
        <f>'Input - Customer Data'!D7</f>
        <v>2012</v>
      </c>
      <c r="B6" s="199">
        <f>'Input - Customer Data'!E$66</f>
        <v>202637718.53299999</v>
      </c>
      <c r="C6" s="473">
        <f>SUM('Input - Adjustments &amp; Variables'!H17:H28)-SUM('Input - Adjustments &amp; Variables'!D17:D28)</f>
        <v>520912441.87000012</v>
      </c>
      <c r="D6" s="399">
        <f t="shared" ref="D6:D14" si="2">B6/C6</f>
        <v>0.38900533418929284</v>
      </c>
      <c r="E6" s="473">
        <f>SUM(Forecast!M16:M27)</f>
        <v>512268691.80959123</v>
      </c>
      <c r="F6" s="175">
        <f t="shared" si="0"/>
        <v>199275253.6521019</v>
      </c>
      <c r="G6" s="174">
        <f>F6/'Input - Customer Data'!E7</f>
        <v>7750.5835499242312</v>
      </c>
      <c r="H6" s="167"/>
      <c r="I6" s="266"/>
      <c r="K6" s="189">
        <f>'Input - Customer Data'!D7</f>
        <v>2012</v>
      </c>
      <c r="L6" s="175">
        <f>'Bridge&amp;Test Year Class Forecast'!B62</f>
        <v>209735051.1925</v>
      </c>
      <c r="M6" s="199">
        <f>'Input - Customer Data'!E$75</f>
        <v>760470.64199999999</v>
      </c>
      <c r="N6" s="473">
        <v>-136769</v>
      </c>
      <c r="O6" s="199">
        <f t="shared" ref="O6:O14" si="3">M6+N6</f>
        <v>623701.64199999999</v>
      </c>
      <c r="P6" s="190">
        <f t="shared" si="1"/>
        <v>2.9737596956435825E-3</v>
      </c>
      <c r="R6" s="167"/>
    </row>
    <row r="7" spans="1:18" ht="13" x14ac:dyDescent="0.25">
      <c r="A7" s="189">
        <f>'Input - Customer Data'!D8</f>
        <v>2013</v>
      </c>
      <c r="B7" s="199">
        <f>'Input - Customer Data'!F$66</f>
        <v>206257082.428</v>
      </c>
      <c r="C7" s="473">
        <f>SUM('Input - Adjustments &amp; Variables'!H29:H40)-SUM('Input - Adjustments &amp; Variables'!D29:D40)</f>
        <v>509774030.71999985</v>
      </c>
      <c r="D7" s="399">
        <f t="shared" si="2"/>
        <v>0.40460492296299305</v>
      </c>
      <c r="E7" s="473">
        <f>SUM(Forecast!M28:M39)</f>
        <v>515814061.91370291</v>
      </c>
      <c r="F7" s="175">
        <f t="shared" si="0"/>
        <v>208700908.7838223</v>
      </c>
      <c r="G7" s="174">
        <f>F7/'Input - Customer Data'!E8</f>
        <v>8089.8618921675197</v>
      </c>
      <c r="H7" s="167"/>
      <c r="I7" s="266"/>
      <c r="K7" s="189">
        <f>'Input - Customer Data'!D8</f>
        <v>2013</v>
      </c>
      <c r="L7" s="175">
        <f>'Bridge&amp;Test Year Class Forecast'!B63</f>
        <v>194627741.79700002</v>
      </c>
      <c r="M7" s="199">
        <f>'Input - Customer Data'!F$75</f>
        <v>689936.48</v>
      </c>
      <c r="N7" s="473">
        <v>-91951.780000000013</v>
      </c>
      <c r="O7" s="199">
        <f t="shared" si="3"/>
        <v>597984.69999999995</v>
      </c>
      <c r="P7" s="190">
        <f t="shared" si="1"/>
        <v>3.0724535694593219E-3</v>
      </c>
      <c r="R7" s="167"/>
    </row>
    <row r="8" spans="1:18" ht="13" x14ac:dyDescent="0.25">
      <c r="A8" s="189">
        <f>'Input - Customer Data'!D9</f>
        <v>2014</v>
      </c>
      <c r="B8" s="199">
        <f>'Input - Customer Data'!G$66</f>
        <v>202495777.38000003</v>
      </c>
      <c r="C8" s="473">
        <f>SUM('Input - Adjustments &amp; Variables'!H41:H52)-SUM('Input - Adjustments &amp; Variables'!D41:D52)</f>
        <v>504927925.73999989</v>
      </c>
      <c r="D8" s="399">
        <f t="shared" si="2"/>
        <v>0.40103897419266565</v>
      </c>
      <c r="E8" s="473">
        <f>SUM(Forecast!M40:M51)</f>
        <v>506469024.42164636</v>
      </c>
      <c r="F8" s="175">
        <f t="shared" si="0"/>
        <v>203113818.01441717</v>
      </c>
      <c r="G8" s="174">
        <f>F8/'Input - Customer Data'!E9</f>
        <v>7853.4009633165761</v>
      </c>
      <c r="H8" s="167"/>
      <c r="I8" s="266"/>
      <c r="K8" s="189">
        <f>'Input - Customer Data'!D9</f>
        <v>2014</v>
      </c>
      <c r="L8" s="175">
        <f>'Bridge&amp;Test Year Class Forecast'!B64</f>
        <v>195767695.11000001</v>
      </c>
      <c r="M8" s="199">
        <f>'Input - Customer Data'!G$75</f>
        <v>664361.51</v>
      </c>
      <c r="N8" s="473">
        <v>-90932.760000000009</v>
      </c>
      <c r="O8" s="199">
        <f t="shared" si="3"/>
        <v>573428.75</v>
      </c>
      <c r="P8" s="190">
        <f t="shared" si="1"/>
        <v>2.9291285759777464E-3</v>
      </c>
      <c r="R8" s="167"/>
    </row>
    <row r="9" spans="1:18" ht="13" x14ac:dyDescent="0.25">
      <c r="A9" s="189">
        <f>'Input - Customer Data'!D10</f>
        <v>2015</v>
      </c>
      <c r="B9" s="199">
        <f>'Input - Customer Data'!H$66</f>
        <v>199739669.07999998</v>
      </c>
      <c r="C9" s="473">
        <f>SUM('Input - Adjustments &amp; Variables'!H53:H64)-SUM('Input - Adjustments &amp; Variables'!D53:D64)</f>
        <v>494324941.81999999</v>
      </c>
      <c r="D9" s="399">
        <f t="shared" si="2"/>
        <v>0.40406552893042524</v>
      </c>
      <c r="E9" s="473">
        <f>SUM(Forecast!M52:M63)</f>
        <v>501092852.84721923</v>
      </c>
      <c r="F9" s="175">
        <f t="shared" si="0"/>
        <v>202474348.62896737</v>
      </c>
      <c r="G9" s="174">
        <f>F9/'Input - Customer Data'!E10</f>
        <v>7811.4350219989146</v>
      </c>
      <c r="H9" s="167"/>
      <c r="I9" s="266"/>
      <c r="K9" s="189">
        <f>'Input - Customer Data'!D10</f>
        <v>2015</v>
      </c>
      <c r="L9" s="175">
        <f>'Bridge&amp;Test Year Class Forecast'!B65</f>
        <v>189310138.06999999</v>
      </c>
      <c r="M9" s="199">
        <f>'Input - Customer Data'!H$75</f>
        <v>615145.36</v>
      </c>
      <c r="N9" s="473">
        <v>-64241.589999999989</v>
      </c>
      <c r="O9" s="199">
        <f t="shared" si="3"/>
        <v>550903.77</v>
      </c>
      <c r="P9" s="190">
        <f t="shared" si="1"/>
        <v>2.9100595225190523E-3</v>
      </c>
      <c r="R9" s="167"/>
    </row>
    <row r="10" spans="1:18" ht="13" x14ac:dyDescent="0.25">
      <c r="A10" s="189">
        <f>'Input - Customer Data'!D11</f>
        <v>2016</v>
      </c>
      <c r="B10" s="199">
        <f>'Input - Customer Data'!I$66</f>
        <v>202182964.05000001</v>
      </c>
      <c r="C10" s="473">
        <f>SUM('Input - Adjustments &amp; Variables'!H65:H76)-SUM('Input - Adjustments &amp; Variables'!D65:D76)</f>
        <v>491633276.0999999</v>
      </c>
      <c r="D10" s="399">
        <f t="shared" si="2"/>
        <v>0.41124751695789463</v>
      </c>
      <c r="E10" s="473">
        <f>SUM(Forecast!M64:M75)</f>
        <v>506320559.74364376</v>
      </c>
      <c r="F10" s="175">
        <f t="shared" si="0"/>
        <v>208223072.97930485</v>
      </c>
      <c r="G10" s="174">
        <f>F10/'Input - Customer Data'!E11</f>
        <v>7999.528980837892</v>
      </c>
      <c r="H10" s="167"/>
      <c r="I10" s="266"/>
      <c r="K10" s="189">
        <f>'Input - Customer Data'!D11</f>
        <v>2016</v>
      </c>
      <c r="L10" s="175">
        <f>'Bridge&amp;Test Year Class Forecast'!B66</f>
        <v>185209883.51999998</v>
      </c>
      <c r="M10" s="199">
        <f>'Input - Customer Data'!I$75</f>
        <v>580036.22</v>
      </c>
      <c r="N10" s="473">
        <v>-33215.230000000003</v>
      </c>
      <c r="O10" s="199">
        <f t="shared" si="3"/>
        <v>546820.99</v>
      </c>
      <c r="P10" s="190">
        <f t="shared" si="1"/>
        <v>2.9524395761576692E-3</v>
      </c>
      <c r="R10" s="167"/>
    </row>
    <row r="11" spans="1:18" ht="13" x14ac:dyDescent="0.25">
      <c r="A11" s="189">
        <f>'Input - Customer Data'!D12</f>
        <v>2017</v>
      </c>
      <c r="B11" s="199">
        <f>'Input - Customer Data'!J$66</f>
        <v>192333396.59142745</v>
      </c>
      <c r="C11" s="473">
        <f>SUM('Input - Adjustments &amp; Variables'!H77:H88)-SUM('Input - Adjustments &amp; Variables'!D77:D88)</f>
        <v>476909006.88</v>
      </c>
      <c r="D11" s="399">
        <f t="shared" si="2"/>
        <v>0.4032916003195185</v>
      </c>
      <c r="E11" s="473">
        <f>SUM(Forecast!M76:M87)</f>
        <v>482552397.2252028</v>
      </c>
      <c r="F11" s="175">
        <f t="shared" si="0"/>
        <v>194609328.514972</v>
      </c>
      <c r="G11" s="174">
        <f>F11/'Input - Customer Data'!E12</f>
        <v>7419.7894210784862</v>
      </c>
      <c r="H11" s="167"/>
      <c r="I11" s="266"/>
      <c r="K11" s="189">
        <f>'Input - Customer Data'!D12</f>
        <v>2017</v>
      </c>
      <c r="L11" s="175">
        <f>'Bridge&amp;Test Year Class Forecast'!B67</f>
        <v>183196052.27825353</v>
      </c>
      <c r="M11" s="199">
        <f>'Input - Customer Data'!J$75</f>
        <v>588371.79999999993</v>
      </c>
      <c r="N11" s="473">
        <v>-38285.839999999997</v>
      </c>
      <c r="O11" s="199">
        <f t="shared" si="3"/>
        <v>550085.96</v>
      </c>
      <c r="P11" s="190">
        <f t="shared" si="1"/>
        <v>3.0027173247406187E-3</v>
      </c>
      <c r="R11" s="167"/>
    </row>
    <row r="12" spans="1:18" ht="13" x14ac:dyDescent="0.25">
      <c r="A12" s="189">
        <f>'Input - Customer Data'!D13</f>
        <v>2018</v>
      </c>
      <c r="B12" s="199">
        <f>'Input - Customer Data'!K$66</f>
        <v>213384791.97681683</v>
      </c>
      <c r="C12" s="473">
        <f>SUM('Input - Adjustments &amp; Variables'!H89:H100)-SUM('Input - Adjustments &amp; Variables'!D89:D100)</f>
        <v>502625267.96000004</v>
      </c>
      <c r="D12" s="399">
        <f t="shared" si="2"/>
        <v>0.42454051871064796</v>
      </c>
      <c r="E12" s="473">
        <f>SUM(Forecast!M88:M99)</f>
        <v>497951471.5907684</v>
      </c>
      <c r="F12" s="175">
        <f t="shared" si="0"/>
        <v>211400576.0418753</v>
      </c>
      <c r="G12" s="174">
        <f>F12/'Input - Customer Data'!E13</f>
        <v>7987.9806299633592</v>
      </c>
      <c r="H12" s="167"/>
      <c r="I12" s="266"/>
      <c r="K12" s="189">
        <f>'Input - Customer Data'!D13</f>
        <v>2018</v>
      </c>
      <c r="L12" s="175">
        <f>'Bridge&amp;Test Year Class Forecast'!B68</f>
        <v>185835409.80878308</v>
      </c>
      <c r="M12" s="199">
        <f>'Input - Customer Data'!K$75</f>
        <v>580250.94000000006</v>
      </c>
      <c r="N12" s="473">
        <v>-21240.050000000003</v>
      </c>
      <c r="O12" s="199">
        <f t="shared" si="3"/>
        <v>559010.89</v>
      </c>
      <c r="P12" s="190">
        <f t="shared" si="1"/>
        <v>3.0080967377272123E-3</v>
      </c>
      <c r="R12" s="167"/>
    </row>
    <row r="13" spans="1:18" ht="13" x14ac:dyDescent="0.25">
      <c r="A13" s="189">
        <f>'Input - Customer Data'!D14</f>
        <v>2019</v>
      </c>
      <c r="B13" s="199">
        <f>'Input - Customer Data'!L$66</f>
        <v>208333695.23086321</v>
      </c>
      <c r="C13" s="473">
        <f>SUM('Input - Adjustments &amp; Variables'!H101:H112)-SUM('Input - Adjustments &amp; Variables'!D101:D112)</f>
        <v>490029500.53746313</v>
      </c>
      <c r="D13" s="399">
        <f t="shared" si="2"/>
        <v>0.42514521065030442</v>
      </c>
      <c r="E13" s="473">
        <f>SUM(Forecast!M100:M111)</f>
        <v>481829742.73647618</v>
      </c>
      <c r="F13" s="175">
        <f t="shared" si="0"/>
        <v>204847607.47328115</v>
      </c>
      <c r="G13" s="174">
        <f>F13/'Input - Customer Data'!E14</f>
        <v>7687.4547781469264</v>
      </c>
      <c r="H13" s="167"/>
      <c r="I13" s="266"/>
      <c r="K13" s="189">
        <f>'Input - Customer Data'!D14</f>
        <v>2019</v>
      </c>
      <c r="L13" s="175">
        <f>'Bridge&amp;Test Year Class Forecast'!B69</f>
        <v>179705785.74639916</v>
      </c>
      <c r="M13" s="199">
        <f>'Input - Customer Data'!L$75</f>
        <v>553966.00999999966</v>
      </c>
      <c r="N13" s="473">
        <v>-11716.370000000003</v>
      </c>
      <c r="O13" s="199">
        <f t="shared" si="3"/>
        <v>542249.63999999966</v>
      </c>
      <c r="P13" s="190">
        <f t="shared" si="1"/>
        <v>3.017430060739516E-3</v>
      </c>
      <c r="R13" s="167"/>
    </row>
    <row r="14" spans="1:18" ht="13" x14ac:dyDescent="0.25">
      <c r="A14" s="346">
        <f>'Input - Customer Data'!D15</f>
        <v>2020</v>
      </c>
      <c r="B14" s="199">
        <f>'Input - Customer Data'!M$66</f>
        <v>220200219.65924728</v>
      </c>
      <c r="C14" s="473">
        <f>SUM('Input - Adjustments &amp; Variables'!H113:H124)-SUM('Input - Adjustments &amp; Variables'!D113:D124)</f>
        <v>482494034.60487103</v>
      </c>
      <c r="D14" s="399">
        <f t="shared" si="2"/>
        <v>0.45637915469685736</v>
      </c>
      <c r="E14" s="473">
        <f>SUM(Forecast!M112:M123)</f>
        <v>488957597.90415514</v>
      </c>
      <c r="F14" s="338">
        <f>E14*D14</f>
        <v>223150055.21410421</v>
      </c>
      <c r="G14" s="339">
        <f>F14/'Input - Customer Data'!E15</f>
        <v>8290.7125421664277</v>
      </c>
      <c r="H14" s="167"/>
      <c r="I14" s="266"/>
      <c r="K14" s="189">
        <f>'Input - Customer Data'!D15</f>
        <v>2020</v>
      </c>
      <c r="L14" s="175">
        <f>'Bridge&amp;Test Year Class Forecast'!B70</f>
        <v>165593467.56708583</v>
      </c>
      <c r="M14" s="199">
        <f>'Input - Customer Data'!M$75</f>
        <v>527483.83000000007</v>
      </c>
      <c r="N14" s="473">
        <v>-15305.64</v>
      </c>
      <c r="O14" s="199">
        <f t="shared" si="3"/>
        <v>512178.19000000006</v>
      </c>
      <c r="P14" s="190">
        <f t="shared" si="1"/>
        <v>3.0929854753630579E-3</v>
      </c>
      <c r="R14" s="167"/>
    </row>
    <row r="15" spans="1:18" ht="13" x14ac:dyDescent="0.25">
      <c r="A15" s="315">
        <f>'Input - Customer Data'!D19</f>
        <v>2021</v>
      </c>
      <c r="B15" s="361"/>
      <c r="C15" s="307"/>
      <c r="D15" s="311">
        <f>AVERAGE(D10:D14)</f>
        <v>0.42412080026704457</v>
      </c>
      <c r="E15" s="473">
        <f>SUM(Forecast!M124:M135)</f>
        <v>486071741.32994813</v>
      </c>
      <c r="F15" s="307">
        <f>E15*D15</f>
        <v>206153135.92005348</v>
      </c>
      <c r="G15" s="310">
        <f>F15/'Input - Customer Data'!E15</f>
        <v>7659.2245874169994</v>
      </c>
      <c r="H15" s="167"/>
      <c r="I15" s="266"/>
      <c r="K15" s="460">
        <f>'Input - Customer Data'!D19</f>
        <v>2021</v>
      </c>
      <c r="L15" s="361">
        <f>G82-E82</f>
        <v>181587752.52843145</v>
      </c>
      <c r="M15" s="475">
        <f>O15-N15</f>
        <v>567153.48822586006</v>
      </c>
      <c r="N15" s="474">
        <v>-19714.746666666699</v>
      </c>
      <c r="O15" s="361">
        <f>L15*$P$19</f>
        <v>547438.74155919335</v>
      </c>
      <c r="P15" s="461">
        <f t="shared" si="1"/>
        <v>3.0147338349456147E-3</v>
      </c>
      <c r="R15" s="167"/>
    </row>
    <row r="16" spans="1:18" ht="13" x14ac:dyDescent="0.25">
      <c r="A16" s="315">
        <f>'Input - Customer Data'!D20</f>
        <v>2022</v>
      </c>
      <c r="B16" s="312"/>
      <c r="C16" s="313" t="s">
        <v>100</v>
      </c>
      <c r="D16" s="311">
        <f>D15</f>
        <v>0.42412080026704457</v>
      </c>
      <c r="E16" s="473">
        <f>SUM(Forecast!M136:M147)</f>
        <v>487062656.71998221</v>
      </c>
      <c r="F16" s="307">
        <f t="shared" si="0"/>
        <v>206573403.74827167</v>
      </c>
      <c r="G16" s="310">
        <f>F16/'Input - Customer Data'!E15</f>
        <v>7674.8388329574473</v>
      </c>
      <c r="H16" s="167"/>
      <c r="I16" s="266"/>
      <c r="K16" s="460">
        <f>'Input - Customer Data'!D20</f>
        <v>2022</v>
      </c>
      <c r="L16" s="361">
        <f>G83-E82</f>
        <v>184661166.89148271</v>
      </c>
      <c r="M16" s="475">
        <f>O16-N16</f>
        <v>576419.01449495857</v>
      </c>
      <c r="N16" s="474">
        <v>-19714.746666666699</v>
      </c>
      <c r="O16" s="361">
        <f>L16*$P$19</f>
        <v>556704.26782829186</v>
      </c>
      <c r="P16" s="461">
        <f t="shared" si="1"/>
        <v>3.0147338349456147E-3</v>
      </c>
      <c r="R16" s="167"/>
    </row>
    <row r="17" spans="1:18" ht="13" thickBot="1" x14ac:dyDescent="0.3">
      <c r="A17" s="400">
        <f>'Input - Customer Data'!D20</f>
        <v>2022</v>
      </c>
      <c r="B17" s="284"/>
      <c r="C17" s="284"/>
      <c r="D17" s="285">
        <f>D16</f>
        <v>0.42412080026704457</v>
      </c>
      <c r="E17" s="286">
        <f>SUM(Forecast!C136:C147)</f>
        <v>522769999.65821135</v>
      </c>
      <c r="F17" s="286">
        <f t="shared" si="0"/>
        <v>221717630.61064321</v>
      </c>
      <c r="G17" s="287" t="e">
        <f>F17/'Input - Customer Data'!#REF!</f>
        <v>#REF!</v>
      </c>
      <c r="H17" s="167"/>
      <c r="I17" s="266"/>
      <c r="K17" s="281">
        <f>'Input - Customer Data'!D20</f>
        <v>2022</v>
      </c>
      <c r="L17" s="282">
        <f>'Bridge&amp;Test Year Class Forecast'!F73</f>
        <v>192432979.74969748</v>
      </c>
      <c r="M17" s="282"/>
      <c r="N17" s="282"/>
      <c r="O17" s="282">
        <f>L17*$P$19</f>
        <v>580134.21501081728</v>
      </c>
      <c r="P17" s="283">
        <f t="shared" si="1"/>
        <v>3.0147338349456147E-3</v>
      </c>
      <c r="R17" s="167"/>
    </row>
    <row r="18" spans="1:18" x14ac:dyDescent="0.25">
      <c r="A18" s="230"/>
      <c r="B18" s="173"/>
      <c r="C18" s="173"/>
      <c r="D18" s="171"/>
      <c r="E18" s="172"/>
      <c r="F18" s="169"/>
      <c r="G18" s="231"/>
      <c r="H18" s="149"/>
      <c r="I18" s="266"/>
      <c r="K18" s="188"/>
      <c r="L18" s="175"/>
      <c r="M18" s="175"/>
      <c r="N18" s="175"/>
      <c r="O18" s="276"/>
      <c r="P18" s="187"/>
      <c r="R18" s="161"/>
    </row>
    <row r="19" spans="1:18" ht="13" x14ac:dyDescent="0.25">
      <c r="A19" s="230"/>
      <c r="B19" s="173"/>
      <c r="C19" s="173"/>
      <c r="D19" s="171"/>
      <c r="E19" s="172"/>
      <c r="F19" s="169"/>
      <c r="G19" s="231"/>
      <c r="H19" s="149"/>
      <c r="I19" s="266"/>
      <c r="K19" s="184" t="s">
        <v>100</v>
      </c>
      <c r="L19" s="183"/>
      <c r="M19" s="183"/>
      <c r="N19" s="183"/>
      <c r="O19" s="183"/>
      <c r="P19" s="185">
        <f>AVERAGE(P10:P14)</f>
        <v>3.0147338349456147E-3</v>
      </c>
      <c r="R19" s="161"/>
    </row>
    <row r="20" spans="1:18" ht="13" thickBot="1" x14ac:dyDescent="0.3">
      <c r="A20" s="230"/>
      <c r="B20" s="173"/>
      <c r="C20" s="173"/>
      <c r="D20" s="171"/>
      <c r="E20" s="172"/>
      <c r="F20" s="169"/>
      <c r="G20" s="231"/>
      <c r="H20" s="149"/>
      <c r="I20" s="266"/>
      <c r="K20" s="180"/>
      <c r="L20" s="179"/>
      <c r="M20" s="179"/>
      <c r="N20" s="179"/>
      <c r="O20" s="179"/>
      <c r="P20" s="181"/>
      <c r="R20" s="161"/>
    </row>
    <row r="21" spans="1:18" x14ac:dyDescent="0.25">
      <c r="A21" s="230"/>
      <c r="B21" s="173"/>
      <c r="C21" s="173"/>
      <c r="D21" s="171"/>
      <c r="E21" s="172"/>
      <c r="F21" s="169"/>
      <c r="G21" s="231"/>
      <c r="H21" s="149"/>
      <c r="I21" s="266"/>
    </row>
    <row r="22" spans="1:18" ht="37.5" customHeight="1" x14ac:dyDescent="0.3">
      <c r="A22" s="524" t="s">
        <v>96</v>
      </c>
      <c r="B22" s="525"/>
      <c r="C22" s="525"/>
      <c r="D22" s="525"/>
      <c r="E22" s="525"/>
      <c r="F22" s="525"/>
      <c r="G22" s="526"/>
      <c r="H22" s="167"/>
      <c r="I22" s="266"/>
      <c r="K22" s="535" t="s">
        <v>220</v>
      </c>
      <c r="L22" s="536"/>
      <c r="M22" s="536"/>
      <c r="N22" s="536"/>
      <c r="O22" s="536"/>
      <c r="P22" s="536"/>
    </row>
    <row r="23" spans="1:18" ht="29.25" customHeight="1" x14ac:dyDescent="0.3">
      <c r="A23" s="232"/>
      <c r="B23" s="168"/>
      <c r="C23" s="168"/>
      <c r="D23" s="168"/>
      <c r="E23" s="168"/>
      <c r="F23" s="168"/>
      <c r="G23" s="233"/>
      <c r="H23" s="167"/>
      <c r="I23" s="266"/>
      <c r="K23" s="530" t="s">
        <v>221</v>
      </c>
      <c r="L23" s="531"/>
      <c r="M23" s="531"/>
      <c r="N23" s="531"/>
      <c r="O23" s="531"/>
      <c r="P23" s="531"/>
    </row>
    <row r="24" spans="1:18" ht="13.5" customHeight="1" thickBot="1" x14ac:dyDescent="0.35">
      <c r="A24" s="156" t="s">
        <v>59</v>
      </c>
      <c r="B24" s="156"/>
      <c r="C24" s="429"/>
      <c r="D24" s="156"/>
      <c r="E24" s="156"/>
      <c r="F24" s="156"/>
      <c r="G24" s="156"/>
      <c r="H24" s="166"/>
      <c r="I24" s="266"/>
      <c r="K24"/>
      <c r="L24"/>
      <c r="M24"/>
      <c r="N24"/>
      <c r="O24"/>
      <c r="P24"/>
      <c r="Q24"/>
    </row>
    <row r="25" spans="1:18" ht="39.65" customHeight="1" x14ac:dyDescent="0.3">
      <c r="A25" s="391" t="s">
        <v>74</v>
      </c>
      <c r="B25" s="391" t="s">
        <v>94</v>
      </c>
      <c r="C25" s="391" t="s">
        <v>93</v>
      </c>
      <c r="D25" s="430" t="s">
        <v>193</v>
      </c>
      <c r="E25" s="391"/>
      <c r="F25" s="392"/>
      <c r="G25" s="192" t="s">
        <v>77</v>
      </c>
      <c r="H25" s="165"/>
      <c r="I25" s="266"/>
      <c r="K25" s="527" t="str">
        <f>A87</f>
        <v>Embedded</v>
      </c>
      <c r="L25" s="528"/>
      <c r="M25" s="528"/>
      <c r="N25" s="529"/>
      <c r="O25"/>
      <c r="P25"/>
      <c r="Q25"/>
    </row>
    <row r="26" spans="1:18" ht="13" x14ac:dyDescent="0.3">
      <c r="A26" s="315">
        <f>A15</f>
        <v>2021</v>
      </c>
      <c r="B26" s="276">
        <f>'Input - Customer Data'!E24-'Input - Customer Data'!E15</f>
        <v>203.6243953715275</v>
      </c>
      <c r="C26" s="276">
        <f>G15</f>
        <v>7659.2245874169994</v>
      </c>
      <c r="D26" s="276">
        <f>B26*C26</f>
        <v>1559604.9756275236</v>
      </c>
      <c r="E26" s="276"/>
      <c r="F26" s="276"/>
      <c r="G26" s="389">
        <f>F15+D26</f>
        <v>207712740.89568099</v>
      </c>
      <c r="H26" s="162"/>
      <c r="I26" s="266"/>
      <c r="K26" s="290" t="s">
        <v>74</v>
      </c>
      <c r="L26" s="397" t="s">
        <v>75</v>
      </c>
      <c r="M26" s="397" t="s">
        <v>76</v>
      </c>
      <c r="N26" s="289" t="s">
        <v>103</v>
      </c>
      <c r="O26"/>
      <c r="P26"/>
      <c r="Q26"/>
    </row>
    <row r="27" spans="1:18" ht="13" x14ac:dyDescent="0.3">
      <c r="A27" s="315">
        <f>A16</f>
        <v>2022</v>
      </c>
      <c r="B27" s="276">
        <f>'Input - Customer Data'!E25-'Input - Customer Data'!E24</f>
        <v>205.16486973183055</v>
      </c>
      <c r="C27" s="276">
        <f>G16</f>
        <v>7674.8388329574473</v>
      </c>
      <c r="D27" s="276">
        <f>B27*C27</f>
        <v>1574607.3093765092</v>
      </c>
      <c r="E27" s="276"/>
      <c r="F27" s="276"/>
      <c r="G27" s="389">
        <f>F16+D26+D27</f>
        <v>209707616.03327569</v>
      </c>
      <c r="H27" s="162"/>
      <c r="I27" s="266"/>
      <c r="K27" s="462">
        <f>K5</f>
        <v>2011</v>
      </c>
      <c r="L27" s="175">
        <f>'Bridge&amp;Test Year Class Forecast'!B89</f>
        <v>5010546.66</v>
      </c>
      <c r="M27" s="199">
        <f>'Input - Customer Data'!D$80</f>
        <v>12008.64</v>
      </c>
      <c r="N27" s="190">
        <f>M27/L27</f>
        <v>2.3966726217454284E-3</v>
      </c>
      <c r="O27"/>
      <c r="P27"/>
      <c r="Q27"/>
    </row>
    <row r="28" spans="1:18" ht="13" x14ac:dyDescent="0.3">
      <c r="A28" s="144"/>
      <c r="B28" s="144"/>
      <c r="C28" s="144"/>
      <c r="D28" s="144"/>
      <c r="E28" s="144"/>
      <c r="F28" s="144"/>
      <c r="I28" s="266"/>
      <c r="K28" s="463">
        <f t="shared" ref="K28:K38" si="4">K6</f>
        <v>2012</v>
      </c>
      <c r="L28" s="175">
        <f>'Bridge&amp;Test Year Class Forecast'!B90</f>
        <v>5264498.6195</v>
      </c>
      <c r="M28" s="199">
        <f>'Input - Customer Data'!E$80</f>
        <v>12682.68</v>
      </c>
      <c r="N28" s="190">
        <f t="shared" ref="N28:N36" si="5">M28/L28</f>
        <v>2.4090955125380103E-3</v>
      </c>
      <c r="O28"/>
      <c r="P28"/>
      <c r="Q28"/>
    </row>
    <row r="29" spans="1:18" ht="13" x14ac:dyDescent="0.3">
      <c r="I29" s="266"/>
      <c r="K29" s="463">
        <f t="shared" si="4"/>
        <v>2013</v>
      </c>
      <c r="L29" s="175">
        <f>'Bridge&amp;Test Year Class Forecast'!B91</f>
        <v>4854403.5</v>
      </c>
      <c r="M29" s="199">
        <f>'Input - Customer Data'!F$80</f>
        <v>12041.64</v>
      </c>
      <c r="N29" s="190">
        <f t="shared" si="5"/>
        <v>2.4805601759309869E-3</v>
      </c>
      <c r="O29"/>
      <c r="P29"/>
      <c r="Q29"/>
    </row>
    <row r="30" spans="1:18" ht="16.5" customHeight="1" thickBot="1" x14ac:dyDescent="0.35">
      <c r="I30" s="266"/>
      <c r="K30" s="464">
        <f t="shared" si="4"/>
        <v>2014</v>
      </c>
      <c r="L30" s="175">
        <f>'Bridge&amp;Test Year Class Forecast'!B92</f>
        <v>4975331.1999999993</v>
      </c>
      <c r="M30" s="199">
        <f>'Input - Customer Data'!G$80</f>
        <v>12958.4</v>
      </c>
      <c r="N30" s="190">
        <f t="shared" si="5"/>
        <v>2.6045301265572034E-3</v>
      </c>
      <c r="O30"/>
      <c r="P30"/>
      <c r="Q30"/>
    </row>
    <row r="31" spans="1:18" ht="15.75" customHeight="1" x14ac:dyDescent="0.3">
      <c r="A31" s="527" t="str">
        <f>'Input - Customer Data'!A14</f>
        <v>General Service &lt; 50 kW</v>
      </c>
      <c r="B31" s="528"/>
      <c r="C31" s="528"/>
      <c r="D31" s="528"/>
      <c r="E31" s="528"/>
      <c r="F31" s="528"/>
      <c r="G31" s="529"/>
      <c r="I31" s="266"/>
      <c r="K31" s="464">
        <f t="shared" si="4"/>
        <v>2015</v>
      </c>
      <c r="L31" s="175">
        <f>'Bridge&amp;Test Year Class Forecast'!B93</f>
        <v>5138938.0000000009</v>
      </c>
      <c r="M31" s="199">
        <f>'Input - Customer Data'!H$80</f>
        <v>13742.4</v>
      </c>
      <c r="N31" s="190">
        <f t="shared" si="5"/>
        <v>2.6741712003530687E-3</v>
      </c>
      <c r="O31"/>
      <c r="P31"/>
      <c r="Q31"/>
    </row>
    <row r="32" spans="1:18" ht="39" x14ac:dyDescent="0.3">
      <c r="A32" s="401" t="s">
        <v>74</v>
      </c>
      <c r="B32" s="402" t="s">
        <v>122</v>
      </c>
      <c r="C32" s="480" t="s">
        <v>218</v>
      </c>
      <c r="D32" s="402" t="s">
        <v>99</v>
      </c>
      <c r="E32" s="480" t="s">
        <v>219</v>
      </c>
      <c r="F32" s="402" t="s">
        <v>98</v>
      </c>
      <c r="G32" s="403" t="s">
        <v>97</v>
      </c>
      <c r="I32" s="266"/>
      <c r="K32" s="464">
        <f t="shared" si="4"/>
        <v>2016</v>
      </c>
      <c r="L32" s="175">
        <f>'Bridge&amp;Test Year Class Forecast'!B94</f>
        <v>5604942.4199999999</v>
      </c>
      <c r="M32" s="199">
        <f>'Input - Customer Data'!I$80</f>
        <v>16375.72</v>
      </c>
      <c r="N32" s="190">
        <f t="shared" si="5"/>
        <v>2.9216571327417848E-3</v>
      </c>
      <c r="O32"/>
      <c r="P32"/>
      <c r="Q32"/>
    </row>
    <row r="33" spans="1:17" ht="13" x14ac:dyDescent="0.3">
      <c r="A33" s="189">
        <f t="shared" ref="A33:A45" si="6">A5</f>
        <v>2011</v>
      </c>
      <c r="B33" s="199">
        <f>'Input - Customer Data'!D$70</f>
        <v>71478285.230000004</v>
      </c>
      <c r="C33" s="473">
        <f t="shared" ref="C33:C42" si="7">C5</f>
        <v>535581625.16999972</v>
      </c>
      <c r="D33" s="399">
        <f>B33/C33</f>
        <v>0.13345918132891879</v>
      </c>
      <c r="E33" s="473">
        <f t="shared" ref="E33:E45" si="8">E5</f>
        <v>515955628.21736974</v>
      </c>
      <c r="F33" s="175">
        <f t="shared" ref="F33:F45" si="9">E33*D33</f>
        <v>68859015.743938163</v>
      </c>
      <c r="G33" s="174">
        <f>F33/'Input - Customer Data'!G6</f>
        <v>27466.69953886644</v>
      </c>
      <c r="I33" s="266"/>
      <c r="K33" s="464">
        <f t="shared" si="4"/>
        <v>2017</v>
      </c>
      <c r="L33" s="175">
        <f>'Bridge&amp;Test Year Class Forecast'!B95</f>
        <v>4768119.9723423496</v>
      </c>
      <c r="M33" s="199">
        <f>'Input - Customer Data'!J$80</f>
        <v>12501.41</v>
      </c>
      <c r="N33" s="190">
        <f t="shared" si="5"/>
        <v>2.6218740452242971E-3</v>
      </c>
      <c r="O33"/>
      <c r="P33"/>
      <c r="Q33"/>
    </row>
    <row r="34" spans="1:17" ht="13" x14ac:dyDescent="0.3">
      <c r="A34" s="189">
        <f t="shared" si="6"/>
        <v>2012</v>
      </c>
      <c r="B34" s="199">
        <f>'Input - Customer Data'!E$70</f>
        <v>70359939.605000004</v>
      </c>
      <c r="C34" s="473">
        <f t="shared" si="7"/>
        <v>520912441.87000012</v>
      </c>
      <c r="D34" s="399">
        <f t="shared" ref="D34:D42" si="10">B34/C34</f>
        <v>0.13507056839037676</v>
      </c>
      <c r="E34" s="473">
        <f t="shared" si="8"/>
        <v>512268691.80959123</v>
      </c>
      <c r="F34" s="175">
        <f t="shared" si="9"/>
        <v>69192423.371316224</v>
      </c>
      <c r="G34" s="174">
        <f>F34/'Input - Customer Data'!G7</f>
        <v>27338.878550452562</v>
      </c>
      <c r="I34" s="266"/>
      <c r="K34" s="464">
        <f t="shared" si="4"/>
        <v>2018</v>
      </c>
      <c r="L34" s="175">
        <f>'Bridge&amp;Test Year Class Forecast'!B96</f>
        <v>5218945.2166489204</v>
      </c>
      <c r="M34" s="199">
        <f>'Input - Customer Data'!K$80</f>
        <v>13532.36</v>
      </c>
      <c r="N34" s="190">
        <f t="shared" si="5"/>
        <v>2.592930072695631E-3</v>
      </c>
      <c r="O34"/>
      <c r="P34"/>
      <c r="Q34"/>
    </row>
    <row r="35" spans="1:17" ht="13" x14ac:dyDescent="0.3">
      <c r="A35" s="189">
        <f t="shared" si="6"/>
        <v>2013</v>
      </c>
      <c r="B35" s="199">
        <f>'Input - Customer Data'!F$70</f>
        <v>68674576.604000002</v>
      </c>
      <c r="C35" s="473">
        <f t="shared" si="7"/>
        <v>509774030.71999985</v>
      </c>
      <c r="D35" s="399">
        <f t="shared" si="10"/>
        <v>0.13471572199745974</v>
      </c>
      <c r="E35" s="473">
        <f t="shared" si="8"/>
        <v>515814061.91370291</v>
      </c>
      <c r="F35" s="175">
        <f t="shared" si="9"/>
        <v>69488263.767146885</v>
      </c>
      <c r="G35" s="174">
        <f>F35/'Input - Customer Data'!G8</f>
        <v>27524.64648310819</v>
      </c>
      <c r="I35" s="266"/>
      <c r="K35" s="464">
        <f t="shared" si="4"/>
        <v>2019</v>
      </c>
      <c r="L35" s="175">
        <f>'Bridge&amp;Test Year Class Forecast'!B97</f>
        <v>5234524.4083762597</v>
      </c>
      <c r="M35" s="199">
        <f>'Input - Customer Data'!L$80</f>
        <v>13275.64</v>
      </c>
      <c r="N35" s="190">
        <f t="shared" si="5"/>
        <v>2.5361692800125999E-3</v>
      </c>
      <c r="O35"/>
      <c r="P35"/>
      <c r="Q35"/>
    </row>
    <row r="36" spans="1:17" ht="13" x14ac:dyDescent="0.3">
      <c r="A36" s="189">
        <f t="shared" si="6"/>
        <v>2014</v>
      </c>
      <c r="B36" s="199">
        <f>'Input - Customer Data'!G$70</f>
        <v>69135015.260000005</v>
      </c>
      <c r="C36" s="473">
        <f t="shared" si="7"/>
        <v>504927925.73999989</v>
      </c>
      <c r="D36" s="399">
        <f t="shared" si="10"/>
        <v>0.13692056179835727</v>
      </c>
      <c r="E36" s="473">
        <f t="shared" si="8"/>
        <v>506469024.42164636</v>
      </c>
      <c r="F36" s="175">
        <f t="shared" si="9"/>
        <v>69346023.357277751</v>
      </c>
      <c r="G36" s="174">
        <f>F36/'Input - Customer Data'!G9</f>
        <v>27601.32277313785</v>
      </c>
      <c r="I36" s="266"/>
      <c r="K36" s="464">
        <f t="shared" si="4"/>
        <v>2020</v>
      </c>
      <c r="L36" s="175">
        <f>'Bridge&amp;Test Year Class Forecast'!B98</f>
        <v>5321959.9988488881</v>
      </c>
      <c r="M36" s="199">
        <f>'Input - Customer Data'!M$80</f>
        <v>14339.56</v>
      </c>
      <c r="N36" s="190">
        <f t="shared" si="5"/>
        <v>2.6944133370227453E-3</v>
      </c>
      <c r="O36"/>
      <c r="P36"/>
      <c r="Q36"/>
    </row>
    <row r="37" spans="1:17" ht="13" x14ac:dyDescent="0.3">
      <c r="A37" s="189">
        <f t="shared" si="6"/>
        <v>2015</v>
      </c>
      <c r="B37" s="199">
        <f>'Input - Customer Data'!H$70</f>
        <v>68487698.590000004</v>
      </c>
      <c r="C37" s="473">
        <f t="shared" si="7"/>
        <v>494324941.81999999</v>
      </c>
      <c r="D37" s="399">
        <f t="shared" si="10"/>
        <v>0.13854793233342175</v>
      </c>
      <c r="E37" s="473">
        <f t="shared" si="8"/>
        <v>501092852.84721923</v>
      </c>
      <c r="F37" s="175">
        <f t="shared" si="9"/>
        <v>69425378.669037789</v>
      </c>
      <c r="G37" s="174">
        <f>F37/'Input - Customer Data'!G10</f>
        <v>27857.438107017104</v>
      </c>
      <c r="I37" s="266"/>
      <c r="K37" s="315">
        <f t="shared" si="4"/>
        <v>2021</v>
      </c>
      <c r="L37" s="307">
        <f>G110</f>
        <v>5200399.9210471576</v>
      </c>
      <c r="M37" s="307">
        <f>L37*$N$41</f>
        <v>13902.794774841135</v>
      </c>
      <c r="N37" s="308">
        <f>M37/L37</f>
        <v>2.6734087735394117E-3</v>
      </c>
      <c r="O37"/>
      <c r="P37"/>
      <c r="Q37"/>
    </row>
    <row r="38" spans="1:17" ht="13" x14ac:dyDescent="0.3">
      <c r="A38" s="189">
        <f t="shared" si="6"/>
        <v>2016</v>
      </c>
      <c r="B38" s="199">
        <f>'Input - Customer Data'!I$70</f>
        <v>69095397.390000001</v>
      </c>
      <c r="C38" s="473">
        <f t="shared" si="7"/>
        <v>491633276.0999999</v>
      </c>
      <c r="D38" s="399">
        <f t="shared" si="10"/>
        <v>0.14054255630968673</v>
      </c>
      <c r="E38" s="473">
        <f t="shared" si="8"/>
        <v>506320559.74364376</v>
      </c>
      <c r="F38" s="175">
        <f t="shared" si="9"/>
        <v>71159585.778523162</v>
      </c>
      <c r="G38" s="174">
        <f>F38/'Input - Customer Data'!G11</f>
        <v>28433.505239154169</v>
      </c>
      <c r="I38" s="266"/>
      <c r="K38" s="315">
        <f t="shared" si="4"/>
        <v>2022</v>
      </c>
      <c r="L38" s="307">
        <f>G111</f>
        <v>5211001.5583733637</v>
      </c>
      <c r="M38" s="307">
        <f>L38*$N$41</f>
        <v>13931.137285082898</v>
      </c>
      <c r="N38" s="308">
        <f>M38/L38</f>
        <v>2.6734087735394117E-3</v>
      </c>
      <c r="O38"/>
      <c r="P38"/>
      <c r="Q38"/>
    </row>
    <row r="39" spans="1:17" ht="13" x14ac:dyDescent="0.3">
      <c r="A39" s="189">
        <f t="shared" si="6"/>
        <v>2017</v>
      </c>
      <c r="B39" s="199">
        <f>'Input - Customer Data'!J$70</f>
        <v>66385178.073323995</v>
      </c>
      <c r="C39" s="473">
        <f t="shared" si="7"/>
        <v>476909006.88</v>
      </c>
      <c r="D39" s="399">
        <f t="shared" si="10"/>
        <v>0.13919883482097425</v>
      </c>
      <c r="E39" s="473">
        <f t="shared" si="8"/>
        <v>482552397.2252028</v>
      </c>
      <c r="F39" s="175">
        <f t="shared" si="9"/>
        <v>67170731.433816165</v>
      </c>
      <c r="G39" s="174">
        <f>F39/'Input - Customer Data'!G12</f>
        <v>26796.834348596876</v>
      </c>
      <c r="I39" s="266"/>
      <c r="K39" s="281">
        <f>'Input - Customer Data'!D42</f>
        <v>43453458.649999976</v>
      </c>
      <c r="L39" s="395" t="s">
        <v>57</v>
      </c>
      <c r="M39" s="282" t="e">
        <f>L39*$P$19</f>
        <v>#VALUE!</v>
      </c>
      <c r="N39" s="283" t="e">
        <f>M39/L39</f>
        <v>#VALUE!</v>
      </c>
      <c r="O39"/>
      <c r="P39"/>
      <c r="Q39"/>
    </row>
    <row r="40" spans="1:17" ht="13" x14ac:dyDescent="0.3">
      <c r="A40" s="189">
        <f t="shared" si="6"/>
        <v>2018</v>
      </c>
      <c r="B40" s="199">
        <f>'Input - Customer Data'!K$70</f>
        <v>68552191.048737228</v>
      </c>
      <c r="C40" s="473">
        <f t="shared" si="7"/>
        <v>502625267.96000004</v>
      </c>
      <c r="D40" s="399">
        <f t="shared" si="10"/>
        <v>0.136388270583708</v>
      </c>
      <c r="E40" s="473">
        <f t="shared" si="8"/>
        <v>497951471.5907684</v>
      </c>
      <c r="F40" s="175">
        <f t="shared" si="9"/>
        <v>67914740.044877306</v>
      </c>
      <c r="G40" s="174">
        <f>F40/'Input - Customer Data'!G13</f>
        <v>27266.783115478192</v>
      </c>
      <c r="I40" s="266"/>
      <c r="K40" s="188"/>
      <c r="L40" s="175"/>
      <c r="M40" s="276"/>
      <c r="N40" s="187"/>
      <c r="O40"/>
      <c r="P40"/>
      <c r="Q40"/>
    </row>
    <row r="41" spans="1:17" ht="13" x14ac:dyDescent="0.3">
      <c r="A41" s="189">
        <f t="shared" si="6"/>
        <v>2019</v>
      </c>
      <c r="B41" s="199">
        <f>'Input - Customer Data'!L$70</f>
        <v>68296619.869135812</v>
      </c>
      <c r="C41" s="473">
        <f t="shared" si="7"/>
        <v>490029500.53746313</v>
      </c>
      <c r="D41" s="399">
        <f t="shared" si="10"/>
        <v>0.13937246593159849</v>
      </c>
      <c r="E41" s="473">
        <f t="shared" si="8"/>
        <v>481829742.73647618</v>
      </c>
      <c r="F41" s="175">
        <f>E41*D41</f>
        <v>67153799.404370397</v>
      </c>
      <c r="G41" s="174">
        <f>F41/'Input - Customer Data'!G14</f>
        <v>26908.160573408735</v>
      </c>
      <c r="I41" s="266"/>
      <c r="K41" s="184" t="s">
        <v>100</v>
      </c>
      <c r="L41" s="183"/>
      <c r="M41" s="183"/>
      <c r="N41" s="185">
        <f>AVERAGE(N32:N36)</f>
        <v>2.6734087735394117E-3</v>
      </c>
      <c r="O41"/>
      <c r="P41"/>
      <c r="Q41"/>
    </row>
    <row r="42" spans="1:17" ht="13.5" thickBot="1" x14ac:dyDescent="0.3">
      <c r="A42" s="189">
        <f t="shared" si="6"/>
        <v>2020</v>
      </c>
      <c r="B42" s="199">
        <f>'Input - Customer Data'!M$70</f>
        <v>63219121.669230707</v>
      </c>
      <c r="C42" s="473">
        <f t="shared" si="7"/>
        <v>482494034.60487103</v>
      </c>
      <c r="D42" s="399">
        <f t="shared" si="10"/>
        <v>0.13102570629915197</v>
      </c>
      <c r="E42" s="473">
        <f t="shared" si="8"/>
        <v>488957597.90415514</v>
      </c>
      <c r="F42" s="175">
        <f>E42*D42</f>
        <v>64066014.615728676</v>
      </c>
      <c r="G42" s="174">
        <f>F42/'Input - Customer Data'!G15</f>
        <v>25487.92147295508</v>
      </c>
      <c r="I42" s="266"/>
      <c r="K42" s="180"/>
      <c r="L42" s="179"/>
      <c r="M42" s="179"/>
      <c r="N42" s="181"/>
    </row>
    <row r="43" spans="1:17" ht="13" x14ac:dyDescent="0.25">
      <c r="A43" s="314">
        <f t="shared" si="6"/>
        <v>2021</v>
      </c>
      <c r="B43" s="199"/>
      <c r="C43" s="175"/>
      <c r="D43" s="311">
        <f>AVERAGE(D38:D42)</f>
        <v>0.13730556678902389</v>
      </c>
      <c r="E43" s="473">
        <f t="shared" si="8"/>
        <v>486071741.32994813</v>
      </c>
      <c r="F43" s="307">
        <f>E43*D43</f>
        <v>66740355.943436339</v>
      </c>
      <c r="G43" s="310">
        <f>F43/'Input - Customer Data'!G15</f>
        <v>26551.877178040515</v>
      </c>
      <c r="I43" s="266"/>
    </row>
    <row r="44" spans="1:17" ht="13" x14ac:dyDescent="0.25">
      <c r="A44" s="314">
        <f t="shared" si="6"/>
        <v>2022</v>
      </c>
      <c r="B44" s="312"/>
      <c r="C44" s="313" t="s">
        <v>100</v>
      </c>
      <c r="D44" s="311">
        <f>D43</f>
        <v>0.13730556678902389</v>
      </c>
      <c r="E44" s="473">
        <f t="shared" si="8"/>
        <v>487062656.71998221</v>
      </c>
      <c r="F44" s="307">
        <f t="shared" si="9"/>
        <v>66876414.142704934</v>
      </c>
      <c r="G44" s="310">
        <f>F44/'Input - Customer Data'!G15</f>
        <v>26606.00635588168</v>
      </c>
      <c r="I44" s="266"/>
    </row>
    <row r="45" spans="1:17" ht="13" thickBot="1" x14ac:dyDescent="0.3">
      <c r="A45" s="400">
        <f t="shared" si="6"/>
        <v>2022</v>
      </c>
      <c r="B45" s="284"/>
      <c r="C45" s="284"/>
      <c r="D45" s="285">
        <f>D44</f>
        <v>0.13730556678902389</v>
      </c>
      <c r="E45" s="286">
        <f t="shared" si="8"/>
        <v>522769999.65821135</v>
      </c>
      <c r="F45" s="286">
        <f t="shared" si="9"/>
        <v>71779231.103368536</v>
      </c>
      <c r="G45" s="287">
        <f>F45/'Input - Customer Data'!G15</f>
        <v>28556.535266399973</v>
      </c>
      <c r="I45" s="266"/>
    </row>
    <row r="46" spans="1:17" ht="15.5" x14ac:dyDescent="0.25">
      <c r="A46" s="234"/>
      <c r="B46" s="170"/>
      <c r="C46" s="170"/>
      <c r="D46" s="170"/>
      <c r="E46" s="170"/>
      <c r="F46" s="169"/>
      <c r="G46" s="231"/>
      <c r="I46" s="266"/>
      <c r="K46" s="527" t="str">
        <f>'Input - Customer Data'!A17</f>
        <v xml:space="preserve">Street Lighting </v>
      </c>
      <c r="L46" s="528"/>
      <c r="M46" s="528"/>
      <c r="N46" s="528"/>
      <c r="O46" s="528"/>
      <c r="P46" s="528"/>
      <c r="Q46" s="529"/>
    </row>
    <row r="47" spans="1:17" ht="13" x14ac:dyDescent="0.3">
      <c r="A47" s="234"/>
      <c r="B47" s="170"/>
      <c r="C47" s="170"/>
      <c r="D47" s="170"/>
      <c r="E47" s="170"/>
      <c r="F47" s="169"/>
      <c r="G47" s="231"/>
      <c r="I47" s="266"/>
      <c r="K47" s="290" t="s">
        <v>74</v>
      </c>
      <c r="L47" s="397" t="s">
        <v>75</v>
      </c>
      <c r="M47" s="397" t="s">
        <v>76</v>
      </c>
      <c r="N47" s="397" t="s">
        <v>102</v>
      </c>
      <c r="O47" s="397" t="s">
        <v>101</v>
      </c>
      <c r="P47" s="397" t="s">
        <v>104</v>
      </c>
      <c r="Q47" s="289" t="s">
        <v>103</v>
      </c>
    </row>
    <row r="48" spans="1:17" x14ac:dyDescent="0.25">
      <c r="A48" s="234"/>
      <c r="B48" s="170"/>
      <c r="C48" s="170"/>
      <c r="D48" s="170"/>
      <c r="E48" s="170"/>
      <c r="F48" s="169"/>
      <c r="G48" s="231"/>
      <c r="I48" s="266"/>
      <c r="K48" s="465">
        <f>K5</f>
        <v>2011</v>
      </c>
      <c r="L48" s="199">
        <f>'Input - Customer Data'!D$84</f>
        <v>4475401.3080000002</v>
      </c>
      <c r="M48" s="199">
        <f>'Input - Customer Data'!D$85</f>
        <v>11787.854000000001</v>
      </c>
      <c r="N48" s="199">
        <f>'Input - Customer Data'!D$86</f>
        <v>5706.333333333333</v>
      </c>
      <c r="O48" s="175">
        <f>L48/N48</f>
        <v>784.28669454991541</v>
      </c>
      <c r="P48" s="191">
        <f t="shared" ref="P48:P57" si="11">M48/N48</f>
        <v>2.0657492844208192</v>
      </c>
      <c r="Q48" s="190">
        <f>M48/L48</f>
        <v>2.6339211142760834E-3</v>
      </c>
    </row>
    <row r="49" spans="1:17" x14ac:dyDescent="0.25">
      <c r="A49" s="234"/>
      <c r="B49" s="170"/>
      <c r="C49" s="170"/>
      <c r="D49" s="170"/>
      <c r="E49" s="170"/>
      <c r="F49" s="169"/>
      <c r="G49" s="231"/>
      <c r="I49" s="266"/>
      <c r="K49" s="189">
        <f t="shared" ref="K49:K59" si="12">K6</f>
        <v>2012</v>
      </c>
      <c r="L49" s="199">
        <f>'Input - Customer Data'!E$84</f>
        <v>4830575.8319999995</v>
      </c>
      <c r="M49" s="199">
        <f>'Input - Customer Data'!E$85</f>
        <v>12882.322</v>
      </c>
      <c r="N49" s="199">
        <f>'Input - Customer Data'!E$86</f>
        <v>5711</v>
      </c>
      <c r="O49" s="175">
        <f t="shared" ref="O49:O57" si="13">L49/N49</f>
        <v>845.83712694799499</v>
      </c>
      <c r="P49" s="191">
        <f t="shared" si="11"/>
        <v>2.25570337944318</v>
      </c>
      <c r="Q49" s="190">
        <f t="shared" ref="Q49:Q58" si="14">M49/L49</f>
        <v>2.6668294729298024E-3</v>
      </c>
    </row>
    <row r="50" spans="1:17" ht="15.5" x14ac:dyDescent="0.25">
      <c r="A50" s="524" t="s">
        <v>96</v>
      </c>
      <c r="B50" s="525"/>
      <c r="C50" s="525"/>
      <c r="D50" s="525"/>
      <c r="E50" s="525"/>
      <c r="F50" s="525"/>
      <c r="G50" s="526"/>
      <c r="I50" s="266"/>
      <c r="K50" s="189">
        <f t="shared" si="12"/>
        <v>2013</v>
      </c>
      <c r="L50" s="199">
        <f>'Input - Customer Data'!F$84</f>
        <v>4446652.6829999993</v>
      </c>
      <c r="M50" s="199">
        <f>'Input - Customer Data'!F$85</f>
        <v>13844.464000000002</v>
      </c>
      <c r="N50" s="199">
        <f>'Input - Customer Data'!F$86</f>
        <v>5699.25</v>
      </c>
      <c r="O50" s="175">
        <f t="shared" si="13"/>
        <v>780.21716594288705</v>
      </c>
      <c r="P50" s="191">
        <f t="shared" si="11"/>
        <v>2.4291729613545643</v>
      </c>
      <c r="Q50" s="190">
        <f t="shared" si="14"/>
        <v>3.1134574672154586E-3</v>
      </c>
    </row>
    <row r="51" spans="1:17" x14ac:dyDescent="0.25">
      <c r="A51" s="232"/>
      <c r="B51" s="168"/>
      <c r="C51" s="168"/>
      <c r="D51" s="168"/>
      <c r="E51" s="168"/>
      <c r="F51" s="168"/>
      <c r="G51" s="233"/>
      <c r="I51" s="266"/>
      <c r="K51" s="189">
        <f t="shared" si="12"/>
        <v>2014</v>
      </c>
      <c r="L51" s="199">
        <f>'Input - Customer Data'!G$84</f>
        <v>4336774.25</v>
      </c>
      <c r="M51" s="199">
        <f>'Input - Customer Data'!G$85</f>
        <v>13285.41</v>
      </c>
      <c r="N51" s="199">
        <f>'Input - Customer Data'!G$86</f>
        <v>5708.333333333333</v>
      </c>
      <c r="O51" s="175">
        <f t="shared" si="13"/>
        <v>759.72687591240879</v>
      </c>
      <c r="P51" s="191">
        <f t="shared" si="11"/>
        <v>2.3273710948905109</v>
      </c>
      <c r="Q51" s="190">
        <f t="shared" si="14"/>
        <v>3.0634313049612855E-3</v>
      </c>
    </row>
    <row r="52" spans="1:17" x14ac:dyDescent="0.25">
      <c r="A52" s="156" t="s">
        <v>95</v>
      </c>
      <c r="B52" s="156"/>
      <c r="C52" s="156"/>
      <c r="D52" s="156"/>
      <c r="E52" s="156"/>
      <c r="F52" s="156"/>
      <c r="G52" s="156"/>
      <c r="I52" s="266"/>
      <c r="K52" s="189">
        <f t="shared" si="12"/>
        <v>2015</v>
      </c>
      <c r="L52" s="199">
        <f>'Input - Customer Data'!H$84</f>
        <v>3697574.9299999997</v>
      </c>
      <c r="M52" s="199">
        <f>'Input - Customer Data'!H$85</f>
        <v>11208.64</v>
      </c>
      <c r="N52" s="199">
        <f>'Input - Customer Data'!H$86</f>
        <v>5699.583333333333</v>
      </c>
      <c r="O52" s="175">
        <f t="shared" si="13"/>
        <v>648.74477900431316</v>
      </c>
      <c r="P52" s="191">
        <f t="shared" si="11"/>
        <v>1.9665718254258353</v>
      </c>
      <c r="Q52" s="190">
        <f t="shared" si="14"/>
        <v>3.0313489820204941E-3</v>
      </c>
    </row>
    <row r="53" spans="1:17" ht="39" customHeight="1" x14ac:dyDescent="0.25">
      <c r="A53" s="391" t="s">
        <v>74</v>
      </c>
      <c r="B53" s="391" t="s">
        <v>94</v>
      </c>
      <c r="C53" s="391" t="s">
        <v>93</v>
      </c>
      <c r="D53" s="430" t="s">
        <v>193</v>
      </c>
      <c r="E53" s="393"/>
      <c r="F53" s="394"/>
      <c r="G53" s="192" t="s">
        <v>77</v>
      </c>
      <c r="I53" s="266"/>
      <c r="K53" s="189">
        <f t="shared" si="12"/>
        <v>2016</v>
      </c>
      <c r="L53" s="199">
        <f>'Input - Customer Data'!I$84</f>
        <v>2159285.8400000003</v>
      </c>
      <c r="M53" s="199">
        <f>'Input - Customer Data'!I$85</f>
        <v>6413.35</v>
      </c>
      <c r="N53" s="199">
        <f>'Input - Customer Data'!I$86</f>
        <v>5735.75</v>
      </c>
      <c r="O53" s="175">
        <f t="shared" si="13"/>
        <v>376.4609405919017</v>
      </c>
      <c r="P53" s="191">
        <f t="shared" si="11"/>
        <v>1.118136250708277</v>
      </c>
      <c r="Q53" s="190">
        <f t="shared" si="14"/>
        <v>2.9701255300224631E-3</v>
      </c>
    </row>
    <row r="54" spans="1:17" ht="13" x14ac:dyDescent="0.25">
      <c r="A54" s="314">
        <f>A43</f>
        <v>2021</v>
      </c>
      <c r="B54" s="431">
        <f>'Input - Customer Data'!G24-'Input - Customer Data'!G15</f>
        <v>4.3053684510327912</v>
      </c>
      <c r="C54" s="276">
        <f>G43</f>
        <v>26551.877178040515</v>
      </c>
      <c r="D54" s="276">
        <f>B54*C54</f>
        <v>114315.61431803321</v>
      </c>
      <c r="E54" s="276"/>
      <c r="F54" s="276"/>
      <c r="G54" s="389">
        <f>F43+D54</f>
        <v>66854671.557754375</v>
      </c>
      <c r="I54" s="266"/>
      <c r="K54" s="189">
        <f t="shared" si="12"/>
        <v>2017</v>
      </c>
      <c r="L54" s="199">
        <f>'Input - Customer Data'!J$84</f>
        <v>1392668.2526115859</v>
      </c>
      <c r="M54" s="199">
        <f>'Input - Customer Data'!J$85</f>
        <v>4209.0200000000004</v>
      </c>
      <c r="N54" s="199">
        <f>'Input - Customer Data'!J$86</f>
        <v>5742.916666666667</v>
      </c>
      <c r="O54" s="175">
        <f t="shared" si="13"/>
        <v>242.50190860246724</v>
      </c>
      <c r="P54" s="191">
        <f t="shared" si="11"/>
        <v>0.73290633388957416</v>
      </c>
      <c r="Q54" s="190">
        <f t="shared" si="14"/>
        <v>3.0222703735129177E-3</v>
      </c>
    </row>
    <row r="55" spans="1:17" ht="13" x14ac:dyDescent="0.25">
      <c r="A55" s="314">
        <f>A44</f>
        <v>2022</v>
      </c>
      <c r="B55" s="432">
        <f>'Input - Customer Data'!G25-'Input - Customer Data'!G24</f>
        <v>4.3127428623974993</v>
      </c>
      <c r="C55" s="307">
        <f>G44</f>
        <v>26606.00635588168</v>
      </c>
      <c r="D55" s="307">
        <f>B55*C55</f>
        <v>114744.86400823122</v>
      </c>
      <c r="E55" s="307"/>
      <c r="F55" s="307"/>
      <c r="G55" s="389">
        <f>F44+D54+D55</f>
        <v>67105474.621031202</v>
      </c>
      <c r="I55" s="266"/>
      <c r="K55" s="404">
        <f t="shared" si="12"/>
        <v>2018</v>
      </c>
      <c r="L55" s="405">
        <f>'Input - Customer Data'!K$84</f>
        <v>1390046.9705603039</v>
      </c>
      <c r="M55" s="405">
        <f>'Input - Customer Data'!K$85</f>
        <v>4251.8</v>
      </c>
      <c r="N55" s="405">
        <f>'Input - Customer Data'!K$86</f>
        <v>5774.416666666667</v>
      </c>
      <c r="O55" s="405">
        <f t="shared" si="13"/>
        <v>240.72508978863155</v>
      </c>
      <c r="P55" s="406">
        <f t="shared" si="11"/>
        <v>0.73631679967673502</v>
      </c>
      <c r="Q55" s="407">
        <f t="shared" si="14"/>
        <v>3.058745560436834E-3</v>
      </c>
    </row>
    <row r="56" spans="1:17" x14ac:dyDescent="0.25">
      <c r="I56" s="266"/>
      <c r="K56" s="404">
        <f t="shared" si="12"/>
        <v>2019</v>
      </c>
      <c r="L56" s="405">
        <f>'Input - Customer Data'!L$84</f>
        <v>1401777.7587844254</v>
      </c>
      <c r="M56" s="405">
        <f>'Input - Customer Data'!L$85</f>
        <v>4285.630000000001</v>
      </c>
      <c r="N56" s="405">
        <f>'Input - Customer Data'!L$86</f>
        <v>5878.666666666667</v>
      </c>
      <c r="O56" s="405">
        <f t="shared" si="13"/>
        <v>238.45164869320004</v>
      </c>
      <c r="P56" s="406">
        <f t="shared" si="11"/>
        <v>0.72901394874121128</v>
      </c>
      <c r="Q56" s="407">
        <f t="shared" si="14"/>
        <v>3.0572820642527209E-3</v>
      </c>
    </row>
    <row r="57" spans="1:17" x14ac:dyDescent="0.25">
      <c r="I57" s="266"/>
      <c r="K57" s="404">
        <f t="shared" si="12"/>
        <v>2020</v>
      </c>
      <c r="L57" s="405">
        <f>'Input - Customer Data'!M$84</f>
        <v>1425844.3209876544</v>
      </c>
      <c r="M57" s="405">
        <f>'Input - Customer Data'!M$85</f>
        <v>4348.49</v>
      </c>
      <c r="N57" s="405">
        <f>'Input - Customer Data'!M$86</f>
        <v>5997.166666666667</v>
      </c>
      <c r="O57" s="408">
        <f t="shared" si="13"/>
        <v>237.75299241102536</v>
      </c>
      <c r="P57" s="409">
        <f t="shared" si="11"/>
        <v>0.72509073729261031</v>
      </c>
      <c r="Q57" s="407">
        <f t="shared" si="14"/>
        <v>3.0497649259407832E-3</v>
      </c>
    </row>
    <row r="58" spans="1:17" ht="13" thickBot="1" x14ac:dyDescent="0.3">
      <c r="I58" s="266"/>
      <c r="K58" s="314">
        <f t="shared" si="12"/>
        <v>2021</v>
      </c>
      <c r="L58" s="307">
        <f>N58*O61</f>
        <v>1441120.2815711428</v>
      </c>
      <c r="M58" s="307">
        <f>L58*$Q$61</f>
        <v>4403.0031804623595</v>
      </c>
      <c r="N58" s="307">
        <f>'Input - Customer Data'!M24</f>
        <v>6030.3829767656025</v>
      </c>
      <c r="O58" s="307">
        <f>L58/N58</f>
        <v>238.97657696428561</v>
      </c>
      <c r="P58" s="309">
        <f>M58/N58</f>
        <v>0.73013657630479567</v>
      </c>
      <c r="Q58" s="308">
        <f t="shared" si="14"/>
        <v>3.0552641835434467E-3</v>
      </c>
    </row>
    <row r="59" spans="1:17" ht="15.75" customHeight="1" x14ac:dyDescent="0.25">
      <c r="A59" s="527" t="str">
        <f>'Input - Customer Data'!A15</f>
        <v>General Service 50 to 4999 kW</v>
      </c>
      <c r="B59" s="528"/>
      <c r="C59" s="528"/>
      <c r="D59" s="528"/>
      <c r="E59" s="528"/>
      <c r="F59" s="528"/>
      <c r="G59" s="529"/>
      <c r="I59" s="266"/>
      <c r="K59" s="314">
        <f t="shared" si="12"/>
        <v>2022</v>
      </c>
      <c r="L59" s="307">
        <f>N59*O61</f>
        <v>1449102.1671553131</v>
      </c>
      <c r="M59" s="307">
        <f>L59*$Q$61</f>
        <v>4427.3899496048161</v>
      </c>
      <c r="N59" s="307">
        <f>'Input - Customer Data'!M25</f>
        <v>6063.7832609506213</v>
      </c>
      <c r="O59" s="307">
        <f>L59/N59</f>
        <v>238.97657696428564</v>
      </c>
      <c r="P59" s="309">
        <f>M59/N59</f>
        <v>0.73013657630479567</v>
      </c>
      <c r="Q59" s="308">
        <f>M59/L59</f>
        <v>3.0552641835434463E-3</v>
      </c>
    </row>
    <row r="60" spans="1:17" ht="39" x14ac:dyDescent="0.25">
      <c r="A60" s="401" t="s">
        <v>74</v>
      </c>
      <c r="B60" s="402" t="s">
        <v>194</v>
      </c>
      <c r="C60" s="480" t="s">
        <v>218</v>
      </c>
      <c r="D60" s="402" t="s">
        <v>99</v>
      </c>
      <c r="E60" s="480" t="s">
        <v>219</v>
      </c>
      <c r="F60" s="402" t="s">
        <v>191</v>
      </c>
      <c r="G60" s="403" t="s">
        <v>97</v>
      </c>
      <c r="I60" s="266"/>
      <c r="K60" s="314"/>
      <c r="L60" s="307"/>
      <c r="M60" s="307"/>
      <c r="N60" s="307"/>
      <c r="O60" s="361"/>
      <c r="P60" s="309"/>
      <c r="Q60" s="308"/>
    </row>
    <row r="61" spans="1:17" ht="13" x14ac:dyDescent="0.25">
      <c r="A61" s="189">
        <f t="shared" ref="A61:A73" si="15">A5</f>
        <v>2011</v>
      </c>
      <c r="B61" s="199">
        <f>'Input - Customer Data'!D$74-SUM('Input - Adjustments &amp; Variables'!F5:G16)</f>
        <v>214876814.13600001</v>
      </c>
      <c r="C61" s="473">
        <f t="shared" ref="C61:C70" si="16">C33</f>
        <v>535581625.16999972</v>
      </c>
      <c r="D61" s="399">
        <f>B61/C61</f>
        <v>0.40120273743109774</v>
      </c>
      <c r="E61" s="473">
        <f t="shared" ref="E61:E73" si="17">E33</f>
        <v>515955628.21736974</v>
      </c>
      <c r="F61" s="175">
        <f t="shared" ref="F61:F73" si="18">E61*D61</f>
        <v>207002810.43379048</v>
      </c>
      <c r="G61" s="174">
        <f>F61/'Input - Customer Data'!I6</f>
        <v>922403.90835703153</v>
      </c>
      <c r="I61" s="266"/>
      <c r="K61" s="188" t="s">
        <v>100</v>
      </c>
      <c r="L61" s="282"/>
      <c r="M61" s="282"/>
      <c r="N61" s="282"/>
      <c r="O61" s="183">
        <f>AVERAGE(O55:O57)</f>
        <v>238.97657696428564</v>
      </c>
      <c r="P61" s="186">
        <f>AVERAGE(P55:P57)</f>
        <v>0.73014049523685232</v>
      </c>
      <c r="Q61" s="396">
        <f>AVERAGE(Q55:Q57)</f>
        <v>3.0552641835434463E-3</v>
      </c>
    </row>
    <row r="62" spans="1:17" ht="13" x14ac:dyDescent="0.25">
      <c r="A62" s="189">
        <f t="shared" si="15"/>
        <v>2012</v>
      </c>
      <c r="B62" s="199">
        <f>'Input - Customer Data'!E$74-SUM('Input - Adjustments &amp; Variables'!F17:G28)</f>
        <v>209735051.1925</v>
      </c>
      <c r="C62" s="473">
        <f t="shared" si="16"/>
        <v>520912441.87000012</v>
      </c>
      <c r="D62" s="399">
        <f t="shared" ref="D62:D70" si="19">B62/C62</f>
        <v>0.4026301434451855</v>
      </c>
      <c r="E62" s="473">
        <f t="shared" si="17"/>
        <v>512268691.80959123</v>
      </c>
      <c r="F62" s="175">
        <f t="shared" si="18"/>
        <v>206254816.86577323</v>
      </c>
      <c r="G62" s="174">
        <f>F62/'Input - Customer Data'!I7</f>
        <v>918729.696506785</v>
      </c>
      <c r="I62" s="266"/>
      <c r="K62" s="188"/>
      <c r="L62" s="276"/>
      <c r="M62" s="276"/>
      <c r="N62" s="276"/>
      <c r="O62" s="200"/>
      <c r="P62" s="276"/>
      <c r="Q62" s="187"/>
    </row>
    <row r="63" spans="1:17" ht="13" x14ac:dyDescent="0.25">
      <c r="A63" s="189">
        <f t="shared" si="15"/>
        <v>2013</v>
      </c>
      <c r="B63" s="199">
        <f>'Input - Customer Data'!F$74-SUM('Input - Adjustments &amp; Variables'!F29:G40)</f>
        <v>194627741.79700002</v>
      </c>
      <c r="C63" s="473">
        <f t="shared" si="16"/>
        <v>509774030.71999985</v>
      </c>
      <c r="D63" s="399">
        <f t="shared" si="19"/>
        <v>0.38179218647546581</v>
      </c>
      <c r="E63" s="473">
        <f t="shared" si="17"/>
        <v>515814061.91370291</v>
      </c>
      <c r="F63" s="175">
        <f t="shared" si="18"/>
        <v>196933778.51282394</v>
      </c>
      <c r="G63" s="174">
        <f>F63/'Input - Customer Data'!I8</f>
        <v>874937.1870247639</v>
      </c>
      <c r="I63" s="266"/>
      <c r="K63" s="184"/>
      <c r="L63" s="183"/>
      <c r="M63" s="183"/>
      <c r="N63" s="183"/>
      <c r="O63" s="362"/>
      <c r="P63" s="186"/>
      <c r="Q63" s="185"/>
    </row>
    <row r="64" spans="1:17" ht="13.5" thickBot="1" x14ac:dyDescent="0.3">
      <c r="A64" s="189">
        <f t="shared" si="15"/>
        <v>2014</v>
      </c>
      <c r="B64" s="199">
        <f>'Input - Customer Data'!G$74-SUM('Input - Adjustments &amp; Variables'!F41:G52)</f>
        <v>195767695.11000001</v>
      </c>
      <c r="C64" s="473">
        <f t="shared" si="16"/>
        <v>504927925.73999989</v>
      </c>
      <c r="D64" s="399">
        <f t="shared" si="19"/>
        <v>0.38771413726640608</v>
      </c>
      <c r="E64" s="473">
        <f t="shared" si="17"/>
        <v>506469024.42164636</v>
      </c>
      <c r="F64" s="175">
        <f t="shared" si="18"/>
        <v>196365200.85579696</v>
      </c>
      <c r="G64" s="174">
        <f>F64/'Input - Customer Data'!I9</f>
        <v>872411.11079954216</v>
      </c>
      <c r="I64" s="266"/>
      <c r="K64" s="178"/>
      <c r="L64" s="177"/>
      <c r="M64" s="177"/>
      <c r="N64" s="177"/>
      <c r="O64" s="363"/>
      <c r="P64" s="177"/>
      <c r="Q64" s="176"/>
    </row>
    <row r="65" spans="1:17" ht="13" x14ac:dyDescent="0.25">
      <c r="A65" s="189">
        <f t="shared" si="15"/>
        <v>2015</v>
      </c>
      <c r="B65" s="199">
        <f>'Input - Customer Data'!H$74-SUM('Input - Adjustments &amp; Variables'!F53:G64)</f>
        <v>189310138.06999999</v>
      </c>
      <c r="C65" s="473">
        <f t="shared" si="16"/>
        <v>494324941.81999999</v>
      </c>
      <c r="D65" s="399">
        <f t="shared" si="19"/>
        <v>0.38296699610786389</v>
      </c>
      <c r="E65" s="473">
        <f t="shared" si="17"/>
        <v>501092852.84721923</v>
      </c>
      <c r="F65" s="175">
        <f t="shared" si="18"/>
        <v>191902024.62601942</v>
      </c>
      <c r="G65" s="174">
        <f>F65/'Input - Customer Data'!I10</f>
        <v>873605.57492876821</v>
      </c>
      <c r="I65" s="266"/>
    </row>
    <row r="66" spans="1:17" ht="13" x14ac:dyDescent="0.25">
      <c r="A66" s="189">
        <f t="shared" si="15"/>
        <v>2016</v>
      </c>
      <c r="B66" s="199">
        <f>'Input - Customer Data'!I$74-SUM('Input - Adjustments &amp; Variables'!F65:G76)</f>
        <v>185209883.51999998</v>
      </c>
      <c r="C66" s="473">
        <f t="shared" si="16"/>
        <v>491633276.0999999</v>
      </c>
      <c r="D66" s="399">
        <f t="shared" si="19"/>
        <v>0.37672365261607649</v>
      </c>
      <c r="E66" s="473">
        <f t="shared" si="17"/>
        <v>506320559.74364376</v>
      </c>
      <c r="F66" s="175">
        <f t="shared" si="18"/>
        <v>190742930.66124186</v>
      </c>
      <c r="G66" s="174">
        <f>F66/'Input - Customer Data'!I11</f>
        <v>927813.20143287478</v>
      </c>
      <c r="I66" s="266"/>
    </row>
    <row r="67" spans="1:17" ht="13.5" thickBot="1" x14ac:dyDescent="0.3">
      <c r="A67" s="189">
        <f t="shared" si="15"/>
        <v>2017</v>
      </c>
      <c r="B67" s="199">
        <f>'Input - Customer Data'!J$74-SUM('Input - Adjustments &amp; Variables'!F77:G88)</f>
        <v>183196052.27825353</v>
      </c>
      <c r="C67" s="473">
        <f t="shared" si="16"/>
        <v>476909006.88</v>
      </c>
      <c r="D67" s="399">
        <f t="shared" si="19"/>
        <v>0.38413208732782306</v>
      </c>
      <c r="E67" s="473">
        <f t="shared" si="17"/>
        <v>482552397.2252028</v>
      </c>
      <c r="F67" s="175">
        <f t="shared" si="18"/>
        <v>185363859.59116197</v>
      </c>
      <c r="G67" s="174">
        <f>F67/'Input - Customer Data'!I12</f>
        <v>936181.10904627258</v>
      </c>
      <c r="I67" s="266"/>
    </row>
    <row r="68" spans="1:17" ht="15.5" x14ac:dyDescent="0.25">
      <c r="A68" s="189">
        <f t="shared" si="15"/>
        <v>2018</v>
      </c>
      <c r="B68" s="199">
        <f>'Input - Customer Data'!K$74-SUM('Input - Adjustments &amp; Variables'!F89:G100)</f>
        <v>185835409.80878308</v>
      </c>
      <c r="C68" s="473">
        <f t="shared" si="16"/>
        <v>502625267.96000004</v>
      </c>
      <c r="D68" s="399">
        <f t="shared" si="19"/>
        <v>0.36972954137986602</v>
      </c>
      <c r="E68" s="473">
        <f t="shared" si="17"/>
        <v>497951471.5907684</v>
      </c>
      <c r="F68" s="175">
        <f t="shared" si="18"/>
        <v>184107369.22068417</v>
      </c>
      <c r="G68" s="174">
        <f>F68/'Input - Customer Data'!I13</f>
        <v>931403.21696804813</v>
      </c>
      <c r="I68" s="266"/>
      <c r="K68" s="527" t="str">
        <f>'Input - Customer Data'!A18</f>
        <v>Sentinel</v>
      </c>
      <c r="L68" s="528"/>
      <c r="M68" s="528"/>
      <c r="N68" s="528"/>
      <c r="O68" s="528"/>
      <c r="P68" s="528"/>
      <c r="Q68" s="529"/>
    </row>
    <row r="69" spans="1:17" ht="13" x14ac:dyDescent="0.3">
      <c r="A69" s="189">
        <f t="shared" si="15"/>
        <v>2019</v>
      </c>
      <c r="B69" s="199">
        <f>'Input - Customer Data'!L$74-SUM('Input - Adjustments &amp; Variables'!F101:G112)</f>
        <v>179705785.74639916</v>
      </c>
      <c r="C69" s="473">
        <f t="shared" si="16"/>
        <v>490029500.53746313</v>
      </c>
      <c r="D69" s="399">
        <f t="shared" si="19"/>
        <v>0.3667244228139292</v>
      </c>
      <c r="E69" s="473">
        <f t="shared" si="17"/>
        <v>481829742.73647618</v>
      </c>
      <c r="F69" s="175">
        <f t="shared" si="18"/>
        <v>176698734.29961821</v>
      </c>
      <c r="G69" s="174">
        <f>F69/'Input - Customer Data'!I14</f>
        <v>928364.62854440394</v>
      </c>
      <c r="I69" s="266"/>
      <c r="K69" s="194" t="s">
        <v>74</v>
      </c>
      <c r="L69" s="193" t="s">
        <v>75</v>
      </c>
      <c r="M69" s="397" t="s">
        <v>76</v>
      </c>
      <c r="N69" s="397" t="s">
        <v>102</v>
      </c>
      <c r="O69" s="397" t="s">
        <v>101</v>
      </c>
      <c r="P69" s="397" t="s">
        <v>104</v>
      </c>
      <c r="Q69" s="289" t="s">
        <v>103</v>
      </c>
    </row>
    <row r="70" spans="1:17" ht="13" x14ac:dyDescent="0.25">
      <c r="A70" s="189">
        <f t="shared" si="15"/>
        <v>2020</v>
      </c>
      <c r="B70" s="199">
        <f>'Input - Customer Data'!M$74-SUM('Input - Adjustments &amp; Variables'!F113:G124)</f>
        <v>165593467.56708583</v>
      </c>
      <c r="C70" s="473">
        <f t="shared" si="16"/>
        <v>482494034.60487103</v>
      </c>
      <c r="D70" s="399">
        <f t="shared" si="19"/>
        <v>0.34320313970865013</v>
      </c>
      <c r="E70" s="473">
        <f t="shared" si="17"/>
        <v>488957597.90415514</v>
      </c>
      <c r="F70" s="175">
        <f>E70*D70</f>
        <v>167811782.78510574</v>
      </c>
      <c r="G70" s="174">
        <f>F70/'Input - Customer Data'!I15</f>
        <v>868740.89448717388</v>
      </c>
      <c r="I70" s="266"/>
      <c r="K70" s="462">
        <f>K5</f>
        <v>2011</v>
      </c>
      <c r="L70" s="199">
        <f>'Input - Customer Data'!D$89</f>
        <v>761036.95</v>
      </c>
      <c r="M70" s="199">
        <f>'Input - Customer Data'!D$90</f>
        <v>2333.1769999999997</v>
      </c>
      <c r="N70" s="199">
        <f>'Input - Customer Data'!D$91</f>
        <v>828.25</v>
      </c>
      <c r="O70" s="175">
        <f>L70/N70</f>
        <v>918.84932085722903</v>
      </c>
      <c r="P70" s="191">
        <f t="shared" ref="P70:P82" si="20">M70/N70</f>
        <v>2.8169960760639898</v>
      </c>
      <c r="Q70" s="190">
        <f>M70/L70</f>
        <v>3.0657867531924698E-3</v>
      </c>
    </row>
    <row r="71" spans="1:17" ht="13" x14ac:dyDescent="0.25">
      <c r="A71" s="314">
        <f t="shared" si="15"/>
        <v>2021</v>
      </c>
      <c r="B71" s="199"/>
      <c r="C71" s="175"/>
      <c r="D71" s="311">
        <f>AVERAGE(D66:D70)</f>
        <v>0.368102568769269</v>
      </c>
      <c r="E71" s="473">
        <f t="shared" si="17"/>
        <v>486071741.32994813</v>
      </c>
      <c r="F71" s="307">
        <f>E71*D71</f>
        <v>178924256.58970556</v>
      </c>
      <c r="G71" s="310">
        <f>F71/'Input - Customer Data'!I15</f>
        <v>926268.80029183207</v>
      </c>
      <c r="I71" s="266"/>
      <c r="K71" s="464">
        <f t="shared" ref="K71:K81" si="21">K6</f>
        <v>2012</v>
      </c>
      <c r="L71" s="199">
        <f>'Input - Customer Data'!E$89</f>
        <v>713312.87300000002</v>
      </c>
      <c r="M71" s="199">
        <f>'Input - Customer Data'!E$90</f>
        <v>2174.4479999999999</v>
      </c>
      <c r="N71" s="199">
        <f>'Input - Customer Data'!E$91</f>
        <v>781.91666666666663</v>
      </c>
      <c r="O71" s="175">
        <f t="shared" ref="O71:O82" si="22">L71/N71</f>
        <v>912.26201385484399</v>
      </c>
      <c r="P71" s="191">
        <f t="shared" si="20"/>
        <v>2.7809203879356281</v>
      </c>
      <c r="Q71" s="190">
        <f t="shared" ref="Q71:Q82" si="23">M71/L71</f>
        <v>3.0483790245574324E-3</v>
      </c>
    </row>
    <row r="72" spans="1:17" ht="13" x14ac:dyDescent="0.25">
      <c r="A72" s="314">
        <f t="shared" si="15"/>
        <v>2022</v>
      </c>
      <c r="B72" s="312"/>
      <c r="C72" s="313" t="s">
        <v>100</v>
      </c>
      <c r="D72" s="311">
        <f>D71</f>
        <v>0.368102568769269</v>
      </c>
      <c r="E72" s="473">
        <f t="shared" si="17"/>
        <v>487062656.71998221</v>
      </c>
      <c r="F72" s="307">
        <f t="shared" si="18"/>
        <v>179289015.09021011</v>
      </c>
      <c r="G72" s="310">
        <f>F72/'Input - Customer Data'!I15</f>
        <v>928157.11004422838</v>
      </c>
      <c r="I72" s="266"/>
      <c r="K72" s="464">
        <f t="shared" si="21"/>
        <v>2013</v>
      </c>
      <c r="L72" s="199">
        <f>'Input - Customer Data'!F$89</f>
        <v>636304.67499999993</v>
      </c>
      <c r="M72" s="199">
        <f>'Input - Customer Data'!F$90</f>
        <v>2091</v>
      </c>
      <c r="N72" s="199">
        <f>'Input - Customer Data'!F$91</f>
        <v>772.91666666666663</v>
      </c>
      <c r="O72" s="175">
        <f t="shared" si="22"/>
        <v>823.25133153638808</v>
      </c>
      <c r="P72" s="191">
        <f t="shared" si="20"/>
        <v>2.70533692722372</v>
      </c>
      <c r="Q72" s="190">
        <f t="shared" si="23"/>
        <v>3.2861616174672931E-3</v>
      </c>
    </row>
    <row r="73" spans="1:17" ht="13" thickBot="1" x14ac:dyDescent="0.3">
      <c r="A73" s="400">
        <f t="shared" si="15"/>
        <v>2022</v>
      </c>
      <c r="B73" s="284"/>
      <c r="C73" s="284"/>
      <c r="D73" s="285">
        <f>D72</f>
        <v>0.368102568769269</v>
      </c>
      <c r="E73" s="286">
        <f t="shared" si="17"/>
        <v>522769999.65821135</v>
      </c>
      <c r="F73" s="286">
        <f t="shared" si="18"/>
        <v>192432979.74969748</v>
      </c>
      <c r="G73" s="287">
        <f>F73/'Input - Customer Data'!I15</f>
        <v>996201.79335477564</v>
      </c>
      <c r="I73" s="266"/>
      <c r="K73" s="464">
        <f t="shared" si="21"/>
        <v>2014</v>
      </c>
      <c r="L73" s="199">
        <f>'Input - Customer Data'!G$89</f>
        <v>697285.83000000007</v>
      </c>
      <c r="M73" s="199">
        <f>'Input - Customer Data'!G$90</f>
        <v>2125.66</v>
      </c>
      <c r="N73" s="199">
        <f>'Input - Customer Data'!G$91</f>
        <v>773.33333333333337</v>
      </c>
      <c r="O73" s="175">
        <f t="shared" si="22"/>
        <v>901.66271120689657</v>
      </c>
      <c r="P73" s="191">
        <f t="shared" si="20"/>
        <v>2.7486982758620688</v>
      </c>
      <c r="Q73" s="190">
        <f t="shared" si="23"/>
        <v>3.0484772650549914E-3</v>
      </c>
    </row>
    <row r="74" spans="1:17" x14ac:dyDescent="0.25">
      <c r="A74" s="234"/>
      <c r="B74" s="170"/>
      <c r="C74" s="170"/>
      <c r="D74" s="170"/>
      <c r="E74" s="170"/>
      <c r="F74" s="169"/>
      <c r="G74" s="231"/>
      <c r="I74" s="266"/>
      <c r="K74" s="464">
        <f t="shared" si="21"/>
        <v>2015</v>
      </c>
      <c r="L74" s="199">
        <f>'Input - Customer Data'!H$89</f>
        <v>690656.66999999993</v>
      </c>
      <c r="M74" s="199">
        <f>'Input - Customer Data'!H$90</f>
        <v>2268.02</v>
      </c>
      <c r="N74" s="199">
        <f>'Input - Customer Data'!H$91</f>
        <v>760.75</v>
      </c>
      <c r="O74" s="175">
        <f t="shared" si="22"/>
        <v>907.86285902070313</v>
      </c>
      <c r="P74" s="191">
        <f t="shared" si="20"/>
        <v>2.9812947748931973</v>
      </c>
      <c r="Q74" s="190">
        <f t="shared" si="23"/>
        <v>3.2838602717034505E-3</v>
      </c>
    </row>
    <row r="75" spans="1:17" x14ac:dyDescent="0.25">
      <c r="A75" s="234"/>
      <c r="B75" s="170"/>
      <c r="C75" s="170"/>
      <c r="D75" s="170"/>
      <c r="E75" s="170"/>
      <c r="F75" s="169"/>
      <c r="G75" s="231"/>
      <c r="I75" s="266"/>
      <c r="K75" s="464">
        <f t="shared" si="21"/>
        <v>2016</v>
      </c>
      <c r="L75" s="199">
        <f>'Input - Customer Data'!I$89</f>
        <v>667141.85</v>
      </c>
      <c r="M75" s="199">
        <f>'Input - Customer Data'!I$90</f>
        <v>2173.14</v>
      </c>
      <c r="N75" s="199">
        <f>'Input - Customer Data'!I$91</f>
        <v>732.5</v>
      </c>
      <c r="O75" s="175">
        <f t="shared" si="22"/>
        <v>910.77385665529005</v>
      </c>
      <c r="P75" s="191">
        <f t="shared" si="20"/>
        <v>2.9667440273037542</v>
      </c>
      <c r="Q75" s="190">
        <f t="shared" si="23"/>
        <v>3.2573882151149714E-3</v>
      </c>
    </row>
    <row r="76" spans="1:17" x14ac:dyDescent="0.25">
      <c r="A76" s="234"/>
      <c r="B76" s="170"/>
      <c r="C76" s="170"/>
      <c r="D76" s="170"/>
      <c r="E76" s="170"/>
      <c r="F76" s="169"/>
      <c r="G76" s="231"/>
      <c r="I76" s="266"/>
      <c r="K76" s="464">
        <f t="shared" si="21"/>
        <v>2017</v>
      </c>
      <c r="L76" s="199">
        <f>'Input - Customer Data'!J$89</f>
        <v>631149.96201329515</v>
      </c>
      <c r="M76" s="199">
        <f>'Input - Customer Data'!J$90</f>
        <v>2037.9700000000007</v>
      </c>
      <c r="N76" s="199">
        <f>'Input - Customer Data'!J$91</f>
        <v>705.66666666666663</v>
      </c>
      <c r="O76" s="175">
        <f t="shared" si="22"/>
        <v>894.40240247514669</v>
      </c>
      <c r="P76" s="191">
        <f t="shared" si="20"/>
        <v>2.8880066131317914</v>
      </c>
      <c r="Q76" s="190">
        <f t="shared" si="23"/>
        <v>3.2289790424752827E-3</v>
      </c>
    </row>
    <row r="77" spans="1:17" x14ac:dyDescent="0.25">
      <c r="A77" s="234"/>
      <c r="B77" s="170"/>
      <c r="C77" s="170"/>
      <c r="D77" s="170"/>
      <c r="E77" s="170"/>
      <c r="F77" s="169"/>
      <c r="G77" s="231"/>
      <c r="I77" s="266"/>
      <c r="K77" s="466">
        <f t="shared" si="21"/>
        <v>2018</v>
      </c>
      <c r="L77" s="405">
        <f>'Input - Customer Data'!K$89</f>
        <v>606042.11775878421</v>
      </c>
      <c r="M77" s="405">
        <f>'Input - Customer Data'!K$90</f>
        <v>1951.2900000000013</v>
      </c>
      <c r="N77" s="405">
        <f>'Input - Customer Data'!K$91</f>
        <v>698.25</v>
      </c>
      <c r="O77" s="405">
        <f t="shared" si="22"/>
        <v>867.9443147279402</v>
      </c>
      <c r="P77" s="406">
        <f t="shared" si="20"/>
        <v>2.7945435016111726</v>
      </c>
      <c r="Q77" s="407">
        <f t="shared" si="23"/>
        <v>3.2197267200109849E-3</v>
      </c>
    </row>
    <row r="78" spans="1:17" ht="15.5" x14ac:dyDescent="0.25">
      <c r="A78" s="524" t="s">
        <v>96</v>
      </c>
      <c r="B78" s="525"/>
      <c r="C78" s="525"/>
      <c r="D78" s="525"/>
      <c r="E78" s="525"/>
      <c r="F78" s="525"/>
      <c r="G78" s="526"/>
      <c r="I78" s="266"/>
      <c r="K78" s="466">
        <f t="shared" si="21"/>
        <v>2019</v>
      </c>
      <c r="L78" s="405">
        <f>'Input - Customer Data'!L$89</f>
        <v>565913.01442882093</v>
      </c>
      <c r="M78" s="405">
        <f>'Input - Customer Data'!L$90</f>
        <v>1856.1200000000003</v>
      </c>
      <c r="N78" s="405">
        <f>'Input - Customer Data'!L$91</f>
        <v>669.41666666666663</v>
      </c>
      <c r="O78" s="405">
        <f t="shared" si="22"/>
        <v>845.38231957498465</v>
      </c>
      <c r="P78" s="406">
        <f t="shared" si="20"/>
        <v>2.7727424374455376</v>
      </c>
      <c r="Q78" s="407">
        <f t="shared" si="23"/>
        <v>3.279868023309894E-3</v>
      </c>
    </row>
    <row r="79" spans="1:17" x14ac:dyDescent="0.25">
      <c r="A79" s="232"/>
      <c r="B79" s="168"/>
      <c r="C79" s="168"/>
      <c r="D79" s="168"/>
      <c r="E79" s="168"/>
      <c r="F79" s="168"/>
      <c r="G79" s="233"/>
      <c r="I79" s="266"/>
      <c r="K79" s="467">
        <f t="shared" si="21"/>
        <v>2020</v>
      </c>
      <c r="L79" s="405">
        <f>'Input - Customer Data'!M$89</f>
        <v>525914.78338748356</v>
      </c>
      <c r="M79" s="405">
        <f>'Input - Customer Data'!M$90</f>
        <v>1722.9099999999978</v>
      </c>
      <c r="N79" s="405">
        <f>'Input - Customer Data'!M$91</f>
        <v>644.66666666666663</v>
      </c>
      <c r="O79" s="408">
        <f t="shared" si="22"/>
        <v>815.79335582339752</v>
      </c>
      <c r="P79" s="409">
        <f t="shared" si="20"/>
        <v>2.6725594622543918</v>
      </c>
      <c r="Q79" s="410">
        <f t="shared" si="23"/>
        <v>3.2760250413622466E-3</v>
      </c>
    </row>
    <row r="80" spans="1:17" ht="12.75" customHeight="1" x14ac:dyDescent="0.25">
      <c r="A80" s="156" t="s">
        <v>109</v>
      </c>
      <c r="B80" s="156"/>
      <c r="C80" s="156"/>
      <c r="D80" s="156"/>
      <c r="E80" s="156"/>
      <c r="F80" s="156"/>
      <c r="G80" s="156"/>
      <c r="I80" s="266"/>
      <c r="K80" s="315">
        <f t="shared" si="21"/>
        <v>2021</v>
      </c>
      <c r="L80" s="307">
        <f>N80*O83</f>
        <v>528556.71089588641</v>
      </c>
      <c r="M80" s="307">
        <f>L80*$Q$61</f>
        <v>1614.8803877717298</v>
      </c>
      <c r="N80" s="307">
        <f>'Input - Customer Data'!O24</f>
        <v>626.96516530576287</v>
      </c>
      <c r="O80" s="307">
        <f>L80/N80</f>
        <v>843.0399967087742</v>
      </c>
      <c r="P80" s="309">
        <f>M80/N80</f>
        <v>2.5757099072389029</v>
      </c>
      <c r="Q80" s="308">
        <f t="shared" si="23"/>
        <v>3.0552641835434463E-3</v>
      </c>
    </row>
    <row r="81" spans="1:17" ht="37.5" x14ac:dyDescent="0.25">
      <c r="A81" s="391" t="s">
        <v>74</v>
      </c>
      <c r="B81" s="391" t="s">
        <v>94</v>
      </c>
      <c r="C81" s="391" t="s">
        <v>93</v>
      </c>
      <c r="D81" s="430" t="s">
        <v>193</v>
      </c>
      <c r="E81" s="430" t="s">
        <v>195</v>
      </c>
      <c r="F81" s="394"/>
      <c r="G81" s="192" t="s">
        <v>77</v>
      </c>
      <c r="I81" s="266"/>
      <c r="K81" s="315">
        <f t="shared" si="21"/>
        <v>2022</v>
      </c>
      <c r="L81" s="307">
        <f>N81*O83</f>
        <v>514043.40065197996</v>
      </c>
      <c r="M81" s="307">
        <f>L81*$Q$61</f>
        <v>1570.5383907988682</v>
      </c>
      <c r="N81" s="307">
        <f>'Input - Customer Data'!O25</f>
        <v>609.74971846982817</v>
      </c>
      <c r="O81" s="307">
        <f>L81/N81</f>
        <v>843.0399967087742</v>
      </c>
      <c r="P81" s="309">
        <f>M81/N81</f>
        <v>2.5757099072389029</v>
      </c>
      <c r="Q81" s="308">
        <f t="shared" si="23"/>
        <v>3.0552641835434463E-3</v>
      </c>
    </row>
    <row r="82" spans="1:17" ht="13" x14ac:dyDescent="0.25">
      <c r="A82" s="388">
        <f>A26</f>
        <v>2021</v>
      </c>
      <c r="B82" s="431">
        <f>'Input - Customer Data'!I24-'Input - Customer Data'!I15</f>
        <v>2.8755107997664595</v>
      </c>
      <c r="C82" s="276">
        <f>G71</f>
        <v>926268.80029183207</v>
      </c>
      <c r="D82" s="276">
        <f>B82*C82</f>
        <v>2663495.938725885</v>
      </c>
      <c r="E82" s="276">
        <v>3717774.7210013554</v>
      </c>
      <c r="F82" s="276"/>
      <c r="G82" s="389">
        <f>F71+D82+E82</f>
        <v>185305527.2494328</v>
      </c>
      <c r="I82" s="266"/>
      <c r="K82" s="281">
        <f>'Bridge&amp;Test Year Class Forecast'!K17</f>
        <v>2022</v>
      </c>
      <c r="L82" s="282">
        <f>N82*O84</f>
        <v>0</v>
      </c>
      <c r="M82" s="282">
        <f>N82*P84</f>
        <v>0</v>
      </c>
      <c r="N82" s="398">
        <f>'Input - Customer Data'!O25</f>
        <v>609.74971846982817</v>
      </c>
      <c r="O82" s="282">
        <f t="shared" si="22"/>
        <v>0</v>
      </c>
      <c r="P82" s="288">
        <f t="shared" si="20"/>
        <v>0</v>
      </c>
      <c r="Q82" s="283" t="e">
        <f t="shared" si="23"/>
        <v>#DIV/0!</v>
      </c>
    </row>
    <row r="83" spans="1:17" ht="13" x14ac:dyDescent="0.25">
      <c r="A83" s="390">
        <f>A27</f>
        <v>2022</v>
      </c>
      <c r="B83" s="432">
        <f>'Input - Customer Data'!I25-'Input - Customer Data'!I24</f>
        <v>2.9183161269083371</v>
      </c>
      <c r="C83" s="307">
        <f>G72</f>
        <v>928157.11004422838</v>
      </c>
      <c r="D83" s="307">
        <f>B83*C83</f>
        <v>2708655.862546708</v>
      </c>
      <c r="E83" s="307"/>
      <c r="F83" s="307"/>
      <c r="G83" s="389">
        <f>F72+D82+E82+D83+E83</f>
        <v>188378941.61248407</v>
      </c>
      <c r="K83" s="188"/>
      <c r="L83" s="175"/>
      <c r="M83" s="276"/>
      <c r="N83" s="276"/>
      <c r="O83" s="183">
        <f>AVERAGE(O77:O79)</f>
        <v>843.0399967087742</v>
      </c>
      <c r="P83" s="186">
        <f>AVERAGE(P77:P79)</f>
        <v>2.746615133770367</v>
      </c>
      <c r="Q83" s="186">
        <f>AVERAGE(Q77:Q79)</f>
        <v>3.2585399282277082E-3</v>
      </c>
    </row>
    <row r="84" spans="1:17" ht="13" x14ac:dyDescent="0.25">
      <c r="K84" s="184"/>
      <c r="L84" s="183"/>
      <c r="M84" s="183"/>
      <c r="N84" s="183"/>
      <c r="O84" s="183"/>
      <c r="P84" s="186"/>
      <c r="Q84" s="185"/>
    </row>
    <row r="85" spans="1:17" ht="13" thickBot="1" x14ac:dyDescent="0.3">
      <c r="K85" s="178"/>
      <c r="L85" s="177"/>
      <c r="M85" s="177"/>
      <c r="N85" s="177"/>
      <c r="O85" s="177"/>
      <c r="P85" s="177"/>
      <c r="Q85" s="176"/>
    </row>
    <row r="86" spans="1:17" ht="13" thickBot="1" x14ac:dyDescent="0.3"/>
    <row r="87" spans="1:17" ht="15.5" x14ac:dyDescent="0.25">
      <c r="A87" s="527" t="s">
        <v>162</v>
      </c>
      <c r="B87" s="528"/>
      <c r="C87" s="528"/>
      <c r="D87" s="528"/>
      <c r="E87" s="528"/>
      <c r="F87" s="528"/>
      <c r="G87" s="529"/>
    </row>
    <row r="88" spans="1:17" ht="39.5" thickBot="1" x14ac:dyDescent="0.3">
      <c r="A88" s="401" t="s">
        <v>74</v>
      </c>
      <c r="B88" s="402" t="s">
        <v>122</v>
      </c>
      <c r="C88" s="480" t="s">
        <v>218</v>
      </c>
      <c r="D88" s="402" t="s">
        <v>99</v>
      </c>
      <c r="E88" s="480" t="s">
        <v>219</v>
      </c>
      <c r="F88" s="402" t="s">
        <v>98</v>
      </c>
      <c r="G88" s="403" t="s">
        <v>97</v>
      </c>
    </row>
    <row r="89" spans="1:17" ht="15.5" x14ac:dyDescent="0.25">
      <c r="A89" s="189">
        <f t="shared" ref="A89:A100" si="24">A33</f>
        <v>2011</v>
      </c>
      <c r="B89" s="199">
        <f>'Input - Customer Data'!D$79</f>
        <v>5010546.66</v>
      </c>
      <c r="C89" s="473">
        <f t="shared" ref="C89:C98" si="25">C33</f>
        <v>535581625.16999972</v>
      </c>
      <c r="D89" s="399">
        <f>B89/C89</f>
        <v>9.3553371223473094E-3</v>
      </c>
      <c r="E89" s="473">
        <f t="shared" ref="E89:E98" si="26">E33</f>
        <v>515955628.21736974</v>
      </c>
      <c r="F89" s="175">
        <f t="shared" ref="F89:F100" si="27">E89*D89</f>
        <v>4826938.8421459859</v>
      </c>
      <c r="G89" s="174">
        <f>F89/'Input - Customer Data'!K6</f>
        <v>4826938.8421459859</v>
      </c>
      <c r="K89" s="527" t="s">
        <v>136</v>
      </c>
      <c r="L89" s="528"/>
      <c r="M89" s="528"/>
      <c r="N89" s="528"/>
      <c r="O89" s="528"/>
      <c r="P89" s="528"/>
      <c r="Q89" s="529"/>
    </row>
    <row r="90" spans="1:17" ht="13" x14ac:dyDescent="0.3">
      <c r="A90" s="189">
        <f t="shared" si="24"/>
        <v>2012</v>
      </c>
      <c r="B90" s="199">
        <f>'Input - Customer Data'!E$79</f>
        <v>5264498.6195</v>
      </c>
      <c r="C90" s="473">
        <f t="shared" si="25"/>
        <v>520912441.87000012</v>
      </c>
      <c r="D90" s="399">
        <f t="shared" ref="D90:D98" si="28">B90/C90</f>
        <v>1.0106302319447801E-2</v>
      </c>
      <c r="E90" s="473">
        <f t="shared" si="26"/>
        <v>512268691.80959123</v>
      </c>
      <c r="F90" s="175">
        <f t="shared" si="27"/>
        <v>5177142.2682157625</v>
      </c>
      <c r="G90" s="174">
        <f>F90/'Input - Customer Data'!K7</f>
        <v>5177142.2682157625</v>
      </c>
      <c r="K90" s="194" t="s">
        <v>74</v>
      </c>
      <c r="L90" s="193" t="s">
        <v>75</v>
      </c>
      <c r="M90" s="397" t="s">
        <v>76</v>
      </c>
      <c r="N90" s="397" t="s">
        <v>102</v>
      </c>
      <c r="O90" s="397" t="s">
        <v>101</v>
      </c>
      <c r="P90" s="397" t="s">
        <v>104</v>
      </c>
      <c r="Q90" s="289" t="s">
        <v>103</v>
      </c>
    </row>
    <row r="91" spans="1:17" ht="13" x14ac:dyDescent="0.25">
      <c r="A91" s="189">
        <f t="shared" si="24"/>
        <v>2013</v>
      </c>
      <c r="B91" s="199">
        <f>'Input - Customer Data'!F$79</f>
        <v>4854403.5</v>
      </c>
      <c r="C91" s="473">
        <f t="shared" si="25"/>
        <v>509774030.71999985</v>
      </c>
      <c r="D91" s="399">
        <f t="shared" si="28"/>
        <v>9.5226575060006254E-3</v>
      </c>
      <c r="E91" s="473">
        <f t="shared" si="26"/>
        <v>515814061.91370291</v>
      </c>
      <c r="F91" s="175">
        <f t="shared" si="27"/>
        <v>4911920.6483831946</v>
      </c>
      <c r="G91" s="174">
        <f>F91/'Input - Customer Data'!K8</f>
        <v>4911920.6483831946</v>
      </c>
      <c r="K91" s="462">
        <f>K5</f>
        <v>2011</v>
      </c>
      <c r="L91" s="199">
        <f>'Input - Customer Data'!D$94</f>
        <v>1527928.1810000001</v>
      </c>
      <c r="M91" s="199"/>
      <c r="N91" s="199">
        <f>'Input - Customer Data'!D$96</f>
        <v>38.666666666666664</v>
      </c>
      <c r="O91" s="175">
        <f>L91/N91</f>
        <v>39515.383991379313</v>
      </c>
      <c r="P91" s="191">
        <f t="shared" ref="P91:P100" si="29">M91/N91</f>
        <v>0</v>
      </c>
      <c r="Q91" s="190">
        <f>M91/L91</f>
        <v>0</v>
      </c>
    </row>
    <row r="92" spans="1:17" ht="13" x14ac:dyDescent="0.25">
      <c r="A92" s="189">
        <f t="shared" si="24"/>
        <v>2014</v>
      </c>
      <c r="B92" s="199">
        <f>'Input - Customer Data'!G$79</f>
        <v>4975331.1999999993</v>
      </c>
      <c r="C92" s="473">
        <f t="shared" si="25"/>
        <v>504927925.73999989</v>
      </c>
      <c r="D92" s="399">
        <f t="shared" si="28"/>
        <v>9.8535473012477479E-3</v>
      </c>
      <c r="E92" s="473">
        <f t="shared" si="26"/>
        <v>506469024.42164636</v>
      </c>
      <c r="F92" s="175">
        <f t="shared" si="27"/>
        <v>4990516.4887554934</v>
      </c>
      <c r="G92" s="174">
        <f>F92/'Input - Customer Data'!K9</f>
        <v>4990516.4887554934</v>
      </c>
      <c r="K92" s="464">
        <f t="shared" ref="K92:K102" si="30">K6</f>
        <v>2012</v>
      </c>
      <c r="L92" s="199">
        <f>'Input - Customer Data'!E$94</f>
        <v>1530261.9540000001</v>
      </c>
      <c r="M92" s="199"/>
      <c r="N92" s="199">
        <f>'Input - Customer Data'!E$96</f>
        <v>38.083333333333336</v>
      </c>
      <c r="O92" s="175">
        <f t="shared" ref="O92:O100" si="31">L92/N92</f>
        <v>40181.933146608317</v>
      </c>
      <c r="P92" s="191">
        <f t="shared" si="29"/>
        <v>0</v>
      </c>
      <c r="Q92" s="190">
        <f t="shared" ref="Q92:Q100" si="32">M92/L92</f>
        <v>0</v>
      </c>
    </row>
    <row r="93" spans="1:17" ht="13" x14ac:dyDescent="0.25">
      <c r="A93" s="189">
        <f t="shared" si="24"/>
        <v>2015</v>
      </c>
      <c r="B93" s="199">
        <f>'Input - Customer Data'!H$79</f>
        <v>5138938.0000000009</v>
      </c>
      <c r="C93" s="473">
        <f t="shared" si="25"/>
        <v>494324941.81999999</v>
      </c>
      <c r="D93" s="399">
        <f t="shared" si="28"/>
        <v>1.0395870337999772E-2</v>
      </c>
      <c r="E93" s="473">
        <f t="shared" si="26"/>
        <v>501092852.84721923</v>
      </c>
      <c r="F93" s="175">
        <f t="shared" si="27"/>
        <v>5209296.3254980911</v>
      </c>
      <c r="G93" s="174">
        <f>F93/'Input - Customer Data'!K10</f>
        <v>5209296.3254980911</v>
      </c>
      <c r="K93" s="464">
        <f t="shared" si="30"/>
        <v>2013</v>
      </c>
      <c r="L93" s="199">
        <f>'Input - Customer Data'!F$94</f>
        <v>1532801.659</v>
      </c>
      <c r="M93" s="199"/>
      <c r="N93" s="199">
        <f>'Input - Customer Data'!F$96</f>
        <v>40.083333333333336</v>
      </c>
      <c r="O93" s="175">
        <f t="shared" si="31"/>
        <v>38240.374029106024</v>
      </c>
      <c r="P93" s="191">
        <f t="shared" si="29"/>
        <v>0</v>
      </c>
      <c r="Q93" s="190">
        <f t="shared" si="32"/>
        <v>0</v>
      </c>
    </row>
    <row r="94" spans="1:17" ht="13" x14ac:dyDescent="0.25">
      <c r="A94" s="189">
        <f t="shared" si="24"/>
        <v>2016</v>
      </c>
      <c r="B94" s="199">
        <f>'Input - Customer Data'!I$79</f>
        <v>5604942.4199999999</v>
      </c>
      <c r="C94" s="473">
        <f t="shared" si="25"/>
        <v>491633276.0999999</v>
      </c>
      <c r="D94" s="399">
        <f t="shared" si="28"/>
        <v>1.1400657141157254E-2</v>
      </c>
      <c r="E94" s="473">
        <f t="shared" si="26"/>
        <v>506320559.74364376</v>
      </c>
      <c r="F94" s="175">
        <f t="shared" si="27"/>
        <v>5772387.1051561106</v>
      </c>
      <c r="G94" s="174">
        <f>F94/'Input - Customer Data'!K11</f>
        <v>5772387.1051561106</v>
      </c>
      <c r="K94" s="464">
        <f t="shared" si="30"/>
        <v>2014</v>
      </c>
      <c r="L94" s="199">
        <f>'Input - Customer Data'!G$94</f>
        <v>1503002.9500000002</v>
      </c>
      <c r="M94" s="199"/>
      <c r="N94" s="199">
        <f>'Input - Customer Data'!G$96</f>
        <v>39.75</v>
      </c>
      <c r="O94" s="175">
        <f t="shared" si="31"/>
        <v>37811.394968553461</v>
      </c>
      <c r="P94" s="191">
        <f t="shared" si="29"/>
        <v>0</v>
      </c>
      <c r="Q94" s="190">
        <f t="shared" si="32"/>
        <v>0</v>
      </c>
    </row>
    <row r="95" spans="1:17" ht="13" x14ac:dyDescent="0.25">
      <c r="A95" s="189">
        <f t="shared" si="24"/>
        <v>2017</v>
      </c>
      <c r="B95" s="199">
        <f>'Input - Customer Data'!J$79</f>
        <v>4768119.9723423496</v>
      </c>
      <c r="C95" s="473">
        <f t="shared" si="25"/>
        <v>476909006.88</v>
      </c>
      <c r="D95" s="399">
        <f t="shared" si="28"/>
        <v>9.9979658667719504E-3</v>
      </c>
      <c r="E95" s="473">
        <f t="shared" si="26"/>
        <v>482552397.2252028</v>
      </c>
      <c r="F95" s="175">
        <f t="shared" si="27"/>
        <v>4824542.3963865573</v>
      </c>
      <c r="G95" s="174">
        <f>F95/'Input - Customer Data'!K12</f>
        <v>4824542.3963865573</v>
      </c>
      <c r="K95" s="464">
        <f t="shared" si="30"/>
        <v>2015</v>
      </c>
      <c r="L95" s="199">
        <f>'Input - Customer Data'!H$94</f>
        <v>1500542.3199999998</v>
      </c>
      <c r="M95" s="199"/>
      <c r="N95" s="199">
        <f>'Input - Customer Data'!H$96</f>
        <v>36.25</v>
      </c>
      <c r="O95" s="175">
        <f t="shared" si="31"/>
        <v>41394.270896551723</v>
      </c>
      <c r="P95" s="191">
        <f t="shared" si="29"/>
        <v>0</v>
      </c>
      <c r="Q95" s="190">
        <f t="shared" si="32"/>
        <v>0</v>
      </c>
    </row>
    <row r="96" spans="1:17" ht="13" x14ac:dyDescent="0.25">
      <c r="A96" s="189">
        <f t="shared" si="24"/>
        <v>2018</v>
      </c>
      <c r="B96" s="199">
        <f>'Input - Customer Data'!K$79</f>
        <v>5218945.2166489204</v>
      </c>
      <c r="C96" s="473">
        <f t="shared" si="25"/>
        <v>502625267.96000004</v>
      </c>
      <c r="D96" s="399">
        <f t="shared" si="28"/>
        <v>1.0383372164775955E-2</v>
      </c>
      <c r="E96" s="473">
        <f t="shared" si="26"/>
        <v>497951471.5907684</v>
      </c>
      <c r="F96" s="175">
        <f t="shared" si="27"/>
        <v>5170415.4495248096</v>
      </c>
      <c r="G96" s="174">
        <f>F96/'Input - Customer Data'!K13</f>
        <v>5170415.4495248096</v>
      </c>
      <c r="K96" s="464">
        <f t="shared" si="30"/>
        <v>2016</v>
      </c>
      <c r="L96" s="199">
        <f>'Input - Customer Data'!I$94</f>
        <v>1416419.3800000001</v>
      </c>
      <c r="M96" s="199"/>
      <c r="N96" s="199">
        <f>'Input - Customer Data'!I$96</f>
        <v>35.916666666666664</v>
      </c>
      <c r="O96" s="175">
        <f t="shared" si="31"/>
        <v>39436.270440835273</v>
      </c>
      <c r="P96" s="191">
        <f t="shared" si="29"/>
        <v>0</v>
      </c>
      <c r="Q96" s="190">
        <f t="shared" si="32"/>
        <v>0</v>
      </c>
    </row>
    <row r="97" spans="1:17" ht="13" x14ac:dyDescent="0.25">
      <c r="A97" s="189">
        <f t="shared" si="24"/>
        <v>2019</v>
      </c>
      <c r="B97" s="199">
        <f>'Input - Customer Data'!L$79</f>
        <v>5234524.4083762597</v>
      </c>
      <c r="C97" s="473">
        <f t="shared" si="25"/>
        <v>490029500.53746313</v>
      </c>
      <c r="D97" s="399">
        <f t="shared" si="28"/>
        <v>1.0682059758922773E-2</v>
      </c>
      <c r="E97" s="473">
        <f t="shared" si="26"/>
        <v>481829742.73647618</v>
      </c>
      <c r="F97" s="175">
        <f t="shared" si="27"/>
        <v>5146934.1055374239</v>
      </c>
      <c r="G97" s="174">
        <f>F97/'Input - Customer Data'!K14</f>
        <v>5146934.1055374239</v>
      </c>
      <c r="K97" s="464">
        <f t="shared" si="30"/>
        <v>2017</v>
      </c>
      <c r="L97" s="199">
        <f>'Input - Customer Data'!J$94</f>
        <v>1308270.2299999995</v>
      </c>
      <c r="M97" s="199"/>
      <c r="N97" s="199">
        <f>'Input - Customer Data'!J$96</f>
        <v>49.25</v>
      </c>
      <c r="O97" s="175">
        <f t="shared" si="31"/>
        <v>26563.862538071055</v>
      </c>
      <c r="P97" s="191">
        <f t="shared" si="29"/>
        <v>0</v>
      </c>
      <c r="Q97" s="190">
        <f t="shared" si="32"/>
        <v>0</v>
      </c>
    </row>
    <row r="98" spans="1:17" ht="13" x14ac:dyDescent="0.25">
      <c r="A98" s="189">
        <f t="shared" si="24"/>
        <v>2020</v>
      </c>
      <c r="B98" s="199">
        <f>'Input - Customer Data'!M$79</f>
        <v>5321959.9988488881</v>
      </c>
      <c r="C98" s="473">
        <f t="shared" si="25"/>
        <v>482494034.60487103</v>
      </c>
      <c r="D98" s="399">
        <f t="shared" si="28"/>
        <v>1.1030105280383834E-2</v>
      </c>
      <c r="E98" s="473">
        <f t="shared" si="26"/>
        <v>488957597.90415514</v>
      </c>
      <c r="F98" s="175">
        <f>E98*D98</f>
        <v>5393253.7825264176</v>
      </c>
      <c r="G98" s="174">
        <f>F98/'Input - Customer Data'!K15</f>
        <v>5393253.7825264176</v>
      </c>
      <c r="K98" s="466">
        <f t="shared" si="30"/>
        <v>2018</v>
      </c>
      <c r="L98" s="405">
        <f>'Input - Customer Data'!K$94</f>
        <v>1307305.7299999995</v>
      </c>
      <c r="M98" s="405"/>
      <c r="N98" s="405">
        <f>'Input - Customer Data'!K$96</f>
        <v>48.083333333333336</v>
      </c>
      <c r="O98" s="405">
        <f t="shared" si="31"/>
        <v>27188.334072790283</v>
      </c>
      <c r="P98" s="406">
        <f t="shared" si="29"/>
        <v>0</v>
      </c>
      <c r="Q98" s="407">
        <f t="shared" si="32"/>
        <v>0</v>
      </c>
    </row>
    <row r="99" spans="1:17" ht="13" x14ac:dyDescent="0.25">
      <c r="A99" s="314">
        <f t="shared" si="24"/>
        <v>2021</v>
      </c>
      <c r="B99" s="361"/>
      <c r="C99" s="307"/>
      <c r="D99" s="311">
        <f>AVERAGE(D94:D98)</f>
        <v>1.0698832042402354E-2</v>
      </c>
      <c r="E99" s="473">
        <f>E71</f>
        <v>486071741.32994813</v>
      </c>
      <c r="F99" s="307">
        <f>E99*D99</f>
        <v>5200399.9210471576</v>
      </c>
      <c r="G99" s="310">
        <f>F99/'Input - Customer Data'!K19</f>
        <v>5200399.9210471576</v>
      </c>
      <c r="K99" s="466">
        <f t="shared" si="30"/>
        <v>2019</v>
      </c>
      <c r="L99" s="405">
        <f>'Input - Customer Data'!L$94</f>
        <v>1299487.2900000005</v>
      </c>
      <c r="M99" s="405"/>
      <c r="N99" s="405">
        <f>'Input - Customer Data'!L$96</f>
        <v>47.166666666666664</v>
      </c>
      <c r="O99" s="405">
        <f t="shared" si="31"/>
        <v>27550.967279151955</v>
      </c>
      <c r="P99" s="406">
        <f t="shared" si="29"/>
        <v>0</v>
      </c>
      <c r="Q99" s="407">
        <f t="shared" si="32"/>
        <v>0</v>
      </c>
    </row>
    <row r="100" spans="1:17" ht="13" x14ac:dyDescent="0.25">
      <c r="A100" s="314">
        <f t="shared" si="24"/>
        <v>2022</v>
      </c>
      <c r="B100" s="312"/>
      <c r="C100" s="313" t="s">
        <v>100</v>
      </c>
      <c r="D100" s="311">
        <f>D99</f>
        <v>1.0698832042402354E-2</v>
      </c>
      <c r="E100" s="473">
        <f>E72</f>
        <v>487062656.71998221</v>
      </c>
      <c r="F100" s="307">
        <f t="shared" si="27"/>
        <v>5211001.5583733637</v>
      </c>
      <c r="G100" s="310">
        <f>F100/'Input - Customer Data'!K20</f>
        <v>5211001.5583733637</v>
      </c>
      <c r="K100" s="467">
        <f t="shared" si="30"/>
        <v>2020</v>
      </c>
      <c r="L100" s="405">
        <f>'Input - Customer Data'!M$94</f>
        <v>1307649.58</v>
      </c>
      <c r="M100" s="405"/>
      <c r="N100" s="405">
        <f>'Input - Customer Data'!M$96</f>
        <v>46</v>
      </c>
      <c r="O100" s="408">
        <f t="shared" si="31"/>
        <v>28427.164782608696</v>
      </c>
      <c r="P100" s="409">
        <f t="shared" si="29"/>
        <v>0</v>
      </c>
      <c r="Q100" s="410">
        <f t="shared" si="32"/>
        <v>0</v>
      </c>
    </row>
    <row r="101" spans="1:17" ht="13" thickBot="1" x14ac:dyDescent="0.3">
      <c r="A101" s="400" t="s">
        <v>166</v>
      </c>
      <c r="B101" s="284"/>
      <c r="C101" s="284"/>
      <c r="D101" s="285">
        <f>D72</f>
        <v>0.368102568769269</v>
      </c>
      <c r="E101" s="286">
        <f>E45</f>
        <v>522769999.65821135</v>
      </c>
      <c r="F101" s="286">
        <f>E73*D73</f>
        <v>192432979.74969748</v>
      </c>
      <c r="G101" s="287">
        <f>F73/'Input - Customer Data'!I15</f>
        <v>996201.79335477564</v>
      </c>
      <c r="K101" s="315">
        <f t="shared" si="30"/>
        <v>2021</v>
      </c>
      <c r="L101" s="307">
        <f>N101*O105</f>
        <v>1300064.6421148987</v>
      </c>
      <c r="M101" s="307"/>
      <c r="N101" s="307">
        <f>'Input - Customer Data'!Q19</f>
        <v>46.896232431407682</v>
      </c>
      <c r="O101" s="307">
        <f>L101/N101</f>
        <v>27722.155378183645</v>
      </c>
      <c r="P101" s="309">
        <f>M101/N101</f>
        <v>0</v>
      </c>
      <c r="Q101" s="308">
        <f>M101/L101</f>
        <v>0</v>
      </c>
    </row>
    <row r="102" spans="1:17" x14ac:dyDescent="0.25">
      <c r="A102" s="234"/>
      <c r="B102" s="170"/>
      <c r="C102" s="170"/>
      <c r="D102" s="170"/>
      <c r="E102" s="170"/>
      <c r="F102" s="169"/>
      <c r="G102" s="231"/>
      <c r="K102" s="315">
        <f t="shared" si="30"/>
        <v>2022</v>
      </c>
      <c r="L102" s="307">
        <f>N102*O105</f>
        <v>1325394.2094016334</v>
      </c>
      <c r="M102" s="307"/>
      <c r="N102" s="307">
        <f>'Input - Customer Data'!Q20</f>
        <v>47.809926440448123</v>
      </c>
      <c r="O102" s="307">
        <f>L102/N102</f>
        <v>27722.155378183645</v>
      </c>
      <c r="P102" s="309">
        <f>M102/N102</f>
        <v>0</v>
      </c>
      <c r="Q102" s="308">
        <f>M102/L102</f>
        <v>0</v>
      </c>
    </row>
    <row r="103" spans="1:17" x14ac:dyDescent="0.25">
      <c r="A103" s="234"/>
      <c r="B103" s="170"/>
      <c r="C103" s="170"/>
      <c r="D103" s="170"/>
      <c r="E103" s="170"/>
      <c r="F103" s="169"/>
      <c r="G103" s="231"/>
      <c r="K103" s="281">
        <f>'Bridge&amp;Test Year Class Forecast'!K38</f>
        <v>2022</v>
      </c>
      <c r="L103" s="282">
        <f>N103*O105</f>
        <v>0</v>
      </c>
      <c r="M103" s="282">
        <f>N103*P105</f>
        <v>0</v>
      </c>
      <c r="N103" s="398">
        <f>'Input - Customer Data'!O46</f>
        <v>0</v>
      </c>
      <c r="O103" s="282" t="e">
        <f>L103/N103</f>
        <v>#DIV/0!</v>
      </c>
      <c r="P103" s="288" t="e">
        <f>M103/N103</f>
        <v>#DIV/0!</v>
      </c>
      <c r="Q103" s="283" t="e">
        <f>M103/L103</f>
        <v>#DIV/0!</v>
      </c>
    </row>
    <row r="104" spans="1:17" x14ac:dyDescent="0.25">
      <c r="A104" s="234"/>
      <c r="B104" s="170"/>
      <c r="C104" s="170"/>
      <c r="D104" s="170"/>
      <c r="E104" s="170"/>
      <c r="F104" s="169"/>
      <c r="G104" s="231"/>
      <c r="K104" s="188"/>
      <c r="L104" s="175"/>
      <c r="M104" s="276"/>
      <c r="N104" s="276"/>
      <c r="O104" s="276"/>
      <c r="P104" s="276"/>
      <c r="Q104" s="187"/>
    </row>
    <row r="105" spans="1:17" ht="13" x14ac:dyDescent="0.25">
      <c r="A105" s="234"/>
      <c r="B105" s="170"/>
      <c r="C105" s="170"/>
      <c r="D105" s="170"/>
      <c r="E105" s="170"/>
      <c r="F105" s="169"/>
      <c r="G105" s="231"/>
      <c r="K105" s="184" t="s">
        <v>100</v>
      </c>
      <c r="L105" s="183"/>
      <c r="M105" s="183"/>
      <c r="N105" s="183"/>
      <c r="O105" s="183">
        <f>AVERAGE(O98:O100)</f>
        <v>27722.155378183645</v>
      </c>
      <c r="P105" s="183">
        <f>AVERAGE(P98:P100)</f>
        <v>0</v>
      </c>
      <c r="Q105" s="182">
        <f>AVERAGE(Q98:Q100)</f>
        <v>0</v>
      </c>
    </row>
    <row r="106" spans="1:17" ht="16" thickBot="1" x14ac:dyDescent="0.3">
      <c r="A106" s="524" t="s">
        <v>96</v>
      </c>
      <c r="B106" s="525"/>
      <c r="C106" s="525"/>
      <c r="D106" s="525"/>
      <c r="E106" s="525"/>
      <c r="F106" s="525"/>
      <c r="G106" s="526"/>
      <c r="K106" s="178"/>
      <c r="L106" s="177"/>
      <c r="M106" s="177"/>
      <c r="N106" s="177"/>
      <c r="O106" s="177"/>
      <c r="P106" s="177"/>
      <c r="Q106" s="176"/>
    </row>
    <row r="107" spans="1:17" ht="13" thickBot="1" x14ac:dyDescent="0.3">
      <c r="A107" s="232"/>
      <c r="B107" s="168"/>
      <c r="C107" s="168"/>
      <c r="D107" s="168"/>
      <c r="E107" s="168"/>
      <c r="F107" s="168"/>
      <c r="G107" s="233"/>
    </row>
    <row r="108" spans="1:17" ht="13" thickBot="1" x14ac:dyDescent="0.3">
      <c r="A108" s="272" t="s">
        <v>162</v>
      </c>
      <c r="B108" s="273"/>
      <c r="C108" s="273"/>
      <c r="D108" s="273"/>
      <c r="E108" s="273"/>
      <c r="F108" s="273"/>
      <c r="G108" s="274"/>
    </row>
    <row r="109" spans="1:17" ht="25" x14ac:dyDescent="0.25">
      <c r="A109" s="164" t="s">
        <v>74</v>
      </c>
      <c r="B109" s="275" t="s">
        <v>94</v>
      </c>
      <c r="C109" s="275" t="s">
        <v>93</v>
      </c>
      <c r="D109" s="277" t="s">
        <v>92</v>
      </c>
      <c r="E109" s="275"/>
      <c r="F109" s="278"/>
      <c r="G109" s="163" t="s">
        <v>77</v>
      </c>
    </row>
    <row r="110" spans="1:17" ht="13" x14ac:dyDescent="0.25">
      <c r="A110" s="314">
        <f>A99</f>
        <v>2021</v>
      </c>
      <c r="B110" s="276">
        <f>'Input - Customer Data'!I24-'Input - Customer Data'!I19</f>
        <v>0</v>
      </c>
      <c r="C110" s="276">
        <f>G99</f>
        <v>5200399.9210471576</v>
      </c>
      <c r="D110" s="276">
        <f>B110*C110</f>
        <v>0</v>
      </c>
      <c r="E110" s="276"/>
      <c r="F110" s="276"/>
      <c r="G110" s="389">
        <f>F99+D110</f>
        <v>5200399.9210471576</v>
      </c>
    </row>
    <row r="111" spans="1:17" ht="13" x14ac:dyDescent="0.25">
      <c r="A111" s="314">
        <f>A100</f>
        <v>2022</v>
      </c>
      <c r="B111" s="361">
        <v>0</v>
      </c>
      <c r="C111" s="307">
        <f>G100</f>
        <v>5211001.5583733637</v>
      </c>
      <c r="D111" s="307">
        <f>B111*C111</f>
        <v>0</v>
      </c>
      <c r="E111" s="307"/>
      <c r="F111" s="307"/>
      <c r="G111" s="389">
        <f>F100+D110+D111</f>
        <v>5211001.5583733637</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pageSetUpPr fitToPage="1"/>
  </sheetPr>
  <dimension ref="A1:J61"/>
  <sheetViews>
    <sheetView showGridLines="0" zoomScale="80" zoomScaleNormal="80" workbookViewId="0">
      <selection activeCell="G44" sqref="G44"/>
    </sheetView>
  </sheetViews>
  <sheetFormatPr defaultColWidth="17.5" defaultRowHeight="12.5" x14ac:dyDescent="0.25"/>
  <cols>
    <col min="1" max="1" width="10.296875" style="195" customWidth="1"/>
    <col min="2" max="2" width="35" style="195" customWidth="1"/>
    <col min="3" max="9" width="18.796875" style="195" customWidth="1"/>
    <col min="10" max="16384" width="17.5" style="195"/>
  </cols>
  <sheetData>
    <row r="1" spans="1:9" s="196" customFormat="1" x14ac:dyDescent="0.25">
      <c r="A1" s="198"/>
    </row>
    <row r="2" spans="1:9" ht="13" thickBot="1" x14ac:dyDescent="0.3">
      <c r="A2" s="241"/>
      <c r="B2" s="241"/>
    </row>
    <row r="3" spans="1:9" ht="16.5" customHeight="1" thickBot="1" x14ac:dyDescent="0.3">
      <c r="A3" s="242"/>
      <c r="B3" s="540" t="s">
        <v>112</v>
      </c>
      <c r="C3" s="541"/>
      <c r="D3" s="541"/>
      <c r="E3" s="541"/>
      <c r="F3" s="541"/>
      <c r="G3" s="541"/>
      <c r="H3" s="541"/>
      <c r="I3" s="542"/>
    </row>
    <row r="4" spans="1:9" ht="13" x14ac:dyDescent="0.25">
      <c r="A4" s="241"/>
      <c r="B4" s="543" t="s">
        <v>113</v>
      </c>
      <c r="C4" s="544"/>
      <c r="D4" s="544"/>
      <c r="E4" s="544"/>
      <c r="F4" s="544"/>
      <c r="G4" s="544"/>
      <c r="H4" s="544"/>
      <c r="I4" s="545"/>
    </row>
    <row r="5" spans="1:9" x14ac:dyDescent="0.25">
      <c r="A5" s="241"/>
      <c r="B5" s="537">
        <v>1050000</v>
      </c>
      <c r="C5" s="538"/>
      <c r="D5" s="538"/>
      <c r="E5" s="538"/>
      <c r="F5" s="538"/>
      <c r="G5" s="538"/>
      <c r="H5" s="538"/>
      <c r="I5" s="539"/>
    </row>
    <row r="6" spans="1:9" ht="13" x14ac:dyDescent="0.3">
      <c r="A6" s="241"/>
      <c r="B6" s="243"/>
      <c r="C6" s="244">
        <v>2015</v>
      </c>
      <c r="D6" s="244">
        <v>2016</v>
      </c>
      <c r="E6" s="244">
        <v>2017</v>
      </c>
      <c r="F6" s="244">
        <v>2018</v>
      </c>
      <c r="G6" s="244">
        <v>2019</v>
      </c>
      <c r="H6" s="244">
        <v>2020</v>
      </c>
      <c r="I6" s="245" t="s">
        <v>77</v>
      </c>
    </row>
    <row r="7" spans="1:9" ht="13" x14ac:dyDescent="0.25">
      <c r="A7" s="241"/>
      <c r="B7" s="246" t="s">
        <v>114</v>
      </c>
      <c r="C7" s="247"/>
      <c r="D7" s="247"/>
      <c r="E7" s="247"/>
      <c r="F7" s="247"/>
      <c r="G7" s="247"/>
      <c r="H7" s="247"/>
      <c r="I7" s="248"/>
    </row>
    <row r="8" spans="1:9" ht="14.5" x14ac:dyDescent="0.35">
      <c r="A8" s="241"/>
      <c r="B8" s="324" t="s">
        <v>115</v>
      </c>
      <c r="C8" s="325" t="e">
        <f>C16/$I$22</f>
        <v>#DIV/0!</v>
      </c>
      <c r="D8" s="325" t="e">
        <f t="shared" ref="D8:G12" si="0">D16/$I$22</f>
        <v>#DIV/0!</v>
      </c>
      <c r="E8" s="325" t="e">
        <f t="shared" si="0"/>
        <v>#DIV/0!</v>
      </c>
      <c r="F8" s="325" t="e">
        <f t="shared" si="0"/>
        <v>#DIV/0!</v>
      </c>
      <c r="G8" s="325" t="e">
        <f t="shared" si="0"/>
        <v>#DIV/0!</v>
      </c>
      <c r="H8" s="326" t="e">
        <f t="shared" ref="H8:H13" si="1">H16/$I$22</f>
        <v>#DIV/0!</v>
      </c>
      <c r="I8" s="327" t="e">
        <f>SUM(C8:H8)</f>
        <v>#DIV/0!</v>
      </c>
    </row>
    <row r="9" spans="1:9" ht="14.5" x14ac:dyDescent="0.35">
      <c r="A9" s="241"/>
      <c r="B9" s="324" t="s">
        <v>116</v>
      </c>
      <c r="C9" s="328"/>
      <c r="D9" s="325" t="e">
        <f t="shared" si="0"/>
        <v>#DIV/0!</v>
      </c>
      <c r="E9" s="325" t="e">
        <f t="shared" si="0"/>
        <v>#DIV/0!</v>
      </c>
      <c r="F9" s="325" t="e">
        <f t="shared" si="0"/>
        <v>#DIV/0!</v>
      </c>
      <c r="G9" s="325" t="e">
        <f t="shared" si="0"/>
        <v>#DIV/0!</v>
      </c>
      <c r="H9" s="326" t="e">
        <f t="shared" si="1"/>
        <v>#DIV/0!</v>
      </c>
      <c r="I9" s="327" t="e">
        <f>SUM(C9:H9)</f>
        <v>#DIV/0!</v>
      </c>
    </row>
    <row r="10" spans="1:9" ht="14.5" x14ac:dyDescent="0.35">
      <c r="A10" s="241"/>
      <c r="B10" s="324" t="s">
        <v>117</v>
      </c>
      <c r="C10" s="328"/>
      <c r="D10" s="328"/>
      <c r="E10" s="325" t="e">
        <f t="shared" si="0"/>
        <v>#DIV/0!</v>
      </c>
      <c r="F10" s="325" t="e">
        <f t="shared" si="0"/>
        <v>#DIV/0!</v>
      </c>
      <c r="G10" s="325" t="e">
        <f t="shared" si="0"/>
        <v>#DIV/0!</v>
      </c>
      <c r="H10" s="326" t="e">
        <f t="shared" si="1"/>
        <v>#DIV/0!</v>
      </c>
      <c r="I10" s="327" t="e">
        <f>SUM(C10:H10)</f>
        <v>#DIV/0!</v>
      </c>
    </row>
    <row r="11" spans="1:9" ht="14.5" x14ac:dyDescent="0.35">
      <c r="A11" s="241"/>
      <c r="B11" s="324" t="s">
        <v>118</v>
      </c>
      <c r="C11" s="328"/>
      <c r="D11" s="328"/>
      <c r="E11" s="329"/>
      <c r="F11" s="325" t="e">
        <f t="shared" si="0"/>
        <v>#DIV/0!</v>
      </c>
      <c r="G11" s="325" t="e">
        <f t="shared" si="0"/>
        <v>#DIV/0!</v>
      </c>
      <c r="H11" s="326" t="e">
        <f t="shared" si="1"/>
        <v>#DIV/0!</v>
      </c>
      <c r="I11" s="327" t="e">
        <f>SUM(F11:H11)</f>
        <v>#DIV/0!</v>
      </c>
    </row>
    <row r="12" spans="1:9" ht="14.5" x14ac:dyDescent="0.35">
      <c r="A12" s="241"/>
      <c r="B12" s="324" t="s">
        <v>119</v>
      </c>
      <c r="C12" s="328"/>
      <c r="D12" s="328"/>
      <c r="E12" s="329"/>
      <c r="F12" s="329"/>
      <c r="G12" s="325" t="e">
        <f t="shared" si="0"/>
        <v>#DIV/0!</v>
      </c>
      <c r="H12" s="326" t="e">
        <f t="shared" si="1"/>
        <v>#DIV/0!</v>
      </c>
      <c r="I12" s="327" t="e">
        <f>SUM(G12:H12)</f>
        <v>#DIV/0!</v>
      </c>
    </row>
    <row r="13" spans="1:9" ht="15" thickBot="1" x14ac:dyDescent="0.4">
      <c r="A13" s="241"/>
      <c r="B13" s="330" t="s">
        <v>120</v>
      </c>
      <c r="C13" s="331"/>
      <c r="D13" s="331"/>
      <c r="E13" s="331"/>
      <c r="F13" s="331"/>
      <c r="G13" s="331"/>
      <c r="H13" s="326" t="e">
        <f t="shared" si="1"/>
        <v>#DIV/0!</v>
      </c>
      <c r="I13" s="332" t="e">
        <f>SUM(C13:H13)</f>
        <v>#DIV/0!</v>
      </c>
    </row>
    <row r="14" spans="1:9" ht="13.5" thickTop="1" x14ac:dyDescent="0.3">
      <c r="A14" s="241"/>
      <c r="B14" s="249" t="s">
        <v>107</v>
      </c>
      <c r="C14" s="250" t="e">
        <f>SUM(C8:C13)</f>
        <v>#DIV/0!</v>
      </c>
      <c r="D14" s="250" t="e">
        <f>SUM(D8:D13)</f>
        <v>#DIV/0!</v>
      </c>
      <c r="E14" s="250" t="e">
        <f>SUM(E8:E13)</f>
        <v>#DIV/0!</v>
      </c>
      <c r="F14" s="250" t="e">
        <f>SUM(F8:F11)</f>
        <v>#DIV/0!</v>
      </c>
      <c r="G14" s="250" t="e">
        <f>SUM(G8:G12)</f>
        <v>#DIV/0!</v>
      </c>
      <c r="H14" s="251" t="e">
        <f>SUM(H8:H13)</f>
        <v>#DIV/0!</v>
      </c>
      <c r="I14" s="252" t="e">
        <f>SUM(C14:H14)</f>
        <v>#DIV/0!</v>
      </c>
    </row>
    <row r="15" spans="1:9" ht="13" x14ac:dyDescent="0.25">
      <c r="A15" s="241"/>
      <c r="B15" s="546" t="s">
        <v>75</v>
      </c>
      <c r="C15" s="547"/>
      <c r="D15" s="547"/>
      <c r="E15" s="547"/>
      <c r="F15" s="547"/>
      <c r="G15" s="547"/>
      <c r="H15" s="547"/>
      <c r="I15" s="548"/>
    </row>
    <row r="16" spans="1:9" ht="14.5" x14ac:dyDescent="0.35">
      <c r="A16" s="241"/>
      <c r="B16" s="324" t="str">
        <f t="shared" ref="B16:B21" si="2">B8</f>
        <v>2015 CDM Programs</v>
      </c>
      <c r="C16" s="333"/>
      <c r="D16" s="333"/>
      <c r="E16" s="333"/>
      <c r="F16" s="333"/>
      <c r="G16" s="333"/>
      <c r="H16" s="364"/>
      <c r="I16" s="345">
        <f>SUM(C16:H16)</f>
        <v>0</v>
      </c>
    </row>
    <row r="17" spans="1:10" ht="14.5" x14ac:dyDescent="0.35">
      <c r="A17" s="241"/>
      <c r="B17" s="324" t="str">
        <f t="shared" si="2"/>
        <v>2016 CDM Programs</v>
      </c>
      <c r="C17" s="334"/>
      <c r="D17" s="333"/>
      <c r="E17" s="333"/>
      <c r="F17" s="333"/>
      <c r="G17" s="333"/>
      <c r="H17" s="333"/>
      <c r="I17" s="345">
        <f>SUM(D17:H17)</f>
        <v>0</v>
      </c>
    </row>
    <row r="18" spans="1:10" ht="14.5" x14ac:dyDescent="0.35">
      <c r="A18" s="241"/>
      <c r="B18" s="324" t="str">
        <f t="shared" si="2"/>
        <v>2017 CDM Programs</v>
      </c>
      <c r="C18" s="334"/>
      <c r="D18" s="334"/>
      <c r="E18" s="333"/>
      <c r="F18" s="333"/>
      <c r="G18" s="333"/>
      <c r="H18" s="333"/>
      <c r="I18" s="345">
        <f>SUM(E18:H18)</f>
        <v>0</v>
      </c>
    </row>
    <row r="19" spans="1:10" ht="16.5" customHeight="1" x14ac:dyDescent="0.35">
      <c r="B19" s="324" t="str">
        <f t="shared" si="2"/>
        <v>2018 CDM Programs</v>
      </c>
      <c r="C19" s="334"/>
      <c r="D19" s="334"/>
      <c r="E19" s="334"/>
      <c r="F19" s="333"/>
      <c r="G19" s="333"/>
      <c r="H19" s="333"/>
      <c r="I19" s="345">
        <f>SUM(F19:H19)</f>
        <v>0</v>
      </c>
      <c r="J19" s="365" t="s">
        <v>159</v>
      </c>
    </row>
    <row r="20" spans="1:10" ht="16.5" customHeight="1" x14ac:dyDescent="0.35">
      <c r="B20" s="324" t="str">
        <f t="shared" si="2"/>
        <v>2019 CDM Programs</v>
      </c>
      <c r="C20" s="334"/>
      <c r="D20" s="334"/>
      <c r="E20" s="334"/>
      <c r="F20" s="334"/>
      <c r="G20" s="333"/>
      <c r="H20" s="333"/>
      <c r="I20" s="345">
        <f>SUM(G20:H20)</f>
        <v>0</v>
      </c>
      <c r="J20" s="365" t="s">
        <v>160</v>
      </c>
    </row>
    <row r="21" spans="1:10" ht="15" thickBot="1" x14ac:dyDescent="0.4">
      <c r="B21" s="330" t="str">
        <f t="shared" si="2"/>
        <v>2020 CDM Programs</v>
      </c>
      <c r="C21" s="335"/>
      <c r="D21" s="335"/>
      <c r="E21" s="335"/>
      <c r="F21" s="335"/>
      <c r="G21" s="335"/>
      <c r="H21" s="424"/>
      <c r="I21" s="360">
        <f>SUM(H21)</f>
        <v>0</v>
      </c>
    </row>
    <row r="22" spans="1:10" ht="14" thickTop="1" thickBot="1" x14ac:dyDescent="0.35">
      <c r="B22" s="253" t="s">
        <v>107</v>
      </c>
      <c r="C22" s="340">
        <f>SUM(C16:C21)</f>
        <v>0</v>
      </c>
      <c r="D22" s="340">
        <f>SUM(D16:D21)</f>
        <v>0</v>
      </c>
      <c r="E22" s="340">
        <f>SUM(E16:E21)</f>
        <v>0</v>
      </c>
      <c r="F22" s="340">
        <f>SUM(F16:F19)</f>
        <v>0</v>
      </c>
      <c r="G22" s="340">
        <f>SUM(G16:G20)</f>
        <v>0</v>
      </c>
      <c r="H22" s="340">
        <f>SUM(H16:H21)</f>
        <v>0</v>
      </c>
      <c r="I22" s="344">
        <f>SUM(I16:I21)</f>
        <v>0</v>
      </c>
    </row>
    <row r="24" spans="1:10" ht="13" thickBot="1" x14ac:dyDescent="0.3"/>
    <row r="25" spans="1:10" ht="13.5" customHeight="1" thickBot="1" x14ac:dyDescent="0.3">
      <c r="A25" s="241"/>
      <c r="B25" s="551" t="s">
        <v>180</v>
      </c>
      <c r="C25" s="552"/>
      <c r="D25" s="552"/>
      <c r="E25" s="552"/>
      <c r="F25" s="552"/>
      <c r="G25" s="553"/>
    </row>
    <row r="26" spans="1:10" ht="13" x14ac:dyDescent="0.3">
      <c r="A26" s="242"/>
      <c r="B26" s="358"/>
      <c r="C26" s="359">
        <v>2017</v>
      </c>
      <c r="D26" s="359">
        <v>2018</v>
      </c>
      <c r="E26" s="359">
        <v>2019</v>
      </c>
      <c r="F26" s="359">
        <v>2020</v>
      </c>
      <c r="G26" s="337"/>
    </row>
    <row r="27" spans="1:10" ht="50" x14ac:dyDescent="0.25">
      <c r="A27" s="241"/>
      <c r="B27" s="254" t="s">
        <v>106</v>
      </c>
      <c r="C27" s="425">
        <v>0</v>
      </c>
      <c r="D27" s="426">
        <v>0</v>
      </c>
      <c r="E27" s="426">
        <v>0</v>
      </c>
      <c r="F27" s="426">
        <v>0</v>
      </c>
      <c r="G27" s="222" t="s">
        <v>121</v>
      </c>
    </row>
    <row r="28" spans="1:10" ht="13.5" thickBot="1" x14ac:dyDescent="0.3">
      <c r="A28" s="241"/>
      <c r="B28" s="255" t="s">
        <v>105</v>
      </c>
      <c r="C28" s="256"/>
      <c r="D28" s="256"/>
      <c r="E28" s="256"/>
      <c r="F28" s="256"/>
      <c r="G28" s="220"/>
    </row>
    <row r="29" spans="1:10" x14ac:dyDescent="0.25">
      <c r="A29" s="241"/>
      <c r="B29" s="241"/>
    </row>
    <row r="30" spans="1:10" x14ac:dyDescent="0.25">
      <c r="A30" s="241"/>
      <c r="B30" s="241"/>
    </row>
    <row r="31" spans="1:10" ht="17.25" customHeight="1" thickBot="1" x14ac:dyDescent="0.3">
      <c r="A31" s="241"/>
      <c r="B31" s="549" t="s">
        <v>181</v>
      </c>
      <c r="C31" s="550"/>
      <c r="D31" s="550"/>
      <c r="E31" s="550"/>
      <c r="F31" s="550"/>
      <c r="G31" s="550"/>
    </row>
    <row r="32" spans="1:10" ht="15" customHeight="1" x14ac:dyDescent="0.3">
      <c r="A32" s="241"/>
      <c r="B32" s="316"/>
      <c r="C32" s="318">
        <f>C26</f>
        <v>2017</v>
      </c>
      <c r="D32" s="318">
        <f>D26</f>
        <v>2018</v>
      </c>
      <c r="E32" s="318">
        <f>E26</f>
        <v>2019</v>
      </c>
      <c r="F32" s="318">
        <f>F26</f>
        <v>2020</v>
      </c>
      <c r="G32" s="323" t="s">
        <v>182</v>
      </c>
    </row>
    <row r="33" spans="1:7" ht="13" x14ac:dyDescent="0.25">
      <c r="A33" s="221"/>
      <c r="B33" s="317"/>
      <c r="C33" s="319" t="s">
        <v>75</v>
      </c>
      <c r="D33" s="319" t="s">
        <v>75</v>
      </c>
      <c r="E33" s="319" t="s">
        <v>75</v>
      </c>
      <c r="F33" s="319" t="s">
        <v>75</v>
      </c>
      <c r="G33" s="319" t="s">
        <v>75</v>
      </c>
    </row>
    <row r="34" spans="1:7" ht="25" x14ac:dyDescent="0.25">
      <c r="B34" s="341" t="s">
        <v>140</v>
      </c>
      <c r="C34" s="320"/>
      <c r="D34" s="320"/>
      <c r="E34" s="320"/>
      <c r="F34" s="320"/>
      <c r="G34" s="320"/>
    </row>
    <row r="35" spans="1:7" x14ac:dyDescent="0.25">
      <c r="B35" s="257"/>
      <c r="C35" s="258"/>
      <c r="D35" s="258"/>
      <c r="E35" s="258"/>
      <c r="F35" s="258"/>
      <c r="G35" s="259"/>
    </row>
    <row r="36" spans="1:7" ht="25.5" thickBot="1" x14ac:dyDescent="0.3">
      <c r="B36" s="342" t="s">
        <v>183</v>
      </c>
      <c r="C36" s="320"/>
      <c r="D36" s="366">
        <v>0</v>
      </c>
      <c r="E36" s="320"/>
      <c r="F36" s="320">
        <v>0</v>
      </c>
      <c r="G36" s="320">
        <f>SUM(E36:F36)</f>
        <v>0</v>
      </c>
    </row>
    <row r="37" spans="1:7" ht="13.5" thickTop="1" thickBot="1" x14ac:dyDescent="0.3">
      <c r="B37" s="260"/>
      <c r="C37" s="261"/>
      <c r="D37" s="261"/>
      <c r="E37" s="261"/>
      <c r="F37" s="261"/>
      <c r="G37" s="321"/>
    </row>
    <row r="38" spans="1:7" ht="25.5" thickTop="1" x14ac:dyDescent="0.25">
      <c r="B38" s="343" t="s">
        <v>184</v>
      </c>
      <c r="C38" s="322">
        <f>C36*C27</f>
        <v>0</v>
      </c>
      <c r="D38" s="367"/>
      <c r="E38" s="322">
        <f>E36*E27</f>
        <v>0</v>
      </c>
      <c r="F38" s="322">
        <v>0</v>
      </c>
      <c r="G38" s="427">
        <f>SUM(E38:F38)</f>
        <v>0</v>
      </c>
    </row>
    <row r="39" spans="1:7" x14ac:dyDescent="0.25">
      <c r="B39" s="257"/>
      <c r="C39" s="223"/>
      <c r="D39" s="223"/>
      <c r="E39" s="223"/>
      <c r="F39" s="223"/>
      <c r="G39" s="224"/>
    </row>
    <row r="41" spans="1:7" ht="13" x14ac:dyDescent="0.25">
      <c r="C41" s="240"/>
    </row>
    <row r="43" spans="1:7" x14ac:dyDescent="0.25">
      <c r="A43" s="197"/>
    </row>
    <row r="44" spans="1:7" x14ac:dyDescent="0.25">
      <c r="A44" s="197"/>
    </row>
    <row r="49" spans="7:8" x14ac:dyDescent="0.25">
      <c r="G49" s="225"/>
      <c r="H49" s="226"/>
    </row>
    <row r="61" spans="7:8" x14ac:dyDescent="0.25">
      <c r="G61" s="227"/>
    </row>
  </sheetData>
  <sheetProtection selectLockedCells="1" selectUnlockedCells="1"/>
  <mergeCells count="6">
    <mergeCell ref="B5:I5"/>
    <mergeCell ref="B3:I3"/>
    <mergeCell ref="B4:I4"/>
    <mergeCell ref="B15:I15"/>
    <mergeCell ref="B31:G31"/>
    <mergeCell ref="B25:G25"/>
  </mergeCells>
  <dataValidations count="1">
    <dataValidation type="list" allowBlank="1" showInputMessage="1" showErrorMessage="1" sqref="C27:F27" xr:uid="{00000000-0002-0000-0700-000000000000}">
      <formula1>"0, 0.5, 1"</formula1>
    </dataValidation>
  </dataValidations>
  <pageMargins left="0.25" right="0.25" top="0.75" bottom="0.75" header="0.3" footer="0.3"/>
  <pageSetup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DDBCF84A15234B94FA587B5B322BBC" ma:contentTypeVersion="4" ma:contentTypeDescription="Create a new document." ma:contentTypeScope="" ma:versionID="34d9eac91df77308b72c1906c4d9eb8a">
  <xsd:schema xmlns:xsd="http://www.w3.org/2001/XMLSchema" xmlns:xs="http://www.w3.org/2001/XMLSchema" xmlns:p="http://schemas.microsoft.com/office/2006/metadata/properties" xmlns:ns2="da8e68a1-6a8f-40e2-acc8-c68b6b15aa5e" targetNamespace="http://schemas.microsoft.com/office/2006/metadata/properties" ma:root="true" ma:fieldsID="f55dbdc90faf1f3062011e09a65e5fdf" ns2:_="">
    <xsd:import namespace="da8e68a1-6a8f-40e2-acc8-c68b6b15aa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e68a1-6a8f-40e2-acc8-c68b6b15a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01E5D-ADD8-450F-A473-499CA1219D39}">
  <ds:schemaRefs>
    <ds:schemaRef ds:uri="56c35579-5cc0-4f05-af14-7d0abb6f3fd8"/>
    <ds:schemaRef ds:uri="http://purl.org/dc/dcmitype/"/>
    <ds:schemaRef ds:uri="http://purl.org/dc/terms/"/>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D630E44-4751-4780-B298-58C41F4144BB}">
  <ds:schemaRefs>
    <ds:schemaRef ds:uri="http://schemas.microsoft.com/sharepoint/v3/contenttype/forms"/>
  </ds:schemaRefs>
</ds:datastoreItem>
</file>

<file path=customXml/itemProps3.xml><?xml version="1.0" encoding="utf-8"?>
<ds:datastoreItem xmlns:ds="http://schemas.openxmlformats.org/officeDocument/2006/customXml" ds:itemID="{946B6E97-E5F2-4FC9-8BB8-96A7CCA26E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Input - Customer Data</vt:lpstr>
      <vt:lpstr>Input - Adjustments &amp; Variables</vt:lpstr>
      <vt:lpstr>Input - CDM</vt:lpstr>
      <vt:lpstr>Input</vt:lpstr>
      <vt:lpstr>Output</vt:lpstr>
      <vt:lpstr>Forecast</vt:lpstr>
      <vt:lpstr>DW</vt:lpstr>
      <vt:lpstr>Bridge&amp;Test Year Class Forecast</vt:lpstr>
      <vt:lpstr>CDM Adjustment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King, Glen</cp:lastModifiedBy>
  <cp:lastPrinted>2015-05-04T14:23:48Z</cp:lastPrinted>
  <dcterms:created xsi:type="dcterms:W3CDTF">2001-05-23T22:53:47Z</dcterms:created>
  <dcterms:modified xsi:type="dcterms:W3CDTF">2021-10-07T20:36:00Z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0x010100E2DDBCF84A15234B94FA587B5B322BBC</vt:lpwstr>
  </property>
  <property fmtid="{D5CDD505-2E9C-101B-9397-08002B2CF9AE}" pid="3" name="Order">
    <vt:r8>25800</vt:r8>
  </property>
  <property fmtid="{D5CDD505-2E9C-101B-9397-08002B2CF9AE}" pid="4" name="VP5">
    <vt:bool>false</vt:bool>
  </property>
  <property fmtid="{D5CDD505-2E9C-101B-9397-08002B2CF9AE}" pid="5" name="xd_Signature">
    <vt:bool>false</vt:bool>
  </property>
  <property fmtid="{D5CDD505-2E9C-101B-9397-08002B2CF9AE}" pid="6" name="ForCEOreview">
    <vt:bool>false</vt:bool>
  </property>
  <property fmtid="{D5CDD505-2E9C-101B-9397-08002B2CF9AE}" pid="7" name="VPReview">
    <vt:bool>false</vt:bool>
  </property>
  <property fmtid="{D5CDD505-2E9C-101B-9397-08002B2CF9AE}" pid="8" name="ReadyforVPReview2">
    <vt:bool>false</vt:bool>
  </property>
  <property fmtid="{D5CDD505-2E9C-101B-9397-08002B2CF9AE}" pid="9" name="xd_ProgID">
    <vt:lpwstr/>
  </property>
  <property fmtid="{D5CDD505-2E9C-101B-9397-08002B2CF9AE}" pid="10" name="_ExtendedDescription">
    <vt:lpwstr/>
  </property>
  <property fmtid="{D5CDD505-2E9C-101B-9397-08002B2CF9AE}" pid="11" name="ReadyforCEOreview2">
    <vt:bool>false</vt:bool>
  </property>
  <property fmtid="{D5CDD505-2E9C-101B-9397-08002B2CF9AE}" pid="12" name="TriggerFlowInfo">
    <vt:lpwstr/>
  </property>
  <property fmtid="{D5CDD505-2E9C-101B-9397-08002B2CF9AE}" pid="13" name="CEO3">
    <vt:bool>false</vt:bool>
  </property>
  <property fmtid="{D5CDD505-2E9C-101B-9397-08002B2CF9AE}" pid="14" name="ComplianceAssetId">
    <vt:lpwstr/>
  </property>
  <property fmtid="{D5CDD505-2E9C-101B-9397-08002B2CF9AE}" pid="15" name="TemplateUrl">
    <vt:lpwstr/>
  </property>
  <property fmtid="{D5CDD505-2E9C-101B-9397-08002B2CF9AE}" pid="16" name="ReadyforVPReview3">
    <vt:bool>false</vt:bool>
  </property>
  <property fmtid="{D5CDD505-2E9C-101B-9397-08002B2CF9AE}" pid="17" name="VP4">
    <vt:bool>false</vt:bool>
  </property>
</Properties>
</file>