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1.xml" ContentType="application/vnd.ms-office.chartcolorstyle+xml"/>
  <Override PartName="/xl/charts/style1.xml" ContentType="application/vnd.ms-office.chartstyle+xml"/>
  <Override PartName="/xl/charts/chart3.xml" ContentType="application/vnd.openxmlformats-officedocument.drawingml.chart+xml"/>
  <Override PartName="/xl/drawings/drawing4.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worksheets/sheet1.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comments1.xml" ContentType="application/vnd.openxmlformats-officedocument.spreadsheetml.comment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codeName="ThisWorkbook"/>
  <mc:AlternateContent xmlns:mc="http://schemas.openxmlformats.org/markup-compatibility/2006">
    <mc:Choice Requires="x15">
      <x15ac:absPath xmlns:x15ac="http://schemas.microsoft.com/office/spreadsheetml/2010/11/ac" url="U:\CNPI 2022 COS\IR\Additional IR\"/>
    </mc:Choice>
  </mc:AlternateContent>
  <xr:revisionPtr revIDLastSave="0" documentId="13_ncr:1_{53186528-AA64-42EF-8B98-402C90B8353F}" xr6:coauthVersionLast="36" xr6:coauthVersionMax="36" xr10:uidLastSave="{00000000-0000-0000-0000-000000000000}"/>
  <bookViews>
    <workbookView xWindow="38280" yWindow="-120" windowWidth="29040" windowHeight="15840" tabRatio="779" firstSheet="3" activeTab="8" xr2:uid="{00000000-000D-0000-FFFF-FFFF00000000}"/>
  </bookViews>
  <sheets>
    <sheet name="Input - Customer Data" sheetId="16" r:id="rId1"/>
    <sheet name="Input - CDM" sheetId="41" r:id="rId2"/>
    <sheet name="Input - Adjustments &amp; Variables" sheetId="19" r:id="rId3"/>
    <sheet name="Input" sheetId="2" r:id="rId4"/>
    <sheet name="Output" sheetId="3" r:id="rId5"/>
    <sheet name="Forecast" sheetId="7" r:id="rId6"/>
    <sheet name="DW" sheetId="10" state="hidden" r:id="rId7"/>
    <sheet name="Bridge&amp;Test Year Class Forecast" sheetId="21" r:id="rId8"/>
    <sheet name="Final LF " sheetId="32" r:id="rId9"/>
    <sheet name="Regression" sheetId="4" state="veryHidden" r:id="rId10"/>
    <sheet name="Main" sheetId="5" state="veryHidden" r:id="rId11"/>
  </sheets>
  <externalReferences>
    <externalReference r:id="rId12"/>
    <externalReference r:id="rId13"/>
    <externalReference r:id="rId14"/>
    <externalReference r:id="rId15"/>
  </externalReferences>
  <definedNames>
    <definedName name="CASENUMBER" localSheetId="1">'[1]1. LDC Info'!$E$14</definedName>
    <definedName name="CASENUMBER">'[2]1. LDC Info'!$E$14</definedName>
    <definedName name="dwL">DW!$A$1:$U$101</definedName>
    <definedName name="dwU">DW!$W$1:$AQ$101</definedName>
    <definedName name="EBNUMBER" localSheetId="1">'[1]LDC Info'!$E$16</definedName>
    <definedName name="EBNUMBER">'[3]LDC Info'!$E$16</definedName>
    <definedName name="keyflag">Input!$R$1</definedName>
    <definedName name="_xlnm.Print_Area" localSheetId="6">DW!$A$1:$AQ$101</definedName>
    <definedName name="_xlnm.Print_Area" localSheetId="8">'Final LF '!$B$3:$E$37</definedName>
    <definedName name="_xlnm.Print_Area" localSheetId="5">Forecast!$B$2:$BA$50</definedName>
    <definedName name="_xlnm.Print_Area" localSheetId="3">Input!$A$3:$AY$54</definedName>
    <definedName name="_xlnm.Print_Area" localSheetId="4">Output!$A$3:$AA$61</definedName>
    <definedName name="_xlnm.Print_Titles" localSheetId="5">Forecast!$B:$C,Forecast!$2:$3</definedName>
    <definedName name="_xlnm.Print_Titles" localSheetId="3">Input!$A:$A,Input!$3:$4</definedName>
    <definedName name="_xlnm.Print_Titles" localSheetId="4">Output!$3:$11</definedName>
    <definedName name="RebaseYear" localSheetId="1">'[1]LDC Info'!$E$28</definedName>
    <definedName name="RebaseYear">'[4]LDC Info'!$E$28</definedName>
  </definedNames>
  <calcPr calcId="191029"/>
</workbook>
</file>

<file path=xl/calcChain.xml><?xml version="1.0" encoding="utf-8"?>
<calcChain xmlns="http://schemas.openxmlformats.org/spreadsheetml/2006/main">
  <c r="M81" i="21" l="1"/>
  <c r="M80" i="21"/>
  <c r="M59" i="21"/>
  <c r="M58" i="21"/>
  <c r="D42" i="32" l="1"/>
  <c r="E42" i="32"/>
  <c r="F42" i="32"/>
  <c r="G42" i="32"/>
  <c r="C42" i="32"/>
  <c r="I15" i="32" l="1"/>
  <c r="H15" i="32"/>
  <c r="M16" i="21"/>
  <c r="M15" i="21"/>
  <c r="L16" i="21"/>
  <c r="L15" i="21"/>
  <c r="G5" i="3" l="1"/>
  <c r="R15" i="16"/>
  <c r="J17" i="16"/>
  <c r="H17" i="16"/>
  <c r="F17" i="16"/>
  <c r="I10" i="3" l="1"/>
  <c r="C7" i="3"/>
  <c r="E15" i="32" l="1"/>
  <c r="F15" i="32"/>
  <c r="G15" i="32"/>
  <c r="D15" i="32"/>
  <c r="J50" i="16" l="1"/>
  <c r="J51" i="16"/>
  <c r="J52" i="16"/>
  <c r="J53" i="16"/>
  <c r="J54" i="16"/>
  <c r="J55" i="16"/>
  <c r="J56" i="16"/>
  <c r="J57" i="16"/>
  <c r="J58" i="16"/>
  <c r="J59" i="16"/>
  <c r="J60" i="16"/>
  <c r="J49" i="16"/>
  <c r="J34" i="16" l="1"/>
  <c r="J35" i="16"/>
  <c r="J36" i="16"/>
  <c r="J37" i="16"/>
  <c r="J38" i="16"/>
  <c r="J39" i="16"/>
  <c r="J40" i="16"/>
  <c r="J41" i="16"/>
  <c r="J42" i="16"/>
  <c r="J43" i="16"/>
  <c r="J44" i="16"/>
  <c r="J33" i="16"/>
  <c r="D14" i="32" l="1"/>
  <c r="D7" i="32"/>
  <c r="D4" i="32"/>
  <c r="E4" i="32"/>
  <c r="F4" i="32"/>
  <c r="G4" i="32"/>
  <c r="H4" i="32"/>
  <c r="I4" i="32"/>
  <c r="D101" i="16"/>
  <c r="H48" i="16" l="1"/>
  <c r="H64" i="16" s="1"/>
  <c r="M60" i="16"/>
  <c r="L60" i="16"/>
  <c r="K60" i="16"/>
  <c r="I60" i="16"/>
  <c r="H60" i="16"/>
  <c r="G60" i="16"/>
  <c r="F60" i="16"/>
  <c r="E60" i="16"/>
  <c r="D60" i="16"/>
  <c r="M59" i="16"/>
  <c r="L59" i="16"/>
  <c r="K59" i="16"/>
  <c r="I59" i="16"/>
  <c r="H59" i="16"/>
  <c r="G59" i="16"/>
  <c r="F59" i="16"/>
  <c r="E59" i="16"/>
  <c r="D59" i="16"/>
  <c r="M58" i="16"/>
  <c r="L58" i="16"/>
  <c r="K58" i="16"/>
  <c r="I58" i="16"/>
  <c r="H58" i="16"/>
  <c r="G58" i="16"/>
  <c r="F58" i="16"/>
  <c r="E58" i="16"/>
  <c r="D58" i="16"/>
  <c r="M57" i="16"/>
  <c r="L57" i="16"/>
  <c r="K57" i="16"/>
  <c r="I57" i="16"/>
  <c r="H57" i="16"/>
  <c r="G57" i="16"/>
  <c r="F57" i="16"/>
  <c r="E57" i="16"/>
  <c r="D57" i="16"/>
  <c r="M56" i="16"/>
  <c r="L56" i="16"/>
  <c r="K56" i="16"/>
  <c r="I56" i="16"/>
  <c r="H56" i="16"/>
  <c r="G56" i="16"/>
  <c r="F56" i="16"/>
  <c r="E56" i="16"/>
  <c r="D56" i="16"/>
  <c r="M55" i="16"/>
  <c r="L55" i="16"/>
  <c r="K55" i="16"/>
  <c r="I55" i="16"/>
  <c r="H55" i="16"/>
  <c r="G55" i="16"/>
  <c r="F55" i="16"/>
  <c r="E55" i="16"/>
  <c r="D55" i="16"/>
  <c r="M54" i="16"/>
  <c r="L54" i="16"/>
  <c r="K54" i="16"/>
  <c r="I54" i="16"/>
  <c r="H54" i="16"/>
  <c r="G54" i="16"/>
  <c r="F54" i="16"/>
  <c r="E54" i="16"/>
  <c r="D54" i="16"/>
  <c r="M53" i="16"/>
  <c r="L53" i="16"/>
  <c r="K53" i="16"/>
  <c r="I53" i="16"/>
  <c r="H53" i="16"/>
  <c r="G53" i="16"/>
  <c r="F53" i="16"/>
  <c r="E53" i="16"/>
  <c r="D53" i="16"/>
  <c r="M52" i="16"/>
  <c r="L52" i="16"/>
  <c r="K52" i="16"/>
  <c r="I52" i="16"/>
  <c r="H52" i="16"/>
  <c r="G52" i="16"/>
  <c r="F52" i="16"/>
  <c r="E52" i="16"/>
  <c r="D52" i="16"/>
  <c r="M51" i="16"/>
  <c r="L51" i="16"/>
  <c r="K51" i="16"/>
  <c r="I51" i="16"/>
  <c r="H51" i="16"/>
  <c r="G51" i="16"/>
  <c r="F51" i="16"/>
  <c r="E51" i="16"/>
  <c r="D51" i="16"/>
  <c r="M50" i="16"/>
  <c r="L50" i="16"/>
  <c r="K50" i="16"/>
  <c r="I50" i="16"/>
  <c r="H50" i="16"/>
  <c r="G50" i="16"/>
  <c r="F50" i="16"/>
  <c r="E50" i="16"/>
  <c r="D50" i="16"/>
  <c r="M49" i="16"/>
  <c r="L49" i="16"/>
  <c r="K49" i="16"/>
  <c r="I49" i="16"/>
  <c r="H49" i="16"/>
  <c r="G49" i="16"/>
  <c r="F49" i="16"/>
  <c r="E49" i="16"/>
  <c r="D49" i="16"/>
  <c r="M34" i="16"/>
  <c r="M35" i="16"/>
  <c r="M36" i="16"/>
  <c r="M37" i="16"/>
  <c r="M38" i="16"/>
  <c r="M39" i="16"/>
  <c r="M40" i="16"/>
  <c r="M41" i="16"/>
  <c r="M42" i="16"/>
  <c r="M43" i="16"/>
  <c r="M44" i="16"/>
  <c r="M33" i="16"/>
  <c r="L34" i="16"/>
  <c r="L35" i="16"/>
  <c r="L36" i="16"/>
  <c r="L37" i="16"/>
  <c r="L38" i="16"/>
  <c r="L39" i="16"/>
  <c r="L40" i="16"/>
  <c r="L41" i="16"/>
  <c r="L42" i="16"/>
  <c r="L43" i="16"/>
  <c r="L44" i="16"/>
  <c r="L33" i="16"/>
  <c r="K34" i="16"/>
  <c r="K35" i="16"/>
  <c r="K36" i="16"/>
  <c r="K37" i="16"/>
  <c r="K38" i="16"/>
  <c r="K39" i="16"/>
  <c r="K40" i="16"/>
  <c r="K41" i="16"/>
  <c r="K42" i="16"/>
  <c r="K43" i="16"/>
  <c r="K44" i="16"/>
  <c r="K33" i="16"/>
  <c r="I34" i="16"/>
  <c r="I35" i="16"/>
  <c r="I36" i="16"/>
  <c r="I37" i="16"/>
  <c r="I38" i="16"/>
  <c r="I39" i="16"/>
  <c r="I40" i="16"/>
  <c r="I41" i="16"/>
  <c r="I42" i="16"/>
  <c r="I43" i="16"/>
  <c r="I44" i="16"/>
  <c r="I33" i="16"/>
  <c r="H34" i="16"/>
  <c r="H35" i="16"/>
  <c r="H36" i="16"/>
  <c r="H37" i="16"/>
  <c r="H38" i="16"/>
  <c r="H39" i="16"/>
  <c r="H40" i="16"/>
  <c r="H41" i="16"/>
  <c r="H42" i="16"/>
  <c r="H43" i="16"/>
  <c r="H44" i="16"/>
  <c r="H33" i="16"/>
  <c r="G34" i="16"/>
  <c r="G35" i="16"/>
  <c r="G36" i="16"/>
  <c r="G37" i="16"/>
  <c r="G38" i="16"/>
  <c r="G39" i="16"/>
  <c r="G40" i="16"/>
  <c r="G41" i="16"/>
  <c r="G42" i="16"/>
  <c r="G43" i="16"/>
  <c r="G44" i="16"/>
  <c r="G33" i="16"/>
  <c r="F34" i="16"/>
  <c r="F35" i="16"/>
  <c r="F36" i="16"/>
  <c r="F37" i="16"/>
  <c r="F38" i="16"/>
  <c r="F39" i="16"/>
  <c r="F40" i="16"/>
  <c r="F41" i="16"/>
  <c r="F42" i="16"/>
  <c r="F43" i="16"/>
  <c r="F44" i="16"/>
  <c r="F33" i="16"/>
  <c r="E34" i="16"/>
  <c r="E35" i="16"/>
  <c r="E36" i="16"/>
  <c r="E37" i="16"/>
  <c r="E38" i="16"/>
  <c r="E39" i="16"/>
  <c r="E40" i="16"/>
  <c r="E41" i="16"/>
  <c r="E42" i="16"/>
  <c r="E43" i="16"/>
  <c r="E44" i="16"/>
  <c r="E33" i="16"/>
  <c r="D34" i="16"/>
  <c r="D35" i="16"/>
  <c r="D36" i="16"/>
  <c r="D37" i="16"/>
  <c r="D38" i="16"/>
  <c r="D39" i="16"/>
  <c r="D40" i="16"/>
  <c r="D41" i="16"/>
  <c r="D42" i="16"/>
  <c r="D43" i="16"/>
  <c r="D44" i="16"/>
  <c r="D33" i="16"/>
  <c r="G125" i="7"/>
  <c r="G126" i="7"/>
  <c r="G138" i="7" s="1"/>
  <c r="G127" i="7"/>
  <c r="G128" i="7"/>
  <c r="G129" i="7"/>
  <c r="G130" i="7"/>
  <c r="G131" i="7"/>
  <c r="G132" i="7"/>
  <c r="G133" i="7"/>
  <c r="G145" i="7" s="1"/>
  <c r="G134" i="7"/>
  <c r="G146" i="7" s="1"/>
  <c r="G135" i="7"/>
  <c r="G147" i="7" s="1"/>
  <c r="G137" i="7"/>
  <c r="G139" i="7"/>
  <c r="G140" i="7"/>
  <c r="G141" i="7"/>
  <c r="G142" i="7"/>
  <c r="G143" i="7"/>
  <c r="G144" i="7"/>
  <c r="G124" i="7"/>
  <c r="G136" i="7" s="1"/>
  <c r="E124" i="7"/>
  <c r="E136" i="7" s="1"/>
  <c r="E125" i="7"/>
  <c r="E137" i="7" s="1"/>
  <c r="C137" i="7" s="1"/>
  <c r="E126" i="7"/>
  <c r="E138" i="7" s="1"/>
  <c r="E127" i="7"/>
  <c r="E139" i="7" s="1"/>
  <c r="E128" i="7"/>
  <c r="E140" i="7" s="1"/>
  <c r="E129" i="7"/>
  <c r="E141" i="7" s="1"/>
  <c r="E130" i="7"/>
  <c r="E142" i="7" s="1"/>
  <c r="E131" i="7"/>
  <c r="E143" i="7" s="1"/>
  <c r="E132" i="7"/>
  <c r="E144" i="7" s="1"/>
  <c r="E133" i="7"/>
  <c r="E145" i="7" s="1"/>
  <c r="E134" i="7"/>
  <c r="E146" i="7" s="1"/>
  <c r="E135" i="7"/>
  <c r="E147" i="7" s="1"/>
  <c r="D124" i="7"/>
  <c r="D136" i="7" s="1"/>
  <c r="D125" i="7"/>
  <c r="D137" i="7" s="1"/>
  <c r="D126" i="7"/>
  <c r="D138" i="7" s="1"/>
  <c r="D127" i="7"/>
  <c r="D139" i="7" s="1"/>
  <c r="D128" i="7"/>
  <c r="D140" i="7" s="1"/>
  <c r="D129" i="7"/>
  <c r="D141" i="7" s="1"/>
  <c r="D130" i="7"/>
  <c r="D142" i="7" s="1"/>
  <c r="D131" i="7"/>
  <c r="D132" i="7"/>
  <c r="D144" i="7" s="1"/>
  <c r="D133" i="7"/>
  <c r="D145" i="7" s="1"/>
  <c r="D134" i="7"/>
  <c r="D146" i="7" s="1"/>
  <c r="D135" i="7"/>
  <c r="D147" i="7" s="1"/>
  <c r="C144" i="7"/>
  <c r="C142" i="7"/>
  <c r="C130" i="7"/>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160" i="19"/>
  <c r="H159" i="19"/>
  <c r="H158" i="19"/>
  <c r="H157" i="19"/>
  <c r="H156" i="19"/>
  <c r="H155" i="19"/>
  <c r="H154" i="19"/>
  <c r="H153" i="19"/>
  <c r="H152" i="19"/>
  <c r="H151" i="19"/>
  <c r="H150" i="19"/>
  <c r="H149" i="19"/>
  <c r="M32" i="16"/>
  <c r="M100" i="16" s="1"/>
  <c r="L32" i="16"/>
  <c r="L48" i="16" s="1"/>
  <c r="L64" i="16" s="1"/>
  <c r="K32" i="16"/>
  <c r="K48" i="16" s="1"/>
  <c r="K64" i="16" s="1"/>
  <c r="J32" i="16"/>
  <c r="J48" i="16" s="1"/>
  <c r="J64" i="16" s="1"/>
  <c r="I32" i="16"/>
  <c r="I48" i="16" s="1"/>
  <c r="I64" i="16" s="1"/>
  <c r="H32" i="16"/>
  <c r="H100" i="16" s="1"/>
  <c r="G32" i="16"/>
  <c r="G100" i="16" s="1"/>
  <c r="F32" i="16"/>
  <c r="F100" i="16" s="1"/>
  <c r="E32" i="16"/>
  <c r="E100" i="16" s="1"/>
  <c r="D32" i="16"/>
  <c r="D100" i="16" s="1"/>
  <c r="V15" i="41"/>
  <c r="S19" i="41"/>
  <c r="C40" i="41" s="1"/>
  <c r="J19" i="41"/>
  <c r="C31" i="41" s="1"/>
  <c r="H19" i="41"/>
  <c r="C29" i="41" s="1"/>
  <c r="G19" i="41"/>
  <c r="C28" i="41" s="1"/>
  <c r="R19" i="41"/>
  <c r="C39" i="41" s="1"/>
  <c r="Q19" i="41"/>
  <c r="C38" i="41" s="1"/>
  <c r="P19" i="41"/>
  <c r="C37" i="41" s="1"/>
  <c r="O19" i="41"/>
  <c r="C36" i="41" s="1"/>
  <c r="N19" i="41"/>
  <c r="C35" i="41" s="1"/>
  <c r="M19" i="41"/>
  <c r="C34" i="41" s="1"/>
  <c r="L19" i="41"/>
  <c r="C33" i="41" s="1"/>
  <c r="K19" i="41"/>
  <c r="C32" i="41" s="1"/>
  <c r="I19" i="41"/>
  <c r="C30" i="41" s="1"/>
  <c r="F19" i="41"/>
  <c r="C27" i="41" s="1"/>
  <c r="E19" i="41"/>
  <c r="C26" i="41" s="1"/>
  <c r="D19" i="41"/>
  <c r="C25" i="41" s="1"/>
  <c r="C19" i="41"/>
  <c r="C24" i="41" s="1"/>
  <c r="C141" i="7" l="1"/>
  <c r="G48" i="16"/>
  <c r="G64" i="16" s="1"/>
  <c r="K100" i="16"/>
  <c r="D48" i="16"/>
  <c r="F48" i="16"/>
  <c r="F64" i="16" s="1"/>
  <c r="J100" i="16"/>
  <c r="C126" i="7"/>
  <c r="M48" i="16"/>
  <c r="M64" i="16" s="1"/>
  <c r="E48" i="16"/>
  <c r="E64" i="16" s="1"/>
  <c r="I100" i="16"/>
  <c r="L100" i="16"/>
  <c r="D64" i="16"/>
  <c r="C129" i="7"/>
  <c r="C131" i="7"/>
  <c r="D143" i="7"/>
  <c r="C138" i="7"/>
  <c r="C125" i="7"/>
  <c r="C132" i="7"/>
  <c r="C127" i="7"/>
  <c r="C139" i="7"/>
  <c r="C134" i="7"/>
  <c r="C145" i="7"/>
  <c r="C133" i="7"/>
  <c r="C128" i="7"/>
  <c r="C124" i="7"/>
  <c r="C136" i="7"/>
  <c r="C140" i="7"/>
  <c r="C135" i="7"/>
  <c r="C146" i="7"/>
  <c r="C143" i="7"/>
  <c r="C147" i="7"/>
  <c r="D31" i="41"/>
  <c r="E31" i="41" s="1"/>
  <c r="F31" i="41" s="1"/>
  <c r="D36" i="41"/>
  <c r="E36" i="41" s="1"/>
  <c r="F36" i="41" s="1"/>
  <c r="D37" i="41"/>
  <c r="E37" i="41" s="1"/>
  <c r="F37" i="41" s="1"/>
  <c r="D39" i="41"/>
  <c r="E39" i="41" s="1"/>
  <c r="F39" i="41" s="1"/>
  <c r="D24" i="41"/>
  <c r="E24" i="41" s="1"/>
  <c r="F24" i="41" s="1"/>
  <c r="D25" i="41"/>
  <c r="E25" i="41" s="1"/>
  <c r="F25" i="41" s="1"/>
  <c r="D26" i="41"/>
  <c r="E26" i="41" s="1"/>
  <c r="F26" i="41" s="1"/>
  <c r="D30" i="41"/>
  <c r="E30" i="41" s="1"/>
  <c r="F30" i="41" s="1"/>
  <c r="F35" i="41"/>
  <c r="D35" i="41"/>
  <c r="E35" i="41" s="1"/>
  <c r="D38" i="41"/>
  <c r="E38" i="41" s="1"/>
  <c r="F38" i="41" s="1"/>
  <c r="D27" i="41"/>
  <c r="E27" i="41" s="1"/>
  <c r="F27" i="41" s="1"/>
  <c r="D32" i="41"/>
  <c r="E32" i="41" s="1"/>
  <c r="F32" i="41" s="1"/>
  <c r="D28" i="41"/>
  <c r="E28" i="41" s="1"/>
  <c r="F28" i="41" s="1"/>
  <c r="D40" i="41"/>
  <c r="E40" i="41" s="1"/>
  <c r="F40" i="41" s="1"/>
  <c r="D33" i="41"/>
  <c r="E33" i="41" s="1"/>
  <c r="F33" i="41" s="1"/>
  <c r="D29" i="41"/>
  <c r="E29" i="41" s="1"/>
  <c r="F29" i="41" s="1"/>
  <c r="D34" i="41"/>
  <c r="E34" i="41" s="1"/>
  <c r="F34" i="41" s="1"/>
  <c r="K40" i="41" l="1"/>
  <c r="K32" i="41"/>
  <c r="K31" i="41"/>
  <c r="K25" i="41"/>
  <c r="K39" i="41"/>
  <c r="K36" i="41"/>
  <c r="K27" i="41"/>
  <c r="K38" i="41"/>
  <c r="K34" i="41"/>
  <c r="K30" i="41"/>
  <c r="K29" i="41"/>
  <c r="K26" i="41"/>
  <c r="K24" i="41"/>
  <c r="G24" i="41"/>
  <c r="H24" i="41" s="1"/>
  <c r="C45" i="41" s="1"/>
  <c r="G45" i="41" s="1"/>
  <c r="K33" i="41"/>
  <c r="K28" i="41"/>
  <c r="K37" i="41"/>
  <c r="K35" i="41"/>
  <c r="C46" i="41" l="1"/>
  <c r="C47" i="41" l="1"/>
  <c r="G46" i="41"/>
  <c r="C48" i="41" l="1"/>
  <c r="G47" i="41"/>
  <c r="C49" i="41" l="1"/>
  <c r="G48" i="41"/>
  <c r="C50" i="41" l="1"/>
  <c r="G49" i="41"/>
  <c r="C51" i="41" l="1"/>
  <c r="G50" i="41"/>
  <c r="C52" i="41" l="1"/>
  <c r="G51" i="41"/>
  <c r="C53" i="41" l="1"/>
  <c r="G52" i="41"/>
  <c r="C54" i="41" l="1"/>
  <c r="G53" i="41"/>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55" i="41" l="1"/>
  <c r="G54" i="41"/>
  <c r="E6" i="21"/>
  <c r="E5" i="21"/>
  <c r="G14" i="32"/>
  <c r="F14" i="32"/>
  <c r="E14" i="32"/>
  <c r="M14" i="21"/>
  <c r="M13" i="21"/>
  <c r="M12" i="21"/>
  <c r="O12" i="21" s="1"/>
  <c r="M11" i="21"/>
  <c r="O11" i="21" s="1"/>
  <c r="M10" i="21"/>
  <c r="M9" i="21"/>
  <c r="M8" i="21"/>
  <c r="M7" i="21"/>
  <c r="M6" i="21"/>
  <c r="M5" i="21"/>
  <c r="B68" i="21"/>
  <c r="B67" i="21"/>
  <c r="B66" i="21"/>
  <c r="B65" i="21"/>
  <c r="B64" i="21"/>
  <c r="B63" i="21"/>
  <c r="B62" i="21"/>
  <c r="B61" i="21"/>
  <c r="C5" i="21"/>
  <c r="C41" i="32"/>
  <c r="C43" i="32"/>
  <c r="C44" i="32"/>
  <c r="E7" i="32"/>
  <c r="F7" i="32"/>
  <c r="G7" i="32"/>
  <c r="B7" i="32"/>
  <c r="B9" i="32"/>
  <c r="B11" i="32"/>
  <c r="B13" i="32"/>
  <c r="B15" i="32"/>
  <c r="B16" i="32"/>
  <c r="B18" i="32"/>
  <c r="B20" i="32"/>
  <c r="B21" i="32"/>
  <c r="B23" i="32"/>
  <c r="B25" i="32"/>
  <c r="B26" i="32"/>
  <c r="B28" i="32"/>
  <c r="B30" i="32"/>
  <c r="B31" i="32"/>
  <c r="B33" i="32"/>
  <c r="B35" i="32"/>
  <c r="B36" i="32"/>
  <c r="B40" i="32"/>
  <c r="B42" i="32"/>
  <c r="B43" i="32"/>
  <c r="B44" i="32"/>
  <c r="B5" i="32"/>
  <c r="N100" i="21"/>
  <c r="P100" i="21" s="1"/>
  <c r="N99" i="21"/>
  <c r="N98" i="21"/>
  <c r="N97" i="21"/>
  <c r="P97" i="21" s="1"/>
  <c r="N96" i="21"/>
  <c r="P96" i="21" s="1"/>
  <c r="N95" i="21"/>
  <c r="N94" i="21"/>
  <c r="P94" i="21" s="1"/>
  <c r="N93" i="21"/>
  <c r="P93" i="21" s="1"/>
  <c r="N92" i="21"/>
  <c r="P92" i="21" s="1"/>
  <c r="N91" i="21"/>
  <c r="P91" i="21" s="1"/>
  <c r="L100" i="21"/>
  <c r="G34" i="32"/>
  <c r="L99" i="21"/>
  <c r="L98" i="21"/>
  <c r="L97" i="21"/>
  <c r="L96" i="21"/>
  <c r="L95" i="21"/>
  <c r="L94" i="21"/>
  <c r="L93" i="21"/>
  <c r="L92" i="21"/>
  <c r="L91" i="21"/>
  <c r="N79" i="21"/>
  <c r="N78" i="21"/>
  <c r="N77" i="21"/>
  <c r="N76" i="21"/>
  <c r="N75" i="21"/>
  <c r="N74" i="21"/>
  <c r="N73" i="21"/>
  <c r="N72" i="21"/>
  <c r="N71" i="21"/>
  <c r="N70" i="21"/>
  <c r="M79" i="21"/>
  <c r="G30" i="32" s="1"/>
  <c r="M78" i="21"/>
  <c r="F30" i="32" s="1"/>
  <c r="M77" i="21"/>
  <c r="E30" i="32" s="1"/>
  <c r="M76" i="21"/>
  <c r="D30" i="32" s="1"/>
  <c r="M75" i="21"/>
  <c r="M74" i="21"/>
  <c r="P74" i="21" s="1"/>
  <c r="M73" i="21"/>
  <c r="P73" i="21"/>
  <c r="M72" i="21"/>
  <c r="M71" i="21"/>
  <c r="M70" i="21"/>
  <c r="P70" i="21" s="1"/>
  <c r="L79" i="21"/>
  <c r="L78" i="21"/>
  <c r="L77" i="21"/>
  <c r="L76" i="21"/>
  <c r="L75" i="21"/>
  <c r="L74" i="21"/>
  <c r="L73" i="21"/>
  <c r="L72" i="21"/>
  <c r="L71" i="21"/>
  <c r="L70" i="21"/>
  <c r="N57" i="21"/>
  <c r="N56" i="21"/>
  <c r="N55" i="21"/>
  <c r="N54" i="21"/>
  <c r="N53" i="21"/>
  <c r="N52" i="21"/>
  <c r="N51" i="21"/>
  <c r="N50" i="21"/>
  <c r="N49" i="21"/>
  <c r="N48" i="21"/>
  <c r="M48" i="21"/>
  <c r="M49" i="21"/>
  <c r="M50" i="21"/>
  <c r="M51" i="21"/>
  <c r="M52" i="21"/>
  <c r="M53" i="21"/>
  <c r="M54" i="21"/>
  <c r="M55" i="21"/>
  <c r="M56" i="21"/>
  <c r="P56" i="21" s="1"/>
  <c r="O95" i="21"/>
  <c r="Q73" i="21"/>
  <c r="M57" i="21"/>
  <c r="P57" i="21" s="1"/>
  <c r="L57" i="21"/>
  <c r="L56" i="21"/>
  <c r="L55" i="21"/>
  <c r="L54" i="21"/>
  <c r="L53" i="21"/>
  <c r="L52" i="21"/>
  <c r="L51" i="21"/>
  <c r="L50" i="21"/>
  <c r="L49" i="21"/>
  <c r="L48" i="21"/>
  <c r="M36" i="21"/>
  <c r="G20" i="32" s="1"/>
  <c r="M35" i="21"/>
  <c r="F20" i="32" s="1"/>
  <c r="M34" i="21"/>
  <c r="M33" i="21"/>
  <c r="D20" i="32" s="1"/>
  <c r="M32" i="21"/>
  <c r="M31" i="21"/>
  <c r="M30" i="21"/>
  <c r="M29" i="21"/>
  <c r="M28" i="21"/>
  <c r="M27" i="21"/>
  <c r="K25" i="21"/>
  <c r="K39" i="21"/>
  <c r="B98" i="21"/>
  <c r="B97" i="21"/>
  <c r="B96" i="21"/>
  <c r="B95" i="21"/>
  <c r="L33" i="21"/>
  <c r="B94" i="21"/>
  <c r="B93" i="21"/>
  <c r="B92" i="21"/>
  <c r="B91" i="21"/>
  <c r="B90" i="21"/>
  <c r="B89" i="21"/>
  <c r="N103" i="21"/>
  <c r="P95" i="21"/>
  <c r="Q92" i="21"/>
  <c r="B42" i="21"/>
  <c r="B41" i="21"/>
  <c r="B40" i="21"/>
  <c r="B39" i="21"/>
  <c r="B38" i="21"/>
  <c r="B37" i="21"/>
  <c r="B36" i="21"/>
  <c r="B35" i="21"/>
  <c r="B34" i="21"/>
  <c r="B33" i="21"/>
  <c r="O94" i="21"/>
  <c r="Q95" i="21"/>
  <c r="B14" i="21"/>
  <c r="B13" i="21"/>
  <c r="B12" i="21"/>
  <c r="B11" i="21"/>
  <c r="B10" i="21"/>
  <c r="B9" i="21"/>
  <c r="B8" i="21"/>
  <c r="B7" i="21"/>
  <c r="B6" i="21"/>
  <c r="B5" i="21"/>
  <c r="Q15" i="16"/>
  <c r="Q14" i="16"/>
  <c r="R14" i="16" s="1"/>
  <c r="Q13" i="16"/>
  <c r="Q12" i="16"/>
  <c r="D36" i="32" s="1"/>
  <c r="Q11" i="16"/>
  <c r="Q10" i="16"/>
  <c r="Q9" i="16"/>
  <c r="Q8" i="16"/>
  <c r="Q7" i="16"/>
  <c r="Q6" i="16"/>
  <c r="O15" i="16"/>
  <c r="G31" i="32" s="1"/>
  <c r="O14" i="16"/>
  <c r="F31" i="32" s="1"/>
  <c r="O13" i="16"/>
  <c r="E31" i="32" s="1"/>
  <c r="O12" i="16"/>
  <c r="D31" i="32" s="1"/>
  <c r="O11" i="16"/>
  <c r="O10" i="16"/>
  <c r="O9" i="16"/>
  <c r="O8" i="16"/>
  <c r="O7" i="16"/>
  <c r="P8" i="16"/>
  <c r="O6" i="16"/>
  <c r="M15" i="16"/>
  <c r="N15" i="16" s="1"/>
  <c r="M14" i="16"/>
  <c r="F26" i="32" s="1"/>
  <c r="M13" i="16"/>
  <c r="E26" i="32" s="1"/>
  <c r="M12" i="16"/>
  <c r="D26" i="32" s="1"/>
  <c r="M11" i="16"/>
  <c r="M10" i="16"/>
  <c r="M9" i="16"/>
  <c r="M8" i="16"/>
  <c r="M7" i="16"/>
  <c r="M6" i="16"/>
  <c r="K15" i="16"/>
  <c r="G21" i="32" s="1"/>
  <c r="K14" i="16"/>
  <c r="F21" i="32" s="1"/>
  <c r="K13" i="16"/>
  <c r="E21" i="32" s="1"/>
  <c r="K12" i="16"/>
  <c r="D21" i="32" s="1"/>
  <c r="K11" i="16"/>
  <c r="K10" i="16"/>
  <c r="K9" i="16"/>
  <c r="K8" i="16"/>
  <c r="K7" i="16"/>
  <c r="K6" i="16"/>
  <c r="I15" i="16"/>
  <c r="G16" i="32" s="1"/>
  <c r="I14" i="16"/>
  <c r="F16" i="32" s="1"/>
  <c r="I13" i="16"/>
  <c r="I12" i="16"/>
  <c r="D16" i="32" s="1"/>
  <c r="I11" i="16"/>
  <c r="I10" i="16"/>
  <c r="I9" i="16"/>
  <c r="I8" i="16"/>
  <c r="I7" i="16"/>
  <c r="J7" i="16"/>
  <c r="I6" i="16"/>
  <c r="R13" i="16"/>
  <c r="G15" i="16"/>
  <c r="G11" i="32" s="1"/>
  <c r="G14" i="16"/>
  <c r="F11" i="32" s="1"/>
  <c r="G13" i="16"/>
  <c r="E11" i="32" s="1"/>
  <c r="G12" i="16"/>
  <c r="D11" i="32" s="1"/>
  <c r="G11" i="16"/>
  <c r="G10" i="16"/>
  <c r="H11" i="16" s="1"/>
  <c r="G9" i="16"/>
  <c r="G8" i="16"/>
  <c r="G7" i="16"/>
  <c r="G6" i="16"/>
  <c r="E15" i="16"/>
  <c r="E14" i="16"/>
  <c r="F15" i="16" s="1"/>
  <c r="E13" i="16"/>
  <c r="E12" i="16"/>
  <c r="E11" i="16"/>
  <c r="E10" i="16"/>
  <c r="E9" i="16"/>
  <c r="E8" i="16"/>
  <c r="E7" i="16"/>
  <c r="E6" i="16"/>
  <c r="N104" i="16"/>
  <c r="M104" i="16"/>
  <c r="L104" i="16"/>
  <c r="K104" i="16"/>
  <c r="J104" i="16"/>
  <c r="I104" i="16"/>
  <c r="H104" i="16"/>
  <c r="G104" i="16"/>
  <c r="F104" i="16"/>
  <c r="E104" i="16"/>
  <c r="D104" i="16"/>
  <c r="N103" i="16"/>
  <c r="M103" i="16"/>
  <c r="L103" i="16"/>
  <c r="K103" i="16"/>
  <c r="J103" i="16"/>
  <c r="I103" i="16"/>
  <c r="H103" i="16"/>
  <c r="G103" i="16"/>
  <c r="F103" i="16"/>
  <c r="E103" i="16"/>
  <c r="D103" i="16"/>
  <c r="N102" i="16"/>
  <c r="M102" i="16"/>
  <c r="L102" i="16"/>
  <c r="K102" i="16"/>
  <c r="J102" i="16"/>
  <c r="I102" i="16"/>
  <c r="H102" i="16"/>
  <c r="G102" i="16"/>
  <c r="F102" i="16"/>
  <c r="E102" i="16"/>
  <c r="D102" i="16"/>
  <c r="N101" i="16"/>
  <c r="M101" i="16"/>
  <c r="L101" i="16"/>
  <c r="K101" i="16"/>
  <c r="J101" i="16"/>
  <c r="I101" i="16"/>
  <c r="H101" i="16"/>
  <c r="G101" i="16"/>
  <c r="F101" i="16"/>
  <c r="E101" i="16"/>
  <c r="N61" i="16"/>
  <c r="M61" i="16"/>
  <c r="L61" i="16"/>
  <c r="K61" i="16"/>
  <c r="J61" i="16"/>
  <c r="I61" i="16"/>
  <c r="H61" i="16"/>
  <c r="G61" i="16"/>
  <c r="F61" i="16"/>
  <c r="E61" i="16"/>
  <c r="D61" i="16"/>
  <c r="N45" i="16"/>
  <c r="M45" i="16"/>
  <c r="L45" i="16"/>
  <c r="K45" i="16"/>
  <c r="J45" i="16"/>
  <c r="I45" i="16"/>
  <c r="H45" i="16"/>
  <c r="G45" i="16"/>
  <c r="F45" i="16"/>
  <c r="E45" i="16"/>
  <c r="D45" i="16"/>
  <c r="Q77" i="21"/>
  <c r="L7" i="21"/>
  <c r="D7" i="16"/>
  <c r="D8" i="16"/>
  <c r="D9" i="16"/>
  <c r="A8" i="21" s="1"/>
  <c r="D10" i="16"/>
  <c r="D11" i="16"/>
  <c r="A10" i="21" s="1"/>
  <c r="D12" i="16"/>
  <c r="D13" i="16"/>
  <c r="D14" i="16"/>
  <c r="K13" i="21" s="1"/>
  <c r="D15" i="16"/>
  <c r="D6" i="16"/>
  <c r="A3" i="21"/>
  <c r="K3" i="21"/>
  <c r="A31" i="21"/>
  <c r="K46" i="21"/>
  <c r="A59" i="21"/>
  <c r="K68" i="21"/>
  <c r="B3" i="7"/>
  <c r="C3" i="7"/>
  <c r="BP2" i="3"/>
  <c r="BP3" i="3"/>
  <c r="E4" i="16"/>
  <c r="G4" i="16"/>
  <c r="I4" i="16"/>
  <c r="K4" i="16"/>
  <c r="M4" i="16"/>
  <c r="O4" i="16"/>
  <c r="Q4" i="16"/>
  <c r="S4" i="16"/>
  <c r="U4" i="16"/>
  <c r="V7" i="16"/>
  <c r="V17" i="16" s="1"/>
  <c r="U19" i="16" s="1"/>
  <c r="U20" i="16" s="1"/>
  <c r="U25" i="16" s="1"/>
  <c r="T7" i="16"/>
  <c r="T17" i="16" s="1"/>
  <c r="V8" i="16"/>
  <c r="T10" i="16"/>
  <c r="V11" i="16"/>
  <c r="T12" i="16"/>
  <c r="V14" i="16"/>
  <c r="T14" i="16"/>
  <c r="D19" i="16"/>
  <c r="K15" i="21" s="1"/>
  <c r="D20" i="16"/>
  <c r="A17" i="21" s="1"/>
  <c r="D24" i="16"/>
  <c r="D25" i="16"/>
  <c r="N13" i="16"/>
  <c r="N12" i="16"/>
  <c r="N14" i="16"/>
  <c r="A12" i="21"/>
  <c r="L10" i="21"/>
  <c r="K6" i="21"/>
  <c r="A6" i="21"/>
  <c r="A62" i="21" s="1"/>
  <c r="T11" i="16"/>
  <c r="J12" i="16"/>
  <c r="A14" i="21"/>
  <c r="A42" i="21" s="1"/>
  <c r="A98" i="21" s="1"/>
  <c r="F9" i="16"/>
  <c r="K14" i="21"/>
  <c r="T13" i="16"/>
  <c r="V13" i="16"/>
  <c r="T8" i="16"/>
  <c r="K9" i="21"/>
  <c r="A9" i="21"/>
  <c r="A37" i="21" s="1"/>
  <c r="A93" i="21" s="1"/>
  <c r="K12" i="21"/>
  <c r="J10" i="16"/>
  <c r="P15" i="16"/>
  <c r="F12" i="16"/>
  <c r="F11" i="16"/>
  <c r="O70" i="21"/>
  <c r="F10" i="16"/>
  <c r="L8" i="16"/>
  <c r="L12" i="16"/>
  <c r="L14" i="16"/>
  <c r="P13" i="16"/>
  <c r="L15" i="16"/>
  <c r="P14" i="16"/>
  <c r="J9" i="16"/>
  <c r="P76" i="21"/>
  <c r="H13" i="16"/>
  <c r="F7" i="16"/>
  <c r="L9" i="16"/>
  <c r="L10" i="16"/>
  <c r="P7" i="16"/>
  <c r="N7" i="16"/>
  <c r="J15" i="16"/>
  <c r="P77" i="21"/>
  <c r="O77" i="21"/>
  <c r="P11" i="16"/>
  <c r="O75" i="21"/>
  <c r="N9" i="16"/>
  <c r="N8" i="16"/>
  <c r="L13" i="16"/>
  <c r="L7" i="16"/>
  <c r="H7" i="16"/>
  <c r="H12" i="16"/>
  <c r="K11" i="21"/>
  <c r="H14" i="16"/>
  <c r="H15" i="16"/>
  <c r="L6" i="21"/>
  <c r="A7" i="21"/>
  <c r="A63" i="21" s="1"/>
  <c r="K7" i="21"/>
  <c r="K5" i="21"/>
  <c r="A5" i="21"/>
  <c r="A33" i="21" s="1"/>
  <c r="A89" i="21" s="1"/>
  <c r="V12" i="16"/>
  <c r="A11" i="21"/>
  <c r="A39" i="21" s="1"/>
  <c r="A95" i="21" s="1"/>
  <c r="R12" i="16"/>
  <c r="Q70" i="21"/>
  <c r="Q75" i="21"/>
  <c r="O97" i="21"/>
  <c r="Q100" i="21"/>
  <c r="O100" i="21"/>
  <c r="P72" i="21"/>
  <c r="O92" i="21"/>
  <c r="P99" i="21"/>
  <c r="P98" i="21"/>
  <c r="P105" i="21" s="1"/>
  <c r="Q91" i="21"/>
  <c r="Q99" i="21"/>
  <c r="P75" i="21"/>
  <c r="O74" i="21"/>
  <c r="E20" i="32"/>
  <c r="G6" i="32"/>
  <c r="Q54" i="21"/>
  <c r="P71" i="21"/>
  <c r="L31" i="21"/>
  <c r="N31" i="21" s="1"/>
  <c r="O98" i="21"/>
  <c r="O50" i="21"/>
  <c r="G25" i="32"/>
  <c r="Q48" i="21"/>
  <c r="F25" i="32"/>
  <c r="A67" i="21"/>
  <c r="E25" i="32"/>
  <c r="Q56" i="21"/>
  <c r="G24" i="32"/>
  <c r="E34" i="32"/>
  <c r="Q52" i="21"/>
  <c r="O56" i="21"/>
  <c r="L9" i="21"/>
  <c r="F6" i="32"/>
  <c r="C33" i="21"/>
  <c r="L8" i="21"/>
  <c r="C7" i="21"/>
  <c r="C35" i="21" s="1"/>
  <c r="C8" i="21"/>
  <c r="D8" i="21" s="1"/>
  <c r="C11" i="21"/>
  <c r="D11" i="21" s="1"/>
  <c r="D7" i="21"/>
  <c r="C14" i="21"/>
  <c r="B70" i="21"/>
  <c r="B69" i="21"/>
  <c r="C13" i="21"/>
  <c r="D5" i="21" l="1"/>
  <c r="K77" i="21"/>
  <c r="K34" i="21"/>
  <c r="K98" i="21"/>
  <c r="K55" i="21"/>
  <c r="A70" i="21"/>
  <c r="O45" i="16"/>
  <c r="P12" i="16"/>
  <c r="L32" i="21"/>
  <c r="L11" i="21"/>
  <c r="L13" i="21"/>
  <c r="K93" i="21"/>
  <c r="K50" i="21"/>
  <c r="K29" i="21"/>
  <c r="K72" i="21"/>
  <c r="L27" i="21"/>
  <c r="O55" i="21"/>
  <c r="L12" i="21"/>
  <c r="L17" i="16"/>
  <c r="K19" i="16" s="1"/>
  <c r="K100" i="21"/>
  <c r="K57" i="21"/>
  <c r="K79" i="21"/>
  <c r="K36" i="21"/>
  <c r="L11" i="16"/>
  <c r="R11" i="16"/>
  <c r="D10" i="32"/>
  <c r="L28" i="21"/>
  <c r="D19" i="32"/>
  <c r="F24" i="32"/>
  <c r="E29" i="32"/>
  <c r="Q98" i="21"/>
  <c r="L5" i="21"/>
  <c r="K54" i="21"/>
  <c r="K76" i="21"/>
  <c r="K33" i="21"/>
  <c r="K97" i="21"/>
  <c r="K52" i="21"/>
  <c r="K74" i="21"/>
  <c r="K31" i="21"/>
  <c r="K95" i="21"/>
  <c r="K99" i="21"/>
  <c r="K56" i="21"/>
  <c r="K35" i="21"/>
  <c r="K78" i="21"/>
  <c r="E10" i="32"/>
  <c r="L34" i="21"/>
  <c r="E19" i="32"/>
  <c r="F29" i="32"/>
  <c r="Q74" i="21"/>
  <c r="C56" i="41"/>
  <c r="G55" i="41"/>
  <c r="K101" i="21"/>
  <c r="K58" i="21"/>
  <c r="K37" i="21"/>
  <c r="K80" i="21"/>
  <c r="F14" i="16"/>
  <c r="F10" i="32"/>
  <c r="L29" i="21"/>
  <c r="N29" i="21" s="1"/>
  <c r="L35" i="21"/>
  <c r="N35" i="21" s="1"/>
  <c r="F19" i="32"/>
  <c r="P51" i="21"/>
  <c r="G29" i="32"/>
  <c r="F34" i="32"/>
  <c r="G36" i="32"/>
  <c r="O6" i="21"/>
  <c r="P6" i="21" s="1"/>
  <c r="K92" i="21"/>
  <c r="K49" i="21"/>
  <c r="K71" i="21"/>
  <c r="K28" i="21"/>
  <c r="J8" i="16"/>
  <c r="D44" i="32"/>
  <c r="D6" i="32"/>
  <c r="G10" i="32"/>
  <c r="L36" i="21"/>
  <c r="G19" i="32"/>
  <c r="K70" i="21"/>
  <c r="K91" i="21"/>
  <c r="K48" i="21"/>
  <c r="K27" i="21"/>
  <c r="E6" i="32"/>
  <c r="L30" i="21"/>
  <c r="O73" i="21"/>
  <c r="U24" i="16"/>
  <c r="V24" i="16" s="1"/>
  <c r="Q79" i="21"/>
  <c r="O14" i="21"/>
  <c r="Q105" i="21"/>
  <c r="O79" i="21"/>
  <c r="O57" i="21"/>
  <c r="D34" i="32"/>
  <c r="Q71" i="21"/>
  <c r="O78" i="21"/>
  <c r="O83" i="21" s="1"/>
  <c r="O71" i="21"/>
  <c r="Q72" i="21"/>
  <c r="O72" i="21"/>
  <c r="D29" i="32"/>
  <c r="Q78" i="21"/>
  <c r="Q83" i="21" s="1"/>
  <c r="P55" i="21"/>
  <c r="P48" i="21"/>
  <c r="Q51" i="21"/>
  <c r="D25" i="32"/>
  <c r="O5" i="21"/>
  <c r="P5" i="21" s="1"/>
  <c r="O13" i="21"/>
  <c r="O10" i="21"/>
  <c r="P10" i="21" s="1"/>
  <c r="O9" i="21"/>
  <c r="P9" i="21" s="1"/>
  <c r="O48" i="21"/>
  <c r="D24" i="32"/>
  <c r="O51" i="21"/>
  <c r="N27" i="21"/>
  <c r="N34" i="21"/>
  <c r="N33" i="21"/>
  <c r="N32" i="21"/>
  <c r="D33" i="21"/>
  <c r="O93" i="21"/>
  <c r="E36" i="32"/>
  <c r="P79" i="21"/>
  <c r="G26" i="32"/>
  <c r="O61" i="21"/>
  <c r="J11" i="16"/>
  <c r="D43" i="32"/>
  <c r="H10" i="16"/>
  <c r="F13" i="16"/>
  <c r="O61" i="16"/>
  <c r="C91" i="21"/>
  <c r="D91" i="21" s="1"/>
  <c r="D35" i="21"/>
  <c r="P11" i="21"/>
  <c r="A66" i="21"/>
  <c r="A38" i="21"/>
  <c r="A94" i="21" s="1"/>
  <c r="A64" i="21"/>
  <c r="A36" i="21"/>
  <c r="A92" i="21" s="1"/>
  <c r="A45" i="21"/>
  <c r="A73" i="21"/>
  <c r="A65" i="21"/>
  <c r="K16" i="21"/>
  <c r="A34" i="21"/>
  <c r="A90" i="21" s="1"/>
  <c r="K17" i="21"/>
  <c r="K82" i="21" s="1"/>
  <c r="A16" i="21"/>
  <c r="A27" i="21" s="1"/>
  <c r="A83" i="21" s="1"/>
  <c r="K10" i="21"/>
  <c r="E34" i="21"/>
  <c r="E62" i="21" s="1"/>
  <c r="F5" i="21"/>
  <c r="E33" i="21"/>
  <c r="F33" i="21" s="1"/>
  <c r="E7" i="21"/>
  <c r="F7" i="21" s="1"/>
  <c r="G7" i="21" s="1"/>
  <c r="E8" i="21"/>
  <c r="F8" i="21" s="1"/>
  <c r="E9" i="21"/>
  <c r="E10" i="21"/>
  <c r="E11" i="21"/>
  <c r="E12" i="21"/>
  <c r="E13" i="21"/>
  <c r="E14" i="21"/>
  <c r="K20" i="16"/>
  <c r="K24" i="16"/>
  <c r="D14" i="21"/>
  <c r="C42" i="21"/>
  <c r="C41" i="21"/>
  <c r="D13" i="21"/>
  <c r="C63" i="21"/>
  <c r="D63" i="21" s="1"/>
  <c r="A15" i="21"/>
  <c r="A26" i="21" s="1"/>
  <c r="A82" i="21" s="1"/>
  <c r="O76" i="21"/>
  <c r="A35" i="21"/>
  <c r="A91" i="21" s="1"/>
  <c r="R10" i="16"/>
  <c r="O96" i="21"/>
  <c r="Q96" i="21"/>
  <c r="C10" i="21"/>
  <c r="C38" i="21" s="1"/>
  <c r="C12" i="21"/>
  <c r="E17" i="21"/>
  <c r="A68" i="21"/>
  <c r="A40" i="21"/>
  <c r="A96" i="21" s="1"/>
  <c r="P10" i="16"/>
  <c r="Q55" i="21"/>
  <c r="E24" i="32"/>
  <c r="C89" i="21"/>
  <c r="D89" i="21" s="1"/>
  <c r="A61" i="21"/>
  <c r="T9" i="16"/>
  <c r="N10" i="16"/>
  <c r="N11" i="16"/>
  <c r="O54" i="21"/>
  <c r="P54" i="21"/>
  <c r="G43" i="32"/>
  <c r="P12" i="21"/>
  <c r="C39" i="21"/>
  <c r="K8" i="21"/>
  <c r="F8" i="16"/>
  <c r="E19" i="16" s="1"/>
  <c r="F43" i="32"/>
  <c r="R9" i="16"/>
  <c r="Q50" i="21"/>
  <c r="P50" i="21"/>
  <c r="C9" i="21"/>
  <c r="V10" i="16"/>
  <c r="V9" i="16"/>
  <c r="L14" i="21"/>
  <c r="C36" i="21"/>
  <c r="P9" i="16"/>
  <c r="O49" i="21"/>
  <c r="N36" i="21"/>
  <c r="N41" i="21" s="1"/>
  <c r="H9" i="16"/>
  <c r="H8" i="16"/>
  <c r="C61" i="21"/>
  <c r="D61" i="21" s="1"/>
  <c r="V25" i="16"/>
  <c r="E16" i="32"/>
  <c r="J13" i="16"/>
  <c r="I19" i="16" s="1"/>
  <c r="M103" i="21"/>
  <c r="Q76" i="21"/>
  <c r="A13" i="21"/>
  <c r="P17" i="16"/>
  <c r="O19" i="16" s="1"/>
  <c r="P61" i="21"/>
  <c r="R8" i="16"/>
  <c r="Q94" i="21"/>
  <c r="N30" i="21"/>
  <c r="P53" i="21"/>
  <c r="P78" i="21"/>
  <c r="P83" i="21" s="1"/>
  <c r="O8" i="21"/>
  <c r="P8" i="21" s="1"/>
  <c r="Q93" i="21"/>
  <c r="O7" i="21"/>
  <c r="P7" i="21" s="1"/>
  <c r="J14" i="16"/>
  <c r="Q49" i="21"/>
  <c r="Q97" i="21"/>
  <c r="F36" i="32"/>
  <c r="S19" i="16"/>
  <c r="R7" i="16"/>
  <c r="P49" i="21"/>
  <c r="C6" i="21"/>
  <c r="O52" i="21"/>
  <c r="Q57" i="21"/>
  <c r="Q53" i="21"/>
  <c r="O91" i="21"/>
  <c r="O99" i="21"/>
  <c r="O105" i="21" s="1"/>
  <c r="L103" i="21" s="1"/>
  <c r="O103" i="21" s="1"/>
  <c r="N28" i="21"/>
  <c r="O53" i="21"/>
  <c r="P52" i="21"/>
  <c r="P14" i="21" l="1"/>
  <c r="F44" i="32"/>
  <c r="K94" i="21"/>
  <c r="K51" i="21"/>
  <c r="K73" i="21"/>
  <c r="K30" i="21"/>
  <c r="K102" i="21"/>
  <c r="K59" i="21"/>
  <c r="K81" i="21"/>
  <c r="K38" i="21"/>
  <c r="K103" i="21" s="1"/>
  <c r="E44" i="32"/>
  <c r="G56" i="41"/>
  <c r="E56" i="41"/>
  <c r="G25" i="41" s="1"/>
  <c r="H25" i="41" s="1"/>
  <c r="C57" i="41" s="1"/>
  <c r="D56" i="41"/>
  <c r="L24" i="41" s="1"/>
  <c r="M24" i="41" s="1"/>
  <c r="G19" i="16"/>
  <c r="G20" i="16" s="1"/>
  <c r="G25" i="16" s="1"/>
  <c r="K75" i="21"/>
  <c r="K32" i="21"/>
  <c r="K96" i="21"/>
  <c r="K53" i="21"/>
  <c r="E43" i="32"/>
  <c r="N17" i="16"/>
  <c r="M19" i="16" s="1"/>
  <c r="G44" i="32"/>
  <c r="P13" i="21"/>
  <c r="A72" i="21"/>
  <c r="A44" i="21"/>
  <c r="E90" i="21"/>
  <c r="F13" i="21"/>
  <c r="G13" i="21" s="1"/>
  <c r="G8" i="21"/>
  <c r="E42" i="21"/>
  <c r="E41" i="21"/>
  <c r="E89" i="21"/>
  <c r="F89" i="21" s="1"/>
  <c r="G89" i="21" s="1"/>
  <c r="E61" i="21"/>
  <c r="F61" i="21" s="1"/>
  <c r="E40" i="21"/>
  <c r="G5" i="21"/>
  <c r="E39" i="21"/>
  <c r="F11" i="21"/>
  <c r="E38" i="21"/>
  <c r="E15" i="21"/>
  <c r="F14" i="21"/>
  <c r="E37" i="21"/>
  <c r="G33" i="21"/>
  <c r="E36" i="21"/>
  <c r="E35" i="21"/>
  <c r="M20" i="16"/>
  <c r="M24" i="16"/>
  <c r="H16" i="32"/>
  <c r="I20" i="16"/>
  <c r="I25" i="16" s="1"/>
  <c r="I24" i="16"/>
  <c r="R17" i="16"/>
  <c r="Q19" i="16" s="1"/>
  <c r="D42" i="21"/>
  <c r="C98" i="21"/>
  <c r="D98" i="21" s="1"/>
  <c r="C70" i="21"/>
  <c r="D70" i="21" s="1"/>
  <c r="H21" i="32"/>
  <c r="L24" i="16"/>
  <c r="S20" i="16"/>
  <c r="S25" i="16" s="1"/>
  <c r="S24" i="16"/>
  <c r="T24" i="16" s="1"/>
  <c r="C66" i="21"/>
  <c r="D66" i="21" s="1"/>
  <c r="C94" i="21"/>
  <c r="D94" i="21" s="1"/>
  <c r="D38" i="21"/>
  <c r="D41" i="21"/>
  <c r="C69" i="21"/>
  <c r="D69" i="21" s="1"/>
  <c r="C97" i="21"/>
  <c r="D97" i="21" s="1"/>
  <c r="O20" i="16"/>
  <c r="O25" i="16" s="1"/>
  <c r="O24" i="16"/>
  <c r="Q61" i="21"/>
  <c r="D10" i="21"/>
  <c r="A69" i="21"/>
  <c r="A41" i="21"/>
  <c r="A97" i="21" s="1"/>
  <c r="C40" i="21"/>
  <c r="D12" i="21"/>
  <c r="F12" i="21" s="1"/>
  <c r="K25" i="16"/>
  <c r="C95" i="21"/>
  <c r="D95" i="21" s="1"/>
  <c r="C67" i="21"/>
  <c r="D67" i="21" s="1"/>
  <c r="D39" i="21"/>
  <c r="C34" i="21"/>
  <c r="D6" i="21"/>
  <c r="F6" i="21" s="1"/>
  <c r="P103" i="21"/>
  <c r="Q103" i="21"/>
  <c r="E24" i="16"/>
  <c r="E20" i="16"/>
  <c r="E25" i="16" s="1"/>
  <c r="E16" i="21"/>
  <c r="C92" i="21"/>
  <c r="D92" i="21" s="1"/>
  <c r="C64" i="21"/>
  <c r="D64" i="21" s="1"/>
  <c r="D36" i="21"/>
  <c r="C37" i="21"/>
  <c r="D9" i="21"/>
  <c r="F9" i="21" s="1"/>
  <c r="A43" i="21"/>
  <c r="A71" i="21"/>
  <c r="E45" i="21"/>
  <c r="P19" i="21" l="1"/>
  <c r="M39" i="21" s="1"/>
  <c r="N39" i="21" s="1"/>
  <c r="G24" i="16"/>
  <c r="H11" i="32" s="1"/>
  <c r="A100" i="21"/>
  <c r="A111" i="21" s="1"/>
  <c r="A55" i="21"/>
  <c r="H45" i="41"/>
  <c r="C58" i="41"/>
  <c r="A99" i="21"/>
  <c r="A110" i="21" s="1"/>
  <c r="A54" i="21"/>
  <c r="F42" i="21"/>
  <c r="F36" i="21"/>
  <c r="G36" i="21" s="1"/>
  <c r="E43" i="21"/>
  <c r="E71" i="21" s="1"/>
  <c r="E99" i="21" s="1"/>
  <c r="G61" i="21"/>
  <c r="E68" i="21"/>
  <c r="E96" i="21"/>
  <c r="E94" i="21"/>
  <c r="F94" i="21" s="1"/>
  <c r="G94" i="21" s="1"/>
  <c r="E66" i="21"/>
  <c r="F66" i="21" s="1"/>
  <c r="E97" i="21"/>
  <c r="F97" i="21" s="1"/>
  <c r="E69" i="21"/>
  <c r="F69" i="21" s="1"/>
  <c r="E65" i="21"/>
  <c r="E93" i="21"/>
  <c r="E70" i="21"/>
  <c r="F70" i="21" s="1"/>
  <c r="G70" i="21" s="1"/>
  <c r="E98" i="21"/>
  <c r="F98" i="21" s="1"/>
  <c r="G98" i="21" s="1"/>
  <c r="G11" i="21"/>
  <c r="E64" i="21"/>
  <c r="F64" i="21" s="1"/>
  <c r="E92" i="21"/>
  <c r="F92" i="21" s="1"/>
  <c r="G92" i="21" s="1"/>
  <c r="G14" i="21"/>
  <c r="E63" i="21"/>
  <c r="F63" i="21" s="1"/>
  <c r="F35" i="21"/>
  <c r="E91" i="21"/>
  <c r="F91" i="21" s="1"/>
  <c r="G91" i="21" s="1"/>
  <c r="E67" i="21"/>
  <c r="F67" i="21" s="1"/>
  <c r="G67" i="21" s="1"/>
  <c r="E95" i="21"/>
  <c r="F95" i="21" s="1"/>
  <c r="F39" i="21"/>
  <c r="F41" i="21"/>
  <c r="B110" i="21"/>
  <c r="J24" i="16"/>
  <c r="B82" i="21"/>
  <c r="I16" i="32"/>
  <c r="B83" i="21"/>
  <c r="J25" i="16"/>
  <c r="L25" i="16"/>
  <c r="I21" i="32"/>
  <c r="H24" i="16"/>
  <c r="B54" i="21"/>
  <c r="G9" i="21"/>
  <c r="T25" i="16"/>
  <c r="I11" i="32"/>
  <c r="B55" i="21"/>
  <c r="H25" i="16"/>
  <c r="H7" i="32"/>
  <c r="B26" i="21"/>
  <c r="F24" i="16"/>
  <c r="C65" i="21"/>
  <c r="D65" i="21" s="1"/>
  <c r="D37" i="21"/>
  <c r="F37" i="21" s="1"/>
  <c r="C93" i="21"/>
  <c r="D93" i="21" s="1"/>
  <c r="G12" i="21"/>
  <c r="I31" i="32"/>
  <c r="N81" i="21"/>
  <c r="L81" i="21" s="1"/>
  <c r="N82" i="21"/>
  <c r="P25" i="16"/>
  <c r="E44" i="21"/>
  <c r="G6" i="21"/>
  <c r="N101" i="21"/>
  <c r="Q20" i="16"/>
  <c r="Q24" i="16"/>
  <c r="D40" i="21"/>
  <c r="F40" i="21" s="1"/>
  <c r="C96" i="21"/>
  <c r="D96" i="21" s="1"/>
  <c r="D99" i="21" s="1"/>
  <c r="D100" i="21" s="1"/>
  <c r="C68" i="21"/>
  <c r="D68" i="21" s="1"/>
  <c r="C62" i="21"/>
  <c r="D62" i="21" s="1"/>
  <c r="F62" i="21" s="1"/>
  <c r="C90" i="21"/>
  <c r="D90" i="21" s="1"/>
  <c r="F90" i="21" s="1"/>
  <c r="G90" i="21" s="1"/>
  <c r="D34" i="21"/>
  <c r="F34" i="21" s="1"/>
  <c r="D43" i="21"/>
  <c r="F38" i="21"/>
  <c r="H26" i="32"/>
  <c r="N24" i="16"/>
  <c r="N58" i="21"/>
  <c r="L58" i="21" s="1"/>
  <c r="B27" i="21"/>
  <c r="I7" i="32"/>
  <c r="F25" i="16"/>
  <c r="D15" i="21"/>
  <c r="F10" i="21"/>
  <c r="H31" i="32"/>
  <c r="N80" i="21"/>
  <c r="L80" i="21" s="1"/>
  <c r="P24" i="16"/>
  <c r="M25" i="16"/>
  <c r="E101" i="21"/>
  <c r="E73" i="21"/>
  <c r="C59" i="41" l="1"/>
  <c r="H46" i="41"/>
  <c r="G95" i="21"/>
  <c r="D41" i="32"/>
  <c r="I43" i="32"/>
  <c r="G42" i="21"/>
  <c r="G97" i="21"/>
  <c r="F41" i="32"/>
  <c r="F65" i="21"/>
  <c r="G39" i="21"/>
  <c r="G41" i="21"/>
  <c r="F93" i="21"/>
  <c r="G93" i="21" s="1"/>
  <c r="G64" i="21"/>
  <c r="G69" i="21"/>
  <c r="G41" i="32"/>
  <c r="G35" i="21"/>
  <c r="F96" i="21"/>
  <c r="E41" i="32" s="1"/>
  <c r="G63" i="21"/>
  <c r="F68" i="21"/>
  <c r="G68" i="21" s="1"/>
  <c r="G40" i="21"/>
  <c r="L82" i="21"/>
  <c r="O82" i="21" s="1"/>
  <c r="M82" i="21"/>
  <c r="D16" i="21"/>
  <c r="F15" i="21"/>
  <c r="G15" i="21" s="1"/>
  <c r="C26" i="21" s="1"/>
  <c r="D26" i="21" s="1"/>
  <c r="G26" i="21" s="1"/>
  <c r="H29" i="32"/>
  <c r="O80" i="21"/>
  <c r="O81" i="21"/>
  <c r="I29" i="32"/>
  <c r="D44" i="21"/>
  <c r="D45" i="21" s="1"/>
  <c r="F45" i="21" s="1"/>
  <c r="G45" i="21" s="1"/>
  <c r="F43" i="21"/>
  <c r="G43" i="21" s="1"/>
  <c r="C54" i="21" s="1"/>
  <c r="D54" i="21" s="1"/>
  <c r="N102" i="21"/>
  <c r="Q25" i="16"/>
  <c r="L101" i="21"/>
  <c r="P101" i="21"/>
  <c r="G10" i="21"/>
  <c r="N25" i="16"/>
  <c r="N59" i="21"/>
  <c r="L59" i="21" s="1"/>
  <c r="I26" i="32"/>
  <c r="G38" i="21"/>
  <c r="G66" i="21"/>
  <c r="G34" i="21"/>
  <c r="G37" i="21"/>
  <c r="R24" i="16"/>
  <c r="H36" i="32"/>
  <c r="H24" i="32"/>
  <c r="O58" i="21"/>
  <c r="D71" i="21"/>
  <c r="E72" i="21"/>
  <c r="Q58" i="21"/>
  <c r="H25" i="32"/>
  <c r="P58" i="21"/>
  <c r="G62" i="21"/>
  <c r="H30" i="32"/>
  <c r="P80" i="21"/>
  <c r="Q80" i="21"/>
  <c r="H43" i="32"/>
  <c r="H42" i="32" l="1"/>
  <c r="C60" i="41"/>
  <c r="H47" i="41"/>
  <c r="H44" i="32"/>
  <c r="F99" i="21"/>
  <c r="F44" i="21"/>
  <c r="G44" i="21" s="1"/>
  <c r="C55" i="21" s="1"/>
  <c r="D55" i="21" s="1"/>
  <c r="G96" i="21"/>
  <c r="G65" i="21"/>
  <c r="G54" i="21"/>
  <c r="H6" i="32"/>
  <c r="R25" i="16"/>
  <c r="I36" i="32"/>
  <c r="E100" i="21"/>
  <c r="L102" i="21"/>
  <c r="P102" i="21"/>
  <c r="D17" i="21"/>
  <c r="F17" i="21" s="1"/>
  <c r="G17" i="21" s="1"/>
  <c r="F16" i="21"/>
  <c r="D72" i="21"/>
  <c r="F72" i="21" s="1"/>
  <c r="G72" i="21" s="1"/>
  <c r="C83" i="21" s="1"/>
  <c r="D83" i="21" s="1"/>
  <c r="F71" i="21"/>
  <c r="G71" i="21" s="1"/>
  <c r="C82" i="21" s="1"/>
  <c r="D82" i="21" s="1"/>
  <c r="G82" i="21" s="1"/>
  <c r="I30" i="32"/>
  <c r="Q81" i="21"/>
  <c r="P81" i="21"/>
  <c r="I25" i="32"/>
  <c r="Q59" i="21"/>
  <c r="P59" i="21"/>
  <c r="O59" i="21"/>
  <c r="I24" i="32"/>
  <c r="P82" i="21"/>
  <c r="Q82" i="21"/>
  <c r="Q101" i="21"/>
  <c r="H34" i="32"/>
  <c r="O101" i="21"/>
  <c r="I42" i="32" l="1"/>
  <c r="I44" i="32"/>
  <c r="C61" i="41"/>
  <c r="H48" i="41"/>
  <c r="H10" i="32"/>
  <c r="G99" i="21"/>
  <c r="C110" i="21" s="1"/>
  <c r="D110" i="21" s="1"/>
  <c r="G110" i="21" s="1"/>
  <c r="G55" i="21"/>
  <c r="H14" i="32"/>
  <c r="O15" i="21"/>
  <c r="G83" i="21"/>
  <c r="I34" i="32"/>
  <c r="O102" i="21"/>
  <c r="Q102" i="21"/>
  <c r="F100" i="21"/>
  <c r="D101" i="21"/>
  <c r="D73" i="21"/>
  <c r="G16" i="21"/>
  <c r="C27" i="21" s="1"/>
  <c r="D27" i="21" s="1"/>
  <c r="G27" i="21" s="1"/>
  <c r="C62" i="41" l="1"/>
  <c r="H49" i="41"/>
  <c r="H19" i="32"/>
  <c r="H41" i="32" s="1"/>
  <c r="L37" i="21"/>
  <c r="I10" i="32"/>
  <c r="P15" i="21"/>
  <c r="F101" i="21"/>
  <c r="F73" i="21"/>
  <c r="G100" i="21"/>
  <c r="C111" i="21" s="1"/>
  <c r="D111" i="21" s="1"/>
  <c r="G111" i="21" s="1"/>
  <c r="I6" i="32"/>
  <c r="I14" i="32"/>
  <c r="O16" i="21"/>
  <c r="C63" i="41" l="1"/>
  <c r="H50" i="41"/>
  <c r="I19" i="32"/>
  <c r="L38" i="21"/>
  <c r="M38" i="21" s="1"/>
  <c r="M37" i="21"/>
  <c r="P16" i="21"/>
  <c r="L17" i="21"/>
  <c r="O17" i="21" s="1"/>
  <c r="P17" i="21" s="1"/>
  <c r="G73" i="21"/>
  <c r="G101" i="21"/>
  <c r="C64" i="41" l="1"/>
  <c r="H51" i="41"/>
  <c r="I41" i="32"/>
  <c r="N37" i="21"/>
  <c r="H20" i="32"/>
  <c r="N38" i="21"/>
  <c r="I20" i="32"/>
  <c r="C65" i="41" l="1"/>
  <c r="H52" i="41"/>
  <c r="C66" i="41" l="1"/>
  <c r="H53" i="41"/>
  <c r="C67" i="41" l="1"/>
  <c r="H54" i="41"/>
  <c r="C68" i="41" l="1"/>
  <c r="H55" i="41"/>
  <c r="H56" i="41" l="1"/>
  <c r="E68" i="41"/>
  <c r="G26" i="41" s="1"/>
  <c r="H26" i="41" s="1"/>
  <c r="C69" i="41" s="1"/>
  <c r="D68" i="41"/>
  <c r="L25" i="41" s="1"/>
  <c r="M25" i="41" s="1"/>
  <c r="I45" i="41" l="1"/>
  <c r="C70" i="41"/>
  <c r="C71" i="41" l="1"/>
  <c r="I46" i="41"/>
  <c r="C72" i="41" l="1"/>
  <c r="I47" i="41"/>
  <c r="C73" i="41" l="1"/>
  <c r="I48" i="41"/>
  <c r="C74" i="41" l="1"/>
  <c r="I49" i="41"/>
  <c r="C75" i="41" l="1"/>
  <c r="I50" i="41"/>
  <c r="C76" i="41" l="1"/>
  <c r="I51" i="41"/>
  <c r="C77" i="41" l="1"/>
  <c r="I52" i="41"/>
  <c r="C78" i="41" l="1"/>
  <c r="I53" i="41"/>
  <c r="C79" i="41" l="1"/>
  <c r="I54" i="41"/>
  <c r="C80" i="41" l="1"/>
  <c r="I55" i="41"/>
  <c r="I56" i="41" l="1"/>
  <c r="E80" i="41"/>
  <c r="G27" i="41" s="1"/>
  <c r="H27" i="41" s="1"/>
  <c r="C81" i="41" s="1"/>
  <c r="D80" i="41"/>
  <c r="L26" i="41" s="1"/>
  <c r="M26" i="41" s="1"/>
  <c r="J45" i="41" l="1"/>
  <c r="C82" i="41"/>
  <c r="C83" i="41" l="1"/>
  <c r="J46" i="41"/>
  <c r="C84" i="41" l="1"/>
  <c r="J47" i="41"/>
  <c r="C85" i="41" l="1"/>
  <c r="J48" i="41"/>
  <c r="C86" i="41" l="1"/>
  <c r="J49" i="41"/>
  <c r="C87" i="41" l="1"/>
  <c r="J50" i="41"/>
  <c r="C88" i="41" l="1"/>
  <c r="J51" i="41"/>
  <c r="C89" i="41" l="1"/>
  <c r="J52" i="41"/>
  <c r="C90" i="41" l="1"/>
  <c r="J53" i="41"/>
  <c r="C91" i="41" l="1"/>
  <c r="J54" i="41"/>
  <c r="C92" i="41" l="1"/>
  <c r="J55" i="41"/>
  <c r="J56" i="41" l="1"/>
  <c r="E92" i="41"/>
  <c r="G28" i="41" s="1"/>
  <c r="H28" i="41" s="1"/>
  <c r="C93" i="41" s="1"/>
  <c r="D92" i="41"/>
  <c r="L27" i="41" s="1"/>
  <c r="M27" i="41" s="1"/>
  <c r="K45" i="41" l="1"/>
  <c r="C94" i="41"/>
  <c r="C95" i="41" l="1"/>
  <c r="K46" i="41"/>
  <c r="C96" i="41" l="1"/>
  <c r="K47" i="41"/>
  <c r="C97" i="41" l="1"/>
  <c r="K48" i="41"/>
  <c r="C98" i="41" l="1"/>
  <c r="K49" i="41"/>
  <c r="C99" i="41" l="1"/>
  <c r="K50" i="41"/>
  <c r="C100" i="41" l="1"/>
  <c r="K51" i="41"/>
  <c r="C101" i="41" l="1"/>
  <c r="K52" i="41"/>
  <c r="C102" i="41" l="1"/>
  <c r="K53" i="41"/>
  <c r="C103" i="41" l="1"/>
  <c r="K54" i="41"/>
  <c r="C104" i="41" l="1"/>
  <c r="K55" i="41"/>
  <c r="K56" i="41" l="1"/>
  <c r="E104" i="41"/>
  <c r="G29" i="41" s="1"/>
  <c r="H29" i="41" s="1"/>
  <c r="C105" i="41" s="1"/>
  <c r="D104" i="41"/>
  <c r="L28" i="41" s="1"/>
  <c r="M28" i="41" s="1"/>
  <c r="L45" i="41" l="1"/>
  <c r="C106" i="41"/>
  <c r="C107" i="41" l="1"/>
  <c r="L46" i="41"/>
  <c r="C108" i="41" l="1"/>
  <c r="L47" i="41"/>
  <c r="C109" i="41" l="1"/>
  <c r="L48" i="41"/>
  <c r="C110" i="41" l="1"/>
  <c r="L49" i="41"/>
  <c r="C111" i="41" l="1"/>
  <c r="L50" i="41"/>
  <c r="C112" i="41" l="1"/>
  <c r="L51" i="41"/>
  <c r="C113" i="41" l="1"/>
  <c r="L52" i="41"/>
  <c r="C114" i="41" l="1"/>
  <c r="L53" i="41"/>
  <c r="C115" i="41" l="1"/>
  <c r="L54" i="41"/>
  <c r="C116" i="41" l="1"/>
  <c r="L55" i="41"/>
  <c r="L56" i="41" l="1"/>
  <c r="E116" i="41"/>
  <c r="G30" i="41" s="1"/>
  <c r="H30" i="41" s="1"/>
  <c r="C117" i="41" s="1"/>
  <c r="D116" i="41"/>
  <c r="L29" i="41" s="1"/>
  <c r="M29" i="41" s="1"/>
  <c r="M45" i="41" l="1"/>
  <c r="C118" i="41"/>
  <c r="C119" i="41" l="1"/>
  <c r="M46" i="41"/>
  <c r="C120" i="41" l="1"/>
  <c r="M47" i="41"/>
  <c r="C121" i="41" l="1"/>
  <c r="M48" i="41"/>
  <c r="C122" i="41" l="1"/>
  <c r="M49" i="41"/>
  <c r="C123" i="41" l="1"/>
  <c r="M50" i="41"/>
  <c r="C124" i="41" l="1"/>
  <c r="M51" i="41"/>
  <c r="C125" i="41" l="1"/>
  <c r="M52" i="41"/>
  <c r="C126" i="41" l="1"/>
  <c r="M53" i="41"/>
  <c r="C127" i="41" l="1"/>
  <c r="M54" i="41"/>
  <c r="C128" i="41" l="1"/>
  <c r="M55" i="41"/>
  <c r="D128" i="41" l="1"/>
  <c r="L30" i="41" s="1"/>
  <c r="M30" i="41" s="1"/>
  <c r="M56" i="41"/>
  <c r="E128" i="41"/>
  <c r="G31" i="41" s="1"/>
  <c r="H31" i="41" s="1"/>
  <c r="C129" i="41" s="1"/>
  <c r="N45" i="41" l="1"/>
  <c r="C130" i="41"/>
  <c r="C131" i="41" l="1"/>
  <c r="N46" i="41"/>
  <c r="C132" i="41" l="1"/>
  <c r="N47" i="41"/>
  <c r="C133" i="41" l="1"/>
  <c r="N48" i="41"/>
  <c r="C134" i="41" l="1"/>
  <c r="N49" i="41"/>
  <c r="C135" i="41" l="1"/>
  <c r="N50" i="41"/>
  <c r="C136" i="41" l="1"/>
  <c r="N51" i="41"/>
  <c r="C137" i="41" l="1"/>
  <c r="N52" i="41"/>
  <c r="C138" i="41" l="1"/>
  <c r="N53" i="41"/>
  <c r="C139" i="41" l="1"/>
  <c r="N54" i="41"/>
  <c r="C140" i="41" l="1"/>
  <c r="N55" i="41"/>
  <c r="N56" i="41" l="1"/>
  <c r="E140" i="41"/>
  <c r="G32" i="41" s="1"/>
  <c r="H32" i="41" s="1"/>
  <c r="C141" i="41" s="1"/>
  <c r="D140" i="41"/>
  <c r="L31" i="41" s="1"/>
  <c r="M31" i="41" s="1"/>
  <c r="G59" i="41" l="1"/>
  <c r="C142" i="41"/>
  <c r="C143" i="41" l="1"/>
  <c r="G60" i="41"/>
  <c r="C144" i="41" l="1"/>
  <c r="G61" i="41"/>
  <c r="C145" i="41" l="1"/>
  <c r="G62" i="41"/>
  <c r="C146" i="41" l="1"/>
  <c r="G63" i="41"/>
  <c r="C147" i="41" l="1"/>
  <c r="G64" i="41"/>
  <c r="C148" i="41" l="1"/>
  <c r="G65" i="41"/>
  <c r="C149" i="41" l="1"/>
  <c r="G66" i="41"/>
  <c r="C150" i="41" l="1"/>
  <c r="G67" i="41"/>
  <c r="C151" i="41" l="1"/>
  <c r="G68" i="41"/>
  <c r="C152" i="41" l="1"/>
  <c r="G69" i="41"/>
  <c r="G70" i="41" l="1"/>
  <c r="E152" i="41"/>
  <c r="G33" i="41" s="1"/>
  <c r="H33" i="41" s="1"/>
  <c r="C153" i="41" s="1"/>
  <c r="D152" i="41"/>
  <c r="L32" i="41" s="1"/>
  <c r="M32" i="41" s="1"/>
  <c r="H59" i="41" l="1"/>
  <c r="C154" i="41"/>
  <c r="C155" i="41" l="1"/>
  <c r="H60" i="41"/>
  <c r="C156" i="41" l="1"/>
  <c r="H61" i="41"/>
  <c r="C157" i="41" l="1"/>
  <c r="H62" i="41"/>
  <c r="C158" i="41" l="1"/>
  <c r="H63" i="41"/>
  <c r="C159" i="41" l="1"/>
  <c r="H64" i="41"/>
  <c r="C160" i="41" l="1"/>
  <c r="H65" i="41"/>
  <c r="C161" i="41" l="1"/>
  <c r="H66" i="41"/>
  <c r="C162" i="41" l="1"/>
  <c r="H67" i="41"/>
  <c r="C163" i="41" l="1"/>
  <c r="H68" i="41"/>
  <c r="C164" i="41" l="1"/>
  <c r="H69" i="41"/>
  <c r="H70" i="41" l="1"/>
  <c r="E164" i="41"/>
  <c r="G34" i="41" s="1"/>
  <c r="H34" i="41" s="1"/>
  <c r="C165" i="41" s="1"/>
  <c r="D164" i="41"/>
  <c r="L33" i="41" s="1"/>
  <c r="M33" i="41" s="1"/>
  <c r="I59" i="41" l="1"/>
  <c r="C166" i="41"/>
  <c r="C167" i="41" l="1"/>
  <c r="I60" i="41"/>
  <c r="C168" i="41" l="1"/>
  <c r="I61" i="41"/>
  <c r="C169" i="41" l="1"/>
  <c r="I62" i="41"/>
  <c r="C170" i="41" l="1"/>
  <c r="I63" i="41"/>
  <c r="C171" i="41" l="1"/>
  <c r="I64" i="41"/>
  <c r="C172" i="41" l="1"/>
  <c r="I65" i="41"/>
  <c r="C173" i="41" l="1"/>
  <c r="I66" i="41"/>
  <c r="C174" i="41" l="1"/>
  <c r="I67" i="41"/>
  <c r="C175" i="41" l="1"/>
  <c r="I68" i="41"/>
  <c r="C176" i="41" l="1"/>
  <c r="I69" i="41"/>
  <c r="I70" i="41" l="1"/>
  <c r="E176" i="41"/>
  <c r="G35" i="41" s="1"/>
  <c r="H35" i="41" s="1"/>
  <c r="C177" i="41" s="1"/>
  <c r="D176" i="41"/>
  <c r="L34" i="41" s="1"/>
  <c r="M34" i="41" s="1"/>
  <c r="J59" i="41" l="1"/>
  <c r="C178" i="41"/>
  <c r="C179" i="41" l="1"/>
  <c r="J60" i="41"/>
  <c r="C180" i="41" l="1"/>
  <c r="J61" i="41"/>
  <c r="C181" i="41" l="1"/>
  <c r="J62" i="41"/>
  <c r="C182" i="41" l="1"/>
  <c r="J63" i="41"/>
  <c r="C183" i="41" l="1"/>
  <c r="J64" i="41"/>
  <c r="C184" i="41" l="1"/>
  <c r="J65" i="41"/>
  <c r="C185" i="41" l="1"/>
  <c r="J66" i="41"/>
  <c r="C186" i="41" l="1"/>
  <c r="J67" i="41"/>
  <c r="C187" i="41" l="1"/>
  <c r="J68" i="41"/>
  <c r="C188" i="41" l="1"/>
  <c r="J69" i="41"/>
  <c r="J70" i="41" l="1"/>
  <c r="E188" i="41"/>
  <c r="G36" i="41" s="1"/>
  <c r="H36" i="41" s="1"/>
  <c r="C189" i="41" s="1"/>
  <c r="D188" i="41"/>
  <c r="L35" i="41" s="1"/>
  <c r="M35" i="41" s="1"/>
  <c r="K59" i="41" l="1"/>
  <c r="C190" i="41"/>
  <c r="C191" i="41" l="1"/>
  <c r="K60" i="41"/>
  <c r="C192" i="41" l="1"/>
  <c r="K61" i="41"/>
  <c r="C193" i="41" l="1"/>
  <c r="K62" i="41"/>
  <c r="C194" i="41" l="1"/>
  <c r="K63" i="41"/>
  <c r="C195" i="41" l="1"/>
  <c r="K64" i="41"/>
  <c r="C196" i="41" l="1"/>
  <c r="K65" i="41"/>
  <c r="C197" i="41" l="1"/>
  <c r="K66" i="41"/>
  <c r="C198" i="41" l="1"/>
  <c r="K67" i="41"/>
  <c r="C199" i="41" l="1"/>
  <c r="K68" i="41"/>
  <c r="C200" i="41" l="1"/>
  <c r="K69" i="41"/>
  <c r="K70" i="41" l="1"/>
  <c r="E200" i="41"/>
  <c r="G37" i="41" s="1"/>
  <c r="H37" i="41" s="1"/>
  <c r="C201" i="41" s="1"/>
  <c r="D200" i="41"/>
  <c r="L36" i="41" s="1"/>
  <c r="M36" i="41" s="1"/>
  <c r="L59" i="41" l="1"/>
  <c r="C202" i="41"/>
  <c r="C203" i="41" l="1"/>
  <c r="L60" i="41"/>
  <c r="C204" i="41" l="1"/>
  <c r="L61" i="41"/>
  <c r="C205" i="41" l="1"/>
  <c r="L62" i="41"/>
  <c r="C206" i="41" l="1"/>
  <c r="L63" i="41"/>
  <c r="C207" i="41" l="1"/>
  <c r="L64" i="41"/>
  <c r="C208" i="41" l="1"/>
  <c r="L65" i="41"/>
  <c r="C209" i="41" l="1"/>
  <c r="L66" i="41"/>
  <c r="C210" i="41" l="1"/>
  <c r="L67" i="41"/>
  <c r="C211" i="41" l="1"/>
  <c r="L68" i="41"/>
  <c r="C212" i="41" l="1"/>
  <c r="L69" i="41"/>
  <c r="L70" i="41" l="1"/>
  <c r="E212" i="41"/>
  <c r="G38" i="41" s="1"/>
  <c r="H38" i="41" s="1"/>
  <c r="C213" i="41" s="1"/>
  <c r="D212" i="41"/>
  <c r="L37" i="41" s="1"/>
  <c r="M37" i="41" s="1"/>
  <c r="M59" i="41" l="1"/>
  <c r="C214" i="41"/>
  <c r="C215" i="41" l="1"/>
  <c r="M60" i="41"/>
  <c r="C216" i="41" l="1"/>
  <c r="M61" i="41"/>
  <c r="C217" i="41" l="1"/>
  <c r="M62" i="41"/>
  <c r="C218" i="41" l="1"/>
  <c r="M63" i="41"/>
  <c r="C219" i="41" l="1"/>
  <c r="M64" i="41"/>
  <c r="C220" i="41" l="1"/>
  <c r="M65" i="41"/>
  <c r="C221" i="41" l="1"/>
  <c r="M66" i="41"/>
  <c r="C222" i="41" l="1"/>
  <c r="M67" i="41"/>
  <c r="C223" i="41" l="1"/>
  <c r="M68" i="41"/>
  <c r="C224" i="41" l="1"/>
  <c r="M69" i="41"/>
  <c r="M70" i="41" l="1"/>
  <c r="E224" i="41"/>
  <c r="G39" i="41" s="1"/>
  <c r="H39" i="41" s="1"/>
  <c r="C225" i="41" s="1"/>
  <c r="D224" i="41"/>
  <c r="L38" i="41" s="1"/>
  <c r="M38" i="41" s="1"/>
  <c r="N59" i="41" l="1"/>
  <c r="C226" i="41"/>
  <c r="C227" i="41" l="1"/>
  <c r="N60" i="41"/>
  <c r="C228" i="41" l="1"/>
  <c r="N61" i="41"/>
  <c r="C229" i="41" l="1"/>
  <c r="N62" i="41"/>
  <c r="C230" i="41" l="1"/>
  <c r="N63" i="41"/>
  <c r="C231" i="41" l="1"/>
  <c r="N64" i="41"/>
  <c r="C232" i="41" l="1"/>
  <c r="N65" i="41"/>
  <c r="C233" i="41" l="1"/>
  <c r="N66" i="41"/>
  <c r="C234" i="41" l="1"/>
  <c r="N67" i="41"/>
  <c r="C235" i="41" l="1"/>
  <c r="N68" i="41"/>
  <c r="C236" i="41" l="1"/>
  <c r="N69" i="41"/>
  <c r="N70" i="41" l="1"/>
  <c r="E236" i="41"/>
  <c r="G40" i="41" s="1"/>
  <c r="H40" i="41" s="1"/>
  <c r="C237" i="41" s="1"/>
  <c r="D236" i="41"/>
  <c r="L39" i="41" s="1"/>
  <c r="M39" i="41" s="1"/>
  <c r="O59" i="41" l="1"/>
  <c r="C238" i="41"/>
  <c r="C239" i="41" l="1"/>
  <c r="O60" i="41"/>
  <c r="C240" i="41" l="1"/>
  <c r="O61" i="41"/>
  <c r="C241" i="41" l="1"/>
  <c r="O62" i="41"/>
  <c r="C242" i="41" l="1"/>
  <c r="O63" i="41"/>
  <c r="C243" i="41" l="1"/>
  <c r="O64" i="41"/>
  <c r="C244" i="41" l="1"/>
  <c r="O65" i="41"/>
  <c r="C245" i="41" l="1"/>
  <c r="O66" i="41"/>
  <c r="C246" i="41" l="1"/>
  <c r="O67" i="41"/>
  <c r="C247" i="41" l="1"/>
  <c r="O68" i="41"/>
  <c r="C248" i="41" l="1"/>
  <c r="O69" i="41"/>
  <c r="E248" i="41" l="1"/>
  <c r="O70" i="41"/>
  <c r="D248" i="41"/>
  <c r="L40" i="41" s="1"/>
  <c r="M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4" authorId="0" shapeId="0" xr:uid="{4EC95E0F-CCEF-4810-A41F-2D5EA3944C63}">
      <text>
        <r>
          <rPr>
            <b/>
            <sz val="9"/>
            <color indexed="81"/>
            <rFont val="Tahoma"/>
            <family val="2"/>
          </rPr>
          <t>Beharriell, Greg:</t>
        </r>
        <r>
          <rPr>
            <sz val="9"/>
            <color indexed="81"/>
            <rFont val="Tahoma"/>
            <family val="2"/>
          </rPr>
          <t xml:space="preserve">
microFIT and FIT</t>
        </r>
      </text>
    </comment>
    <comment ref="F4" authorId="0" shapeId="0" xr:uid="{3C895787-23C2-4D7F-9977-6BFFA24E24DF}">
      <text>
        <r>
          <rPr>
            <b/>
            <sz val="9"/>
            <color indexed="81"/>
            <rFont val="Tahoma"/>
            <family val="2"/>
          </rPr>
          <t>Beharriell, Greg:</t>
        </r>
        <r>
          <rPr>
            <sz val="9"/>
            <color indexed="81"/>
            <rFont val="Tahoma"/>
            <family val="2"/>
          </rPr>
          <t xml:space="preserve">
Normalize for Large Customer Loss (Transfer to Transmission Connection; Distribution Backup only)</t>
        </r>
      </text>
    </comment>
    <comment ref="G4" authorId="0" shapeId="0" xr:uid="{D8A6E7F5-2A85-477E-8D4A-68D01C26B88B}">
      <text>
        <r>
          <rPr>
            <b/>
            <sz val="9"/>
            <color indexed="81"/>
            <rFont val="Tahoma"/>
            <family val="2"/>
          </rPr>
          <t>Beharriell, Greg:</t>
        </r>
        <r>
          <rPr>
            <sz val="9"/>
            <color indexed="81"/>
            <rFont val="Tahoma"/>
            <family val="2"/>
          </rPr>
          <t xml:space="preserve">
Normalize for new large customer.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G15" authorId="0" shapeId="0" xr:uid="{00000000-0006-0000-0600-000001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43" authorId="0" shapeId="0" xr:uid="{00000000-0006-0000-0600-000002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71" authorId="0" shapeId="0" xr:uid="{00000000-0006-0000-0600-000003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List>
</comments>
</file>

<file path=xl/sharedStrings.xml><?xml version="1.0" encoding="utf-8"?>
<sst xmlns="http://schemas.openxmlformats.org/spreadsheetml/2006/main" count="445" uniqueCount="207">
  <si>
    <t>Standard Error</t>
  </si>
  <si>
    <t>F - Statistic</t>
  </si>
  <si>
    <t xml:space="preserve"> Multiple Regression Equation</t>
  </si>
  <si>
    <t>Independent Analysis</t>
  </si>
  <si>
    <t>Coefficients</t>
  </si>
  <si>
    <t xml:space="preserve"> Intercept</t>
  </si>
  <si>
    <t>Intercept</t>
  </si>
  <si>
    <t>Equation Parameters</t>
  </si>
  <si>
    <t>Exponential</t>
  </si>
  <si>
    <t>Linear</t>
  </si>
  <si>
    <t>Int</t>
  </si>
  <si>
    <t>Leave Blank</t>
  </si>
  <si>
    <t>3rd Ord Poly</t>
  </si>
  <si>
    <t>2nd Ord Poly</t>
  </si>
  <si>
    <t xml:space="preserve"> R Squared</t>
  </si>
  <si>
    <t>Forecast Output</t>
  </si>
  <si>
    <t>Auto Correlation</t>
  </si>
  <si>
    <t>DW-Stat</t>
  </si>
  <si>
    <t xml:space="preserve">Adjusted R-Squared against other Indep </t>
  </si>
  <si>
    <t>Forecast Method</t>
  </si>
  <si>
    <t>Durbin-Watson Statistic</t>
  </si>
  <si>
    <t>Adjusted R Squared</t>
  </si>
  <si>
    <t>t Stat</t>
  </si>
  <si>
    <t>p Value</t>
  </si>
  <si>
    <t>Multicollinearity</t>
  </si>
  <si>
    <t>UPPER</t>
  </si>
  <si>
    <t>LOWER</t>
  </si>
  <si>
    <t>Coef</t>
  </si>
  <si>
    <t>RSQ</t>
  </si>
  <si>
    <t>Coef1</t>
  </si>
  <si>
    <t>Coef2</t>
  </si>
  <si>
    <t>Coef3</t>
  </si>
  <si>
    <t>3rd Order Polynomial</t>
  </si>
  <si>
    <t>Variable Trend Analysis For Forecasting</t>
  </si>
  <si>
    <t>to +/- on result of Regression Equation</t>
  </si>
  <si>
    <t xml:space="preserve">Step 2: </t>
  </si>
  <si>
    <t>95% Confidence/Autocorrelation</t>
  </si>
  <si>
    <t>Coefficient</t>
  </si>
  <si>
    <t xml:space="preserve">Coefficients: </t>
  </si>
  <si>
    <t>No. Forecast Observations:</t>
  </si>
  <si>
    <t>Include</t>
  </si>
  <si>
    <t>Feature Selection</t>
  </si>
  <si>
    <t>Minimum R-Squared</t>
  </si>
  <si>
    <t>Critical F-Statistic - 95% Confidence</t>
  </si>
  <si>
    <t>Confidence to which analysis holds</t>
  </si>
  <si>
    <t>ON</t>
  </si>
  <si>
    <t xml:space="preserve">Add More Variable Columns </t>
  </si>
  <si>
    <t>Variables With RSQ at &gt; 90%</t>
  </si>
  <si>
    <t>HDD</t>
  </si>
  <si>
    <t>CDD</t>
  </si>
  <si>
    <t>Last Rebasing Year</t>
  </si>
  <si>
    <t>Test Year</t>
  </si>
  <si>
    <t>Bridge Year</t>
  </si>
  <si>
    <t>Assigned EB Number</t>
  </si>
  <si>
    <t xml:space="preserve">Utility Name   </t>
  </si>
  <si>
    <t>LDC Info</t>
  </si>
  <si>
    <t>other</t>
  </si>
  <si>
    <t xml:space="preserve"> </t>
  </si>
  <si>
    <t>General Service &lt; 50 kW</t>
  </si>
  <si>
    <t>Residential</t>
  </si>
  <si>
    <t>Customer Class Name</t>
  </si>
  <si>
    <t>Customer Class</t>
  </si>
  <si>
    <t>December</t>
  </si>
  <si>
    <t>November</t>
  </si>
  <si>
    <t>October</t>
  </si>
  <si>
    <t>September</t>
  </si>
  <si>
    <t>August</t>
  </si>
  <si>
    <t>July</t>
  </si>
  <si>
    <t>June</t>
  </si>
  <si>
    <t>May</t>
  </si>
  <si>
    <t>April</t>
  </si>
  <si>
    <t>March</t>
  </si>
  <si>
    <t>February</t>
  </si>
  <si>
    <t>January</t>
  </si>
  <si>
    <t>Year</t>
  </si>
  <si>
    <t>kWh</t>
  </si>
  <si>
    <t>kW</t>
  </si>
  <si>
    <t>Total</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</si>
  <si>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</si>
  <si>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2) Number of customers is defined as number of connections (i.e., meters). Add or delete rate classes as appropriate.</t>
  </si>
  <si>
    <t>1) "Metered" or Class consumption is monthly usage measured at the retail meter, unadjusted for losses (i.e., the retail consumption amount)</t>
  </si>
  <si>
    <t xml:space="preserve">Notes: </t>
  </si>
  <si>
    <t>Adjusted</t>
  </si>
  <si>
    <t>In the section below, LDCs can adjust the computed customer count for the Bridge and Test Year for special cirumstance such as new subdivision or loss of customer or other utiliy specific reasons.</t>
  </si>
  <si>
    <t>Geomean</t>
  </si>
  <si>
    <t>Growth Rate</t>
  </si>
  <si>
    <t>Customers or Connections</t>
  </si>
  <si>
    <t>Date</t>
  </si>
  <si>
    <t>Customer Growth Chart</t>
  </si>
  <si>
    <t>Revised Wholesale Purchases</t>
  </si>
  <si>
    <t>Unadjusted Wholesale Purchases kWh</t>
  </si>
  <si>
    <t>Variables Used</t>
  </si>
  <si>
    <t>Added Load</t>
  </si>
  <si>
    <t>Per Customer Weather Normalized</t>
  </si>
  <si>
    <t>New Customer</t>
  </si>
  <si>
    <t>GS&lt;50</t>
  </si>
  <si>
    <t>Load corrected based on utility input</t>
  </si>
  <si>
    <t>Per customer</t>
  </si>
  <si>
    <t>Ratio%</t>
  </si>
  <si>
    <t>Avg</t>
  </si>
  <si>
    <t>kWh per connection</t>
  </si>
  <si>
    <t>Connection</t>
  </si>
  <si>
    <t>KW/kWh Ratio</t>
  </si>
  <si>
    <t>KW per connection</t>
  </si>
  <si>
    <t>Final Load Forecast Results</t>
  </si>
  <si>
    <t>GS&gt;50</t>
  </si>
  <si>
    <t>Wholesale</t>
  </si>
  <si>
    <t>Adjustements to Wholesale Purchases</t>
  </si>
  <si>
    <t>Actual kWh</t>
  </si>
  <si>
    <t>Weather Sensitive</t>
  </si>
  <si>
    <t>Non-Weather Sensitive</t>
  </si>
  <si>
    <t>Origine of variables</t>
  </si>
  <si>
    <t>HDD: Stats Canada</t>
  </si>
  <si>
    <t>CDD :Stats Canada</t>
  </si>
  <si>
    <t>Variance Inflation Factor</t>
  </si>
  <si>
    <t>Residential Actual kWh</t>
  </si>
  <si>
    <t>(F2 to toggle between value and formula)</t>
  </si>
  <si>
    <t>R Squared</t>
  </si>
  <si>
    <t xml:space="preserve">Winter: </t>
  </si>
  <si>
    <t xml:space="preserve">Employment: </t>
  </si>
  <si>
    <t xml:space="preserve">Cust count: </t>
  </si>
  <si>
    <t>USL</t>
  </si>
  <si>
    <t>Positive autocorrelation detected</t>
  </si>
  <si>
    <t>Predicted Wholesale</t>
  </si>
  <si>
    <t>Predicted  Wholesale</t>
  </si>
  <si>
    <t xml:space="preserve">Street Lighting </t>
  </si>
  <si>
    <t>Days in month</t>
  </si>
  <si>
    <t>Retail</t>
  </si>
  <si>
    <t xml:space="preserve"> Kwh</t>
  </si>
  <si>
    <t xml:space="preserve"> Cust Count</t>
  </si>
  <si>
    <t xml:space="preserve"> kW</t>
  </si>
  <si>
    <t xml:space="preserve">Ontario cost of electricity
</t>
  </si>
  <si>
    <t>Sentinel</t>
  </si>
  <si>
    <t>Jan</t>
  </si>
  <si>
    <t>Feb</t>
  </si>
  <si>
    <t>Mar</t>
  </si>
  <si>
    <t>Apr</t>
  </si>
  <si>
    <t>Jun</t>
  </si>
  <si>
    <t>Jul</t>
  </si>
  <si>
    <t>Aug</t>
  </si>
  <si>
    <t>Sep</t>
  </si>
  <si>
    <t>Oct</t>
  </si>
  <si>
    <t>Nov</t>
  </si>
  <si>
    <t>Dec</t>
  </si>
  <si>
    <t>2nd Order Polynomial</t>
  </si>
  <si>
    <t>Customer Data</t>
  </si>
  <si>
    <t>Embedded</t>
  </si>
  <si>
    <t>Days per month</t>
  </si>
  <si>
    <t>SpringFall</t>
  </si>
  <si>
    <t>OFF</t>
  </si>
  <si>
    <t>=A17</t>
  </si>
  <si>
    <t>2017BA</t>
  </si>
  <si>
    <t>Cust Count</t>
  </si>
  <si>
    <t>Kingston Spring/Fall</t>
  </si>
  <si>
    <t>Kingston Population</t>
  </si>
  <si>
    <t>Kingston Unemployment</t>
  </si>
  <si>
    <t>Kingston Participation</t>
  </si>
  <si>
    <t>Kingston Employment</t>
  </si>
  <si>
    <t>Kingston FTE</t>
  </si>
  <si>
    <t>St-C Population</t>
  </si>
  <si>
    <t>St-C Unemployment</t>
  </si>
  <si>
    <t>St-C Participation</t>
  </si>
  <si>
    <t>St-C Employment</t>
  </si>
  <si>
    <t>St-C FTE</t>
  </si>
  <si>
    <t>CPI Energy</t>
  </si>
  <si>
    <t>CPI All Item Toronto</t>
  </si>
  <si>
    <t>CPI All Items Ontario</t>
  </si>
  <si>
    <t>Adjustments (Add)</t>
  </si>
  <si>
    <t>Adjustments (Subtract)</t>
  </si>
  <si>
    <t>CDM Activity</t>
  </si>
  <si>
    <t>CNPI</t>
  </si>
  <si>
    <t>Load Change due to Cust Count Change</t>
  </si>
  <si>
    <t>Actual kWh (After Normalizing Adjustments)</t>
  </si>
  <si>
    <t xml:space="preserve">Total Adjusted Wholesale </t>
  </si>
  <si>
    <t>Add Back Normalizing Adjustments</t>
  </si>
  <si>
    <t>Persistence Year</t>
  </si>
  <si>
    <t>Program Year</t>
  </si>
  <si>
    <t>Total Persisting</t>
  </si>
  <si>
    <t>Incremental</t>
  </si>
  <si>
    <t>1/2 of Incr</t>
  </si>
  <si>
    <t>1/2 Year Adjusted</t>
  </si>
  <si>
    <t>Adj Annual Incr</t>
  </si>
  <si>
    <t>Monthly Incr</t>
  </si>
  <si>
    <t>Sum of CDM Variable</t>
  </si>
  <si>
    <t>CDM Activity Variable</t>
  </si>
  <si>
    <t>Sept</t>
  </si>
  <si>
    <t>General Service 50 to 4999 kW</t>
  </si>
  <si>
    <t>kWh (See Note 1)</t>
  </si>
  <si>
    <t>kW (See Note 2)</t>
  </si>
  <si>
    <t>EB-2021-0011</t>
  </si>
  <si>
    <t xml:space="preserve"> Connections</t>
  </si>
  <si>
    <t xml:space="preserve"> Connection Count</t>
  </si>
  <si>
    <t xml:space="preserve"> Cust Count (Excl SL, Sent, USL)</t>
  </si>
  <si>
    <t>kWh per Customer</t>
  </si>
  <si>
    <t>KW per Customer</t>
  </si>
  <si>
    <t>Residential Predicted</t>
  </si>
  <si>
    <t>GS&lt;50 Predicted</t>
  </si>
  <si>
    <t>GS&gt;50 Predicted (Less Adjustments)</t>
  </si>
  <si>
    <t>Embedded Predicted</t>
  </si>
  <si>
    <t>kW (Before Lg Cust Adjustment)</t>
  </si>
  <si>
    <t>kW (Remve 2 Large Customers)</t>
  </si>
  <si>
    <t xml:space="preserve"> kWh</t>
  </si>
  <si>
    <r>
      <t xml:space="preserve">NOTE 1: 2011-2020 kWh are normalized to remove certain customer loads (see col F-G of "Input Adjustments &amp; Variables tab);
</t>
    </r>
    <r>
      <rPr>
        <sz val="10"/>
        <color rgb="FFFF0000"/>
        <rFont val="Arial"/>
        <family val="2"/>
      </rPr>
      <t xml:space="preserve">2021-2022 forecast kWh </t>
    </r>
    <r>
      <rPr>
        <b/>
        <sz val="10"/>
        <color rgb="FFFF0000"/>
        <rFont val="Arial"/>
        <family val="2"/>
      </rPr>
      <t>excludes</t>
    </r>
    <r>
      <rPr>
        <sz val="10"/>
        <color rgb="FFFF0000"/>
        <rFont val="Arial"/>
        <family val="2"/>
      </rPr>
      <t xml:space="preserve"> the add-back of variable loads</t>
    </r>
    <r>
      <rPr>
        <b/>
        <sz val="10"/>
        <color rgb="FFFF0000"/>
        <rFont val="Arial"/>
        <family val="2"/>
      </rPr>
      <t xml:space="preserve"> to calculate column O</t>
    </r>
  </si>
  <si>
    <r>
      <t xml:space="preserve">NOTE 2: 2011-2020 kW are normalized to remove the kW billed to highly variable loads (see Table in Exhibit 3);
</t>
    </r>
    <r>
      <rPr>
        <b/>
        <sz val="10"/>
        <color rgb="FFFF0000"/>
        <rFont val="Arial"/>
        <family val="2"/>
      </rPr>
      <t>for 2021 and 2022, cells M15 and M16 are calculated by adding back the normalized kW as described in 3-VECC-23</t>
    </r>
  </si>
  <si>
    <t>Standby kW</t>
  </si>
  <si>
    <t>87.05% of the change in Wholesale can be explained by the change in the 5 independent variables</t>
  </si>
  <si>
    <t>Actual versus Predicted Wholesale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</si>
</sst>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quot;$&quot;#,##0;\-&quot;$&quot;#,##0"/>
    <numFmt numFmtId="167" formatCode="_-&quot;$&quot;* #,##0.00_-;\-&quot;$&quot;* #,##0.00_-;_-&quot;$&quot;* &quot;-&quot;??_-;_-@_-"/>
    <numFmt numFmtId="168" formatCode="_-* #,##0.00_-;\-* #,##0.00_-;_-* &quot;-&quot;??_-;_-@_-"/>
    <numFmt numFmtId="169" formatCode="0.0000"/>
    <numFmt numFmtId="170" formatCode="#,##0.000"/>
    <numFmt numFmtId="171" formatCode="#,##0.0000"/>
    <numFmt numFmtId="172" formatCode="#,##0.00000"/>
    <numFmt numFmtId="173" formatCode="0.0"/>
    <numFmt numFmtId="174" formatCode="0.000"/>
    <numFmt numFmtId="175" formatCode="_(* #,##0.0_);_(* \(#,##0.0\);_(* &quot;-&quot;??_);_(@_)"/>
    <numFmt numFmtId="176" formatCode="_(* #,##0_);_(* \(#,##0\);_(* &quot;-&quot;??_);_(@_)"/>
    <numFmt numFmtId="177" formatCode="_-&quot;$&quot;* #,##0_-;\-&quot;$&quot;* #,##0_-;_-&quot;$&quot;* &quot;-&quot;??_-;_-@_-"/>
    <numFmt numFmtId="178" formatCode="_-* #,##0_-;\-* #,##0_-;_-* &quot;-&quot;??_-;_-@_-"/>
    <numFmt numFmtId="179" formatCode="_(* #,##0.00_);_(* \(#,##0.00\);_(* \-??_);_(@_)"/>
    <numFmt numFmtId="180" formatCode="#,##0.0"/>
    <numFmt numFmtId="181" formatCode="_(* #,##0.0_);_(* \(#,##0.0\);_(* \-??_);_(@_)"/>
    <numFmt numFmtId="182" formatCode="mm/dd/yyyy"/>
    <numFmt numFmtId="183" formatCode="0\-0"/>
    <numFmt numFmtId="184" formatCode="_-* #,##0.00_-;\-* #,##0.00_-;_-* \-??_-;_-@_-"/>
    <numFmt numFmtId="185" formatCode="_-\$* #,##0.00_-;&quot;-$&quot;* #,##0.00_-;_-\$* \-??_-;_-@_-"/>
    <numFmt numFmtId="186" formatCode="_(\$* #,##0.00_);_(\$* \(#,##0.00\);_(\$* \-??_);_(@_)"/>
    <numFmt numFmtId="187" formatCode="\$#,##0_);&quot;($&quot;#,##0\)"/>
    <numFmt numFmtId="188" formatCode="##\-#"/>
    <numFmt numFmtId="189" formatCode="_(* #,##0_);_(* \(#,##0\);_(* \-??_);_(@_)"/>
    <numFmt numFmtId="190" formatCode="&quot;£ &quot;#,##0.00;[Red]&quot;-£ &quot;#,##0.00"/>
    <numFmt numFmtId="191" formatCode="[$-409]mmmm\ d\,\ yyyy;@"/>
    <numFmt numFmtId="192" formatCode="&quot;£ &quot;#,##0.00;[Red]\-&quot;£ &quot;#,##0.00"/>
  </numFmts>
  <fonts count="187" x14ac:knownFonts="1">
    <font>
      <sz val="10"/>
      <name val="Times New Roman"/>
    </font>
    <font>
      <sz val="11"/>
      <color indexed="8"/>
      <name val="Calibri"/>
      <family val="2"/>
    </font>
    <font>
      <sz val="10"/>
      <name val="Times New Roman"/>
      <family val="1"/>
    </font>
    <font>
      <sz val="9"/>
      <name val="Arial"/>
      <family val="2"/>
    </font>
    <font>
      <sz val="10"/>
      <name val="Helv"/>
    </font>
    <font>
      <b/>
      <sz val="9"/>
      <color indexed="33"/>
      <name val="Arial"/>
      <family val="2"/>
    </font>
    <font>
      <b/>
      <sz val="8"/>
      <name val="Arial"/>
      <family val="2"/>
    </font>
    <font>
      <sz val="10"/>
      <name val="Arial"/>
      <family val="2"/>
    </font>
    <font>
      <sz val="12"/>
      <name val="Arial"/>
      <family val="2"/>
    </font>
    <font>
      <b/>
      <sz val="10"/>
      <name val="Arial"/>
      <family val="2"/>
    </font>
    <font>
      <sz val="10"/>
      <color indexed="9"/>
      <name val="Arial"/>
      <family val="2"/>
    </font>
    <font>
      <b/>
      <sz val="11"/>
      <name val="Arial"/>
      <family val="2"/>
    </font>
    <font>
      <sz val="8"/>
      <color indexed="23"/>
      <name val="Arial"/>
      <family val="2"/>
    </font>
    <font>
      <sz val="8"/>
      <name val="Arial"/>
      <family val="2"/>
    </font>
    <font>
      <b/>
      <sz val="10"/>
      <color indexed="11"/>
      <name val="Arial"/>
      <family val="2"/>
    </font>
    <font>
      <b/>
      <sz val="10"/>
      <color indexed="18"/>
      <name val="Arial"/>
      <family val="2"/>
    </font>
    <font>
      <b/>
      <sz val="12"/>
      <color indexed="43"/>
      <name val="Arial"/>
      <family val="2"/>
    </font>
    <font>
      <sz val="10"/>
      <color indexed="18"/>
      <name val="Arial"/>
      <family val="2"/>
    </font>
    <font>
      <sz val="8"/>
      <color indexed="18"/>
      <name val="Arial"/>
      <family val="2"/>
    </font>
    <font>
      <b/>
      <sz val="10"/>
      <color indexed="9"/>
      <name val="Arial"/>
      <family val="2"/>
    </font>
    <font>
      <sz val="10"/>
      <color indexed="63"/>
      <name val="Arial"/>
      <family val="2"/>
    </font>
    <font>
      <sz val="10"/>
      <color indexed="47"/>
      <name val="Arial"/>
      <family val="2"/>
    </font>
    <font>
      <sz val="12"/>
      <color indexed="47"/>
      <name val="Arial"/>
      <family val="2"/>
    </font>
    <font>
      <b/>
      <sz val="9"/>
      <name val="Arial"/>
      <family val="2"/>
    </font>
    <font>
      <sz val="10"/>
      <name val="Times New Roman"/>
      <family val="1"/>
    </font>
    <font>
      <b/>
      <sz val="8"/>
      <color indexed="9"/>
      <name val="Arial"/>
      <family val="2"/>
    </font>
    <font>
      <sz val="8"/>
      <name val="Times New Roman"/>
      <family val="1"/>
    </font>
    <font>
      <b/>
      <sz val="9"/>
      <color indexed="18"/>
      <name val="Arial"/>
      <family val="2"/>
    </font>
    <font>
      <b/>
      <sz val="10"/>
      <color indexed="51"/>
      <name val="Arial"/>
      <family val="2"/>
    </font>
    <font>
      <b/>
      <sz val="12"/>
      <color indexed="51"/>
      <name val="Arial"/>
      <family val="2"/>
    </font>
    <font>
      <b/>
      <sz val="9"/>
      <color indexed="51"/>
      <name val="Arial"/>
      <family val="2"/>
    </font>
    <font>
      <sz val="11"/>
      <color indexed="10"/>
      <name val="Calibri"/>
      <family val="2"/>
    </font>
    <font>
      <sz val="11"/>
      <name val="Arial"/>
      <family val="2"/>
    </font>
    <font>
      <b/>
      <u/>
      <sz val="11"/>
      <name val="Arial"/>
      <family val="2"/>
    </font>
    <font>
      <i/>
      <sz val="10"/>
      <name val="Arial"/>
      <family val="2"/>
    </font>
    <font>
      <sz val="10"/>
      <color indexed="8"/>
      <name val="Arial"/>
      <family val="2"/>
    </font>
    <font>
      <b/>
      <sz val="10"/>
      <color indexed="8"/>
      <name val="Arial"/>
      <family val="2"/>
    </font>
    <font>
      <sz val="10"/>
      <name val="Mangal"/>
      <family val="2"/>
    </font>
    <font>
      <u/>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0"/>
      <color indexed="10"/>
      <name val="Arial"/>
      <family val="2"/>
    </font>
    <font>
      <b/>
      <sz val="10"/>
      <color indexed="63"/>
      <name val="Arial"/>
      <family val="2"/>
    </font>
    <font>
      <sz val="11"/>
      <color indexed="8"/>
      <name val="Calibri"/>
      <family val="2"/>
    </font>
    <font>
      <sz val="10"/>
      <color indexed="8"/>
      <name val="Arial"/>
      <family val="2"/>
    </font>
    <font>
      <b/>
      <sz val="18"/>
      <color indexed="62"/>
      <name val="Cambria"/>
      <family val="2"/>
    </font>
    <font>
      <sz val="10"/>
      <color indexed="10"/>
      <name val="Arial"/>
      <family val="2"/>
    </font>
    <font>
      <b/>
      <i/>
      <u/>
      <sz val="12"/>
      <color indexed="8"/>
      <name val="Arial"/>
      <family val="2"/>
    </font>
    <font>
      <b/>
      <sz val="10"/>
      <color indexed="10"/>
      <name val="Arial"/>
      <family val="2"/>
    </font>
    <font>
      <sz val="10"/>
      <color indexed="8"/>
      <name val="Arial"/>
      <family val="2"/>
    </font>
    <font>
      <b/>
      <sz val="12"/>
      <color indexed="51"/>
      <name val="Arial"/>
      <family val="2"/>
    </font>
    <font>
      <b/>
      <sz val="9"/>
      <color indexed="8"/>
      <name val="Arial"/>
      <family val="2"/>
    </font>
    <font>
      <i/>
      <sz val="12"/>
      <color indexed="8"/>
      <name val="Arial"/>
      <family val="2"/>
    </font>
    <font>
      <sz val="9"/>
      <color indexed="8"/>
      <name val="Arial"/>
      <family val="2"/>
    </font>
    <font>
      <sz val="10"/>
      <color indexed="9"/>
      <name val="Arial"/>
      <family val="2"/>
    </font>
    <font>
      <sz val="10"/>
      <name val="Arial"/>
      <family val="2"/>
      <charset val="1"/>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u/>
      <sz val="10"/>
      <color indexed="12"/>
      <name val="Arial"/>
      <family val="2"/>
    </font>
    <font>
      <b/>
      <sz val="18"/>
      <name val="Arial"/>
      <family val="2"/>
    </font>
    <font>
      <b/>
      <sz val="12"/>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u/>
      <sz val="7.5"/>
      <color indexed="12"/>
      <name val="Arial"/>
      <family val="2"/>
    </font>
    <font>
      <sz val="10"/>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0"/>
      <name val="MS Sans Serif"/>
    </font>
    <font>
      <sz val="8"/>
      <color indexed="8"/>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0"/>
      <color rgb="FFFA7D00"/>
      <name val="Arial"/>
      <family val="2"/>
    </font>
    <font>
      <b/>
      <sz val="11"/>
      <color rgb="FFFA7D0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9"/>
      <color theme="1"/>
      <name val="Calibri"/>
      <family val="2"/>
      <scheme val="minor"/>
    </font>
    <font>
      <b/>
      <sz val="8"/>
      <color theme="1"/>
      <name val="Calibri"/>
      <family val="2"/>
      <scheme val="minor"/>
    </font>
    <font>
      <u/>
      <sz val="8"/>
      <color rgb="FF800080"/>
      <name val="Calibri"/>
      <family val="2"/>
      <scheme val="minor"/>
    </font>
    <font>
      <sz val="11"/>
      <color rgb="FF006100"/>
      <name val="Calibri"/>
      <family val="2"/>
      <scheme val="minor"/>
    </font>
    <font>
      <sz val="10"/>
      <color rgb="FF006100"/>
      <name val="Arial"/>
      <family val="2"/>
    </font>
    <font>
      <b/>
      <sz val="15"/>
      <color indexed="62"/>
      <name val="Calibri"/>
      <family val="2"/>
      <scheme val="minor"/>
    </font>
    <font>
      <b/>
      <sz val="15"/>
      <color theme="3"/>
      <name val="Calibri"/>
      <family val="2"/>
      <scheme val="minor"/>
    </font>
    <font>
      <b/>
      <sz val="13"/>
      <color indexed="62"/>
      <name val="Calibri"/>
      <family val="2"/>
      <scheme val="minor"/>
    </font>
    <font>
      <b/>
      <sz val="13"/>
      <color theme="3"/>
      <name val="Calibri"/>
      <family val="2"/>
      <scheme val="minor"/>
    </font>
    <font>
      <b/>
      <sz val="11"/>
      <color indexed="62"/>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sz val="10"/>
      <color theme="1"/>
      <name val="Courier"/>
      <family val="2"/>
    </font>
    <font>
      <b/>
      <sz val="11"/>
      <color rgb="FF3F3F3F"/>
      <name val="Calibri"/>
      <family val="2"/>
      <scheme val="minor"/>
    </font>
    <font>
      <b/>
      <sz val="10"/>
      <color rgb="FF3F3F3F"/>
      <name val="Arial"/>
      <family val="2"/>
    </font>
    <font>
      <sz val="10"/>
      <color rgb="FF000000"/>
      <name val="Arial"/>
      <family val="2"/>
    </font>
    <font>
      <b/>
      <sz val="12"/>
      <color rgb="FF000000"/>
      <name val="Arial"/>
      <family val="2"/>
    </font>
    <font>
      <sz val="11"/>
      <color rgb="FF000000"/>
      <name val="Calibri"/>
      <family val="2"/>
      <scheme val="minor"/>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i/>
      <sz val="10"/>
      <color rgb="FFFF0000"/>
      <name val="Arial"/>
      <family val="2"/>
    </font>
    <font>
      <i/>
      <sz val="10"/>
      <color theme="0" tint="-0.249977111117893"/>
      <name val="Times New Roman"/>
      <family val="1"/>
    </font>
    <font>
      <sz val="10"/>
      <color theme="0" tint="-0.34998626667073579"/>
      <name val="Arial"/>
      <family val="2"/>
    </font>
    <font>
      <sz val="10"/>
      <color theme="0" tint="-0.34998626667073579"/>
      <name val="Times New Roman"/>
      <family val="1"/>
    </font>
    <font>
      <b/>
      <i/>
      <sz val="10"/>
      <color rgb="FFFF0000"/>
      <name val="Arial"/>
      <family val="2"/>
    </font>
    <font>
      <b/>
      <sz val="10"/>
      <color rgb="FFFF0000"/>
      <name val="Arial"/>
      <family val="2"/>
    </font>
  </fonts>
  <fills count="132">
    <fill>
      <patternFill patternType="none"/>
    </fill>
    <fill>
      <patternFill patternType="gray125"/>
    </fill>
    <fill>
      <patternFill patternType="solid">
        <fgColor indexed="44"/>
      </patternFill>
    </fill>
    <fill>
      <patternFill patternType="solid">
        <fgColor indexed="47"/>
      </patternFill>
    </fill>
    <fill>
      <patternFill patternType="solid">
        <fgColor indexed="41"/>
        <bgColor indexed="27"/>
      </patternFill>
    </fill>
    <fill>
      <patternFill patternType="solid">
        <fgColor indexed="58"/>
        <bgColor indexed="27"/>
      </patternFill>
    </fill>
    <fill>
      <patternFill patternType="solid">
        <fgColor indexed="31"/>
        <bgColor indexed="15"/>
      </patternFill>
    </fill>
    <fill>
      <patternFill patternType="solid">
        <fgColor indexed="31"/>
      </patternFill>
    </fill>
    <fill>
      <patternFill patternType="solid">
        <fgColor indexed="29"/>
      </patternFill>
    </fill>
    <fill>
      <patternFill patternType="solid">
        <fgColor indexed="36"/>
        <bgColor indexed="28"/>
      </patternFill>
    </fill>
    <fill>
      <patternFill patternType="solid">
        <fgColor indexed="45"/>
        <bgColor indexed="51"/>
      </patternFill>
    </fill>
    <fill>
      <patternFill patternType="solid">
        <fgColor indexed="45"/>
      </patternFill>
    </fill>
    <fill>
      <patternFill patternType="solid">
        <fgColor indexed="26"/>
      </patternFill>
    </fill>
    <fill>
      <patternFill patternType="solid">
        <fgColor indexed="39"/>
        <bgColor indexed="58"/>
      </patternFill>
    </fill>
    <fill>
      <patternFill patternType="solid">
        <fgColor indexed="39"/>
        <bgColor indexed="32"/>
      </patternFill>
    </fill>
    <fill>
      <patternFill patternType="solid">
        <fgColor indexed="42"/>
        <bgColor indexed="27"/>
      </patternFill>
    </fill>
    <fill>
      <patternFill patternType="solid">
        <fgColor indexed="42"/>
      </patternFill>
    </fill>
    <fill>
      <patternFill patternType="solid">
        <fgColor indexed="28"/>
        <bgColor indexed="41"/>
      </patternFill>
    </fill>
    <fill>
      <patternFill patternType="solid">
        <fgColor indexed="28"/>
        <bgColor indexed="58"/>
      </patternFill>
    </fill>
    <fill>
      <patternFill patternType="solid">
        <fgColor indexed="46"/>
        <bgColor indexed="50"/>
      </patternFill>
    </fill>
    <fill>
      <patternFill patternType="solid">
        <fgColor indexed="46"/>
      </patternFill>
    </fill>
    <fill>
      <patternFill patternType="solid">
        <fgColor indexed="27"/>
      </patternFill>
    </fill>
    <fill>
      <patternFill patternType="solid">
        <fgColor indexed="27"/>
        <bgColor indexed="41"/>
      </patternFill>
    </fill>
    <fill>
      <patternFill patternType="solid">
        <fgColor indexed="27"/>
        <bgColor indexed="58"/>
      </patternFill>
    </fill>
    <fill>
      <patternFill patternType="solid">
        <fgColor indexed="18"/>
        <bgColor indexed="58"/>
      </patternFill>
    </fill>
    <fill>
      <patternFill patternType="solid">
        <fgColor indexed="18"/>
        <bgColor indexed="39"/>
      </patternFill>
    </fill>
    <fill>
      <patternFill patternType="solid">
        <fgColor indexed="47"/>
        <bgColor indexed="51"/>
      </patternFill>
    </fill>
    <fill>
      <patternFill patternType="solid">
        <fgColor indexed="22"/>
      </patternFill>
    </fill>
    <fill>
      <patternFill patternType="solid">
        <fgColor indexed="44"/>
        <bgColor indexed="24"/>
      </patternFill>
    </fill>
    <fill>
      <patternFill patternType="solid">
        <fgColor indexed="29"/>
        <bgColor indexed="46"/>
      </patternFill>
    </fill>
    <fill>
      <patternFill patternType="solid">
        <fgColor indexed="43"/>
      </patternFill>
    </fill>
    <fill>
      <patternFill patternType="solid">
        <fgColor indexed="11"/>
        <bgColor indexed="20"/>
      </patternFill>
    </fill>
    <fill>
      <patternFill patternType="solid">
        <fgColor indexed="56"/>
        <bgColor indexed="41"/>
      </patternFill>
    </fill>
    <fill>
      <patternFill patternType="solid">
        <fgColor indexed="17"/>
        <bgColor indexed="35"/>
      </patternFill>
    </fill>
    <fill>
      <patternFill patternType="solid">
        <fgColor indexed="11"/>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20"/>
        <bgColor indexed="47"/>
      </patternFill>
    </fill>
    <fill>
      <patternFill patternType="solid">
        <fgColor indexed="51"/>
        <bgColor indexed="47"/>
      </patternFill>
    </fill>
    <fill>
      <patternFill patternType="solid">
        <fgColor indexed="51"/>
      </patternFill>
    </fill>
    <fill>
      <patternFill patternType="solid">
        <fgColor indexed="49"/>
      </patternFill>
    </fill>
    <fill>
      <patternFill patternType="solid">
        <fgColor indexed="24"/>
        <bgColor indexed="44"/>
      </patternFill>
    </fill>
    <fill>
      <patternFill patternType="darkGray">
        <fgColor indexed="50"/>
        <bgColor indexed="46"/>
      </patternFill>
    </fill>
    <fill>
      <patternFill patternType="solid">
        <fgColor indexed="30"/>
      </patternFill>
    </fill>
    <fill>
      <patternFill patternType="solid">
        <fgColor indexed="53"/>
      </patternFill>
    </fill>
    <fill>
      <patternFill patternType="mediumGray">
        <fgColor indexed="11"/>
        <bgColor indexed="22"/>
      </patternFill>
    </fill>
    <fill>
      <patternFill patternType="solid">
        <fgColor indexed="35"/>
        <bgColor indexed="56"/>
      </patternFill>
    </fill>
    <fill>
      <patternFill patternType="solid">
        <fgColor indexed="36"/>
      </patternFill>
    </fill>
    <fill>
      <patternFill patternType="solid">
        <fgColor indexed="46"/>
        <bgColor indexed="30"/>
      </patternFill>
    </fill>
    <fill>
      <patternFill patternType="solid">
        <fgColor indexed="49"/>
        <bgColor indexed="48"/>
      </patternFill>
    </fill>
    <fill>
      <patternFill patternType="darkGray">
        <fgColor indexed="52"/>
        <bgColor indexed="59"/>
      </patternFill>
    </fill>
    <fill>
      <patternFill patternType="solid">
        <fgColor indexed="52"/>
      </patternFill>
    </fill>
    <fill>
      <patternFill patternType="darkGray">
        <fgColor indexed="48"/>
        <bgColor indexed="19"/>
      </patternFill>
    </fill>
    <fill>
      <patternFill patternType="solid">
        <fgColor indexed="62"/>
        <bgColor indexed="21"/>
      </patternFill>
    </fill>
    <fill>
      <patternFill patternType="solid">
        <fgColor indexed="62"/>
      </patternFill>
    </fill>
    <fill>
      <patternFill patternType="solid">
        <fgColor indexed="48"/>
        <bgColor indexed="21"/>
      </patternFill>
    </fill>
    <fill>
      <patternFill patternType="darkGray">
        <fgColor indexed="48"/>
        <bgColor indexed="61"/>
      </patternFill>
    </fill>
    <fill>
      <patternFill patternType="solid">
        <fgColor indexed="10"/>
      </patternFill>
    </fill>
    <fill>
      <patternFill patternType="solid">
        <fgColor indexed="60"/>
        <bgColor indexed="53"/>
      </patternFill>
    </fill>
    <fill>
      <patternFill patternType="solid">
        <fgColor indexed="10"/>
        <bgColor indexed="37"/>
      </patternFill>
    </fill>
    <fill>
      <patternFill patternType="solid">
        <fgColor indexed="25"/>
        <bgColor indexed="19"/>
      </patternFill>
    </fill>
    <fill>
      <patternFill patternType="solid">
        <fgColor indexed="57"/>
      </patternFill>
    </fill>
    <fill>
      <patternFill patternType="solid">
        <fgColor indexed="50"/>
        <bgColor indexed="55"/>
      </patternFill>
    </fill>
    <fill>
      <patternFill patternType="solid">
        <fgColor indexed="54"/>
        <bgColor indexed="19"/>
      </patternFill>
    </fill>
    <fill>
      <patternFill patternType="solid">
        <fgColor indexed="50"/>
        <bgColor indexed="30"/>
      </patternFill>
    </fill>
    <fill>
      <patternFill patternType="solid">
        <fgColor indexed="54"/>
      </patternFill>
    </fill>
    <fill>
      <patternFill patternType="darkGray">
        <fgColor indexed="54"/>
        <bgColor indexed="19"/>
      </patternFill>
    </fill>
    <fill>
      <patternFill patternType="solid">
        <fgColor indexed="54"/>
        <bgColor indexed="57"/>
      </patternFill>
    </fill>
    <fill>
      <patternFill patternType="solid">
        <fgColor indexed="59"/>
        <bgColor indexed="53"/>
      </patternFill>
    </fill>
    <fill>
      <patternFill patternType="solid">
        <fgColor indexed="52"/>
        <bgColor indexed="53"/>
      </patternFill>
    </fill>
    <fill>
      <patternFill patternType="solid">
        <fgColor indexed="33"/>
        <bgColor indexed="34"/>
      </patternFill>
    </fill>
    <fill>
      <patternFill patternType="solid">
        <fgColor indexed="33"/>
        <bgColor indexed="20"/>
      </patternFill>
    </fill>
    <fill>
      <patternFill patternType="solid">
        <fgColor indexed="32"/>
        <bgColor indexed="58"/>
      </patternFill>
    </fill>
    <fill>
      <patternFill patternType="solid">
        <fgColor indexed="22"/>
        <bgColor indexed="35"/>
      </patternFill>
    </fill>
    <fill>
      <patternFill patternType="solid">
        <fgColor indexed="32"/>
        <bgColor indexed="39"/>
      </patternFill>
    </fill>
    <fill>
      <patternFill patternType="solid">
        <fgColor indexed="55"/>
      </patternFill>
    </fill>
    <fill>
      <patternFill patternType="solid">
        <fgColor indexed="55"/>
        <bgColor indexed="38"/>
      </patternFill>
    </fill>
    <fill>
      <patternFill patternType="solid">
        <fgColor indexed="40"/>
        <bgColor indexed="30"/>
      </patternFill>
    </fill>
    <fill>
      <patternFill patternType="solid">
        <fgColor indexed="42"/>
        <bgColor indexed="41"/>
      </patternFill>
    </fill>
    <fill>
      <patternFill patternType="solid">
        <fgColor indexed="49"/>
        <bgColor indexed="64"/>
      </patternFill>
    </fill>
    <fill>
      <patternFill patternType="mediumGray">
        <fgColor indexed="42"/>
        <bgColor indexed="11"/>
      </patternFill>
    </fill>
    <fill>
      <patternFill patternType="solid">
        <fgColor indexed="41"/>
        <bgColor indexed="42"/>
      </patternFill>
    </fill>
    <fill>
      <patternFill patternType="solid">
        <fgColor indexed="22"/>
        <bgColor indexed="64"/>
      </patternFill>
    </fill>
    <fill>
      <patternFill patternType="solid">
        <fgColor indexed="22"/>
        <bgColor indexed="59"/>
      </patternFill>
    </fill>
    <fill>
      <patternFill patternType="solid">
        <fgColor indexed="26"/>
        <bgColor indexed="39"/>
      </patternFill>
    </fill>
    <fill>
      <patternFill patternType="solid">
        <fgColor indexed="26"/>
        <bgColor indexed="64"/>
      </patternFill>
    </fill>
    <fill>
      <patternFill patternType="mediumGray">
        <fgColor indexed="43"/>
        <bgColor indexed="34"/>
      </patternFill>
    </fill>
    <fill>
      <patternFill patternType="solid">
        <fgColor indexed="43"/>
        <bgColor indexed="26"/>
      </patternFill>
    </fill>
    <fill>
      <patternFill patternType="solid">
        <fgColor indexed="34"/>
        <bgColor indexed="43"/>
      </patternFill>
    </fill>
    <fill>
      <patternFill patternType="solid">
        <fgColor indexed="44"/>
        <bgColor indexed="64"/>
      </patternFill>
    </fill>
    <fill>
      <patternFill patternType="solid">
        <fgColor indexed="63"/>
        <bgColor indexed="64"/>
      </patternFill>
    </fill>
    <fill>
      <patternFill patternType="solid">
        <fgColor indexed="47"/>
        <bgColor indexed="64"/>
      </patternFill>
    </fill>
    <fill>
      <patternFill patternType="solid">
        <fgColor indexed="23"/>
        <bgColor indexed="64"/>
      </patternFill>
    </fill>
    <fill>
      <patternFill patternType="gray125">
        <bgColor indexed="18"/>
      </patternFill>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51"/>
        <bgColor indexed="64"/>
      </patternFill>
    </fill>
    <fill>
      <patternFill patternType="solid">
        <fgColor rgb="FFFFFFCC"/>
        <bgColor indexed="64"/>
      </patternFill>
    </fill>
  </fills>
  <borders count="171">
    <border>
      <left/>
      <right/>
      <top/>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24"/>
      </bottom>
      <diagonal/>
    </border>
    <border>
      <left/>
      <right/>
      <top/>
      <bottom style="medium">
        <color indexed="49"/>
      </bottom>
      <diagonal/>
    </border>
    <border>
      <left/>
      <right/>
      <top/>
      <bottom style="medium">
        <color indexed="24"/>
      </bottom>
      <diagonal/>
    </border>
    <border>
      <left/>
      <right/>
      <top/>
      <bottom style="medium">
        <color indexed="5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59"/>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50"/>
      </left>
      <right style="thin">
        <color indexed="50"/>
      </right>
      <top style="thin">
        <color indexed="50"/>
      </top>
      <bottom style="thin">
        <color indexed="50"/>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48"/>
      </top>
      <bottom style="double">
        <color indexed="48"/>
      </bottom>
      <diagonal/>
    </border>
    <border>
      <left/>
      <right/>
      <top style="double">
        <color indexed="0"/>
      </top>
      <bottom/>
      <diagonal/>
    </border>
    <border>
      <left/>
      <right/>
      <top style="thin">
        <color indexed="62"/>
      </top>
      <bottom style="double">
        <color indexed="62"/>
      </bottom>
      <diagonal/>
    </border>
    <border>
      <left style="medium">
        <color indexed="64"/>
      </left>
      <right/>
      <top/>
      <bottom/>
      <diagonal/>
    </border>
    <border>
      <left style="thin">
        <color indexed="54"/>
      </left>
      <right style="thick">
        <color indexed="54"/>
      </right>
      <top style="thin">
        <color indexed="54"/>
      </top>
      <bottom style="hair">
        <color indexed="54"/>
      </bottom>
      <diagonal/>
    </border>
    <border>
      <left style="thin">
        <color indexed="54"/>
      </left>
      <right style="thick">
        <color indexed="54"/>
      </right>
      <top style="hair">
        <color indexed="54"/>
      </top>
      <bottom style="hair">
        <color indexed="54"/>
      </bottom>
      <diagonal/>
    </border>
    <border>
      <left style="medium">
        <color indexed="23"/>
      </left>
      <right style="thin">
        <color indexed="23"/>
      </right>
      <top style="medium">
        <color indexed="23"/>
      </top>
      <bottom style="hair">
        <color indexed="23"/>
      </bottom>
      <diagonal/>
    </border>
    <border>
      <left style="thin">
        <color indexed="23"/>
      </left>
      <right style="thin">
        <color indexed="23"/>
      </right>
      <top style="medium">
        <color indexed="23"/>
      </top>
      <bottom style="hair">
        <color indexed="23"/>
      </bottom>
      <diagonal/>
    </border>
    <border>
      <left style="thin">
        <color indexed="23"/>
      </left>
      <right style="medium">
        <color indexed="23"/>
      </right>
      <top style="medium">
        <color indexed="23"/>
      </top>
      <bottom style="hair">
        <color indexed="23"/>
      </bottom>
      <diagonal/>
    </border>
    <border>
      <left style="medium">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hair">
        <color indexed="23"/>
      </bottom>
      <diagonal/>
    </border>
    <border>
      <left style="thin">
        <color indexed="23"/>
      </left>
      <right style="medium">
        <color indexed="23"/>
      </right>
      <top style="hair">
        <color indexed="23"/>
      </top>
      <bottom style="hair">
        <color indexed="23"/>
      </bottom>
      <diagonal/>
    </border>
    <border>
      <left style="thin">
        <color indexed="23"/>
      </left>
      <right style="thin">
        <color indexed="23"/>
      </right>
      <top style="hair">
        <color indexed="23"/>
      </top>
      <bottom style="medium">
        <color indexed="23"/>
      </bottom>
      <diagonal/>
    </border>
    <border>
      <left style="thin">
        <color indexed="23"/>
      </left>
      <right style="medium">
        <color indexed="23"/>
      </right>
      <top style="hair">
        <color indexed="23"/>
      </top>
      <bottom style="medium">
        <color indexed="23"/>
      </bottom>
      <diagonal/>
    </border>
    <border>
      <left style="medium">
        <color indexed="54"/>
      </left>
      <right style="thin">
        <color indexed="54"/>
      </right>
      <top style="medium">
        <color indexed="54"/>
      </top>
      <bottom style="medium">
        <color indexed="54"/>
      </bottom>
      <diagonal/>
    </border>
    <border>
      <left style="thin">
        <color indexed="54"/>
      </left>
      <right style="thin">
        <color indexed="54"/>
      </right>
      <top/>
      <bottom style="medium">
        <color indexed="54"/>
      </bottom>
      <diagonal/>
    </border>
    <border>
      <left style="thin">
        <color indexed="54"/>
      </left>
      <right style="thin">
        <color indexed="54"/>
      </right>
      <top style="medium">
        <color indexed="54"/>
      </top>
      <bottom style="medium">
        <color indexed="54"/>
      </bottom>
      <diagonal/>
    </border>
    <border>
      <left style="medium">
        <color indexed="54"/>
      </left>
      <right style="thin">
        <color indexed="54"/>
      </right>
      <top/>
      <bottom style="medium">
        <color indexed="54"/>
      </bottom>
      <diagonal/>
    </border>
    <border>
      <left style="thin">
        <color indexed="54"/>
      </left>
      <right style="thin">
        <color indexed="54"/>
      </right>
      <top style="hair">
        <color indexed="54"/>
      </top>
      <bottom style="hair">
        <color indexed="54"/>
      </bottom>
      <diagonal/>
    </border>
    <border>
      <left style="medium">
        <color indexed="54"/>
      </left>
      <right/>
      <top style="medium">
        <color indexed="54"/>
      </top>
      <bottom style="medium">
        <color indexed="54"/>
      </bottom>
      <diagonal/>
    </border>
    <border>
      <left style="thin">
        <color indexed="54"/>
      </left>
      <right style="medium">
        <color indexed="54"/>
      </right>
      <top style="medium">
        <color indexed="54"/>
      </top>
      <bottom style="thin">
        <color indexed="54"/>
      </bottom>
      <diagonal/>
    </border>
    <border>
      <left style="thin">
        <color indexed="54"/>
      </left>
      <right style="medium">
        <color indexed="54"/>
      </right>
      <top style="thin">
        <color indexed="54"/>
      </top>
      <bottom style="medium">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medium">
        <color indexed="54"/>
      </bottom>
      <diagonal/>
    </border>
    <border>
      <left/>
      <right style="thin">
        <color indexed="54"/>
      </right>
      <top style="thin">
        <color indexed="54"/>
      </top>
      <bottom style="medium">
        <color indexed="54"/>
      </bottom>
      <diagonal/>
    </border>
    <border>
      <left/>
      <right/>
      <top style="thick">
        <color indexed="54"/>
      </top>
      <bottom/>
      <diagonal/>
    </border>
    <border>
      <left/>
      <right style="thick">
        <color indexed="54"/>
      </right>
      <top style="thick">
        <color indexed="54"/>
      </top>
      <bottom/>
      <diagonal/>
    </border>
    <border>
      <left style="thick">
        <color indexed="54"/>
      </left>
      <right style="thin">
        <color indexed="54"/>
      </right>
      <top style="thin">
        <color indexed="54"/>
      </top>
      <bottom style="thin">
        <color indexed="54"/>
      </bottom>
      <diagonal/>
    </border>
    <border>
      <left style="thin">
        <color indexed="54"/>
      </left>
      <right style="medium">
        <color indexed="54"/>
      </right>
      <top style="thin">
        <color indexed="54"/>
      </top>
      <bottom style="hair">
        <color indexed="54"/>
      </bottom>
      <diagonal/>
    </border>
    <border>
      <left style="medium">
        <color indexed="54"/>
      </left>
      <right style="thin">
        <color indexed="54"/>
      </right>
      <top style="medium">
        <color indexed="54"/>
      </top>
      <bottom style="hair">
        <color indexed="54"/>
      </bottom>
      <diagonal/>
    </border>
    <border>
      <left style="thin">
        <color indexed="54"/>
      </left>
      <right/>
      <top style="medium">
        <color indexed="54"/>
      </top>
      <bottom style="thin">
        <color indexed="54"/>
      </bottom>
      <diagonal/>
    </border>
    <border>
      <left/>
      <right/>
      <top style="medium">
        <color indexed="54"/>
      </top>
      <bottom style="thin">
        <color indexed="54"/>
      </bottom>
      <diagonal/>
    </border>
    <border>
      <left/>
      <right style="medium">
        <color indexed="54"/>
      </right>
      <top style="medium">
        <color indexed="54"/>
      </top>
      <bottom style="thin">
        <color indexed="54"/>
      </bottom>
      <diagonal/>
    </border>
    <border>
      <left/>
      <right style="thick">
        <color indexed="54"/>
      </right>
      <top/>
      <bottom/>
      <diagonal/>
    </border>
    <border>
      <left style="thin">
        <color indexed="54"/>
      </left>
      <right style="medium">
        <color indexed="54"/>
      </right>
      <top style="hair">
        <color indexed="54"/>
      </top>
      <bottom style="hair">
        <color indexed="54"/>
      </bottom>
      <diagonal/>
    </border>
    <border>
      <left style="medium">
        <color indexed="54"/>
      </left>
      <right style="thin">
        <color indexed="54"/>
      </right>
      <top style="hair">
        <color indexed="54"/>
      </top>
      <bottom style="hair">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medium">
        <color indexed="54"/>
      </right>
      <top style="thin">
        <color indexed="54"/>
      </top>
      <bottom style="thin">
        <color indexed="54"/>
      </bottom>
      <diagonal/>
    </border>
    <border>
      <left style="thick">
        <color indexed="54"/>
      </left>
      <right style="thin">
        <color indexed="54"/>
      </right>
      <top style="thin">
        <color indexed="54"/>
      </top>
      <bottom style="medium">
        <color indexed="54"/>
      </bottom>
      <diagonal/>
    </border>
    <border>
      <left style="thin">
        <color indexed="54"/>
      </left>
      <right style="medium">
        <color indexed="54"/>
      </right>
      <top style="hair">
        <color indexed="54"/>
      </top>
      <bottom style="medium">
        <color indexed="54"/>
      </bottom>
      <diagonal/>
    </border>
    <border>
      <left style="medium">
        <color indexed="54"/>
      </left>
      <right style="thin">
        <color indexed="54"/>
      </right>
      <top style="hair">
        <color indexed="54"/>
      </top>
      <bottom style="medium">
        <color indexed="54"/>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right style="medium">
        <color indexed="54"/>
      </right>
      <top style="thin">
        <color indexed="54"/>
      </top>
      <bottom style="medium">
        <color indexed="54"/>
      </bottom>
      <diagonal/>
    </border>
    <border>
      <left style="thick">
        <color indexed="54"/>
      </left>
      <right/>
      <top/>
      <bottom/>
      <diagonal/>
    </border>
    <border>
      <left/>
      <right style="thick">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medium">
        <color indexed="54"/>
      </right>
      <top style="thin">
        <color indexed="54"/>
      </top>
      <bottom style="thin">
        <color indexed="54"/>
      </bottom>
      <diagonal/>
    </border>
    <border>
      <left style="medium">
        <color indexed="54"/>
      </left>
      <right style="thin">
        <color indexed="54"/>
      </right>
      <top style="thin">
        <color indexed="54"/>
      </top>
      <bottom/>
      <diagonal/>
    </border>
    <border>
      <left style="thin">
        <color indexed="54"/>
      </left>
      <right style="thin">
        <color indexed="54"/>
      </right>
      <top style="thin">
        <color indexed="54"/>
      </top>
      <bottom/>
      <diagonal/>
    </border>
    <border>
      <left style="thin">
        <color indexed="54"/>
      </left>
      <right style="medium">
        <color indexed="54"/>
      </right>
      <top style="thin">
        <color indexed="54"/>
      </top>
      <bottom/>
      <diagonal/>
    </border>
    <border>
      <left style="medium">
        <color indexed="54"/>
      </left>
      <right style="medium">
        <color indexed="54"/>
      </right>
      <top style="medium">
        <color indexed="54"/>
      </top>
      <bottom style="hair">
        <color indexed="54"/>
      </bottom>
      <diagonal/>
    </border>
    <border>
      <left style="medium">
        <color indexed="54"/>
      </left>
      <right style="thin">
        <color indexed="54"/>
      </right>
      <top/>
      <bottom style="thin">
        <color indexed="54"/>
      </bottom>
      <diagonal/>
    </border>
    <border>
      <left style="thin">
        <color indexed="54"/>
      </left>
      <right style="thin">
        <color indexed="54"/>
      </right>
      <top/>
      <bottom style="thin">
        <color indexed="54"/>
      </bottom>
      <diagonal/>
    </border>
    <border>
      <left style="thin">
        <color indexed="54"/>
      </left>
      <right style="medium">
        <color indexed="54"/>
      </right>
      <top/>
      <bottom style="thin">
        <color indexed="54"/>
      </bottom>
      <diagonal/>
    </border>
    <border>
      <left style="medium">
        <color indexed="54"/>
      </left>
      <right style="medium">
        <color indexed="54"/>
      </right>
      <top style="hair">
        <color indexed="54"/>
      </top>
      <bottom style="thin">
        <color indexed="54"/>
      </bottom>
      <diagonal/>
    </border>
    <border>
      <left style="medium">
        <color indexed="54"/>
      </left>
      <right style="hair">
        <color indexed="54"/>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thin">
        <color indexed="54"/>
      </left>
      <right style="hair">
        <color indexed="54"/>
      </right>
      <top style="hair">
        <color indexed="54"/>
      </top>
      <bottom style="thin">
        <color indexed="54"/>
      </bottom>
      <diagonal/>
    </border>
    <border>
      <left style="hair">
        <color indexed="54"/>
      </left>
      <right style="thin">
        <color indexed="54"/>
      </right>
      <top style="hair">
        <color indexed="54"/>
      </top>
      <bottom style="thin">
        <color indexed="54"/>
      </bottom>
      <diagonal/>
    </border>
    <border>
      <left style="thick">
        <color indexed="54"/>
      </left>
      <right style="thin">
        <color indexed="54"/>
      </right>
      <top style="thin">
        <color indexed="54"/>
      </top>
      <bottom style="hair">
        <color indexed="54"/>
      </bottom>
      <diagonal/>
    </border>
    <border>
      <left/>
      <right/>
      <top style="thin">
        <color indexed="54"/>
      </top>
      <bottom style="hair">
        <color indexed="54"/>
      </bottom>
      <diagonal/>
    </border>
    <border>
      <left style="thin">
        <color indexed="54"/>
      </left>
      <right style="thin">
        <color indexed="54"/>
      </right>
      <top style="thin">
        <color indexed="54"/>
      </top>
      <bottom style="hair">
        <color indexed="54"/>
      </bottom>
      <diagonal/>
    </border>
    <border>
      <left style="medium">
        <color indexed="54"/>
      </left>
      <right style="thin">
        <color indexed="54"/>
      </right>
      <top style="thin">
        <color indexed="54"/>
      </top>
      <bottom style="hair">
        <color indexed="54"/>
      </bottom>
      <diagonal/>
    </border>
    <border>
      <left style="medium">
        <color indexed="54"/>
      </left>
      <right style="hair">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thin">
        <color indexed="54"/>
      </top>
      <bottom style="hair">
        <color indexed="54"/>
      </bottom>
      <diagonal/>
    </border>
    <border>
      <left style="thin">
        <color indexed="54"/>
      </left>
      <right style="hair">
        <color indexed="54"/>
      </right>
      <top style="thin">
        <color indexed="54"/>
      </top>
      <bottom style="hair">
        <color indexed="54"/>
      </bottom>
      <diagonal/>
    </border>
    <border>
      <left style="hair">
        <color indexed="54"/>
      </left>
      <right style="thin">
        <color indexed="54"/>
      </right>
      <top style="thin">
        <color indexed="54"/>
      </top>
      <bottom style="hair">
        <color indexed="54"/>
      </bottom>
      <diagonal/>
    </border>
    <border>
      <left/>
      <right style="hair">
        <color indexed="54"/>
      </right>
      <top style="thin">
        <color indexed="54"/>
      </top>
      <bottom style="hair">
        <color indexed="54"/>
      </bottom>
      <diagonal/>
    </border>
    <border>
      <left style="thick">
        <color indexed="54"/>
      </left>
      <right style="thin">
        <color indexed="54"/>
      </right>
      <top style="hair">
        <color indexed="54"/>
      </top>
      <bottom style="hair">
        <color indexed="54"/>
      </bottom>
      <diagonal/>
    </border>
    <border>
      <left/>
      <right/>
      <top style="hair">
        <color indexed="54"/>
      </top>
      <bottom style="hair">
        <color indexed="54"/>
      </bottom>
      <diagonal/>
    </border>
    <border>
      <left style="hair">
        <color indexed="54"/>
      </left>
      <right style="medium">
        <color indexed="54"/>
      </right>
      <top style="hair">
        <color indexed="54"/>
      </top>
      <bottom style="hair">
        <color indexed="54"/>
      </bottom>
      <diagonal/>
    </border>
    <border>
      <left style="medium">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thick">
        <color indexed="54"/>
      </right>
      <top style="thin">
        <color indexed="54"/>
      </top>
      <bottom style="thin">
        <color indexed="54"/>
      </bottom>
      <diagonal/>
    </border>
    <border>
      <left style="thin">
        <color indexed="54"/>
      </left>
      <right style="thin">
        <color indexed="54"/>
      </right>
      <top style="medium">
        <color indexed="54"/>
      </top>
      <bottom style="hair">
        <color indexed="54"/>
      </bottom>
      <diagonal/>
    </border>
    <border>
      <left/>
      <right/>
      <top style="medium">
        <color indexed="54"/>
      </top>
      <bottom style="medium">
        <color indexed="54"/>
      </bottom>
      <diagonal/>
    </border>
    <border>
      <left/>
      <right style="thin">
        <color indexed="54"/>
      </right>
      <top style="medium">
        <color indexed="54"/>
      </top>
      <bottom style="medium">
        <color indexed="54"/>
      </bottom>
      <diagonal/>
    </border>
    <border>
      <left style="thin">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style="thick">
        <color indexed="54"/>
      </left>
      <right/>
      <top style="thick">
        <color indexed="54"/>
      </top>
      <bottom style="thin">
        <color indexed="64"/>
      </bottom>
      <diagonal/>
    </border>
    <border>
      <left/>
      <right/>
      <top style="thick">
        <color indexed="5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hair">
        <color indexed="54"/>
      </bottom>
      <diagonal/>
    </border>
    <border>
      <left style="medium">
        <color indexed="54"/>
      </left>
      <right/>
      <top/>
      <bottom/>
      <diagonal/>
    </border>
    <border>
      <left style="medium">
        <color indexed="54"/>
      </left>
      <right/>
      <top style="medium">
        <color indexed="54"/>
      </top>
      <bottom style="thin">
        <color indexed="64"/>
      </bottom>
      <diagonal/>
    </border>
    <border>
      <left/>
      <right/>
      <top style="medium">
        <color indexed="54"/>
      </top>
      <bottom style="thin">
        <color indexed="64"/>
      </bottom>
      <diagonal/>
    </border>
    <border>
      <left/>
      <right style="medium">
        <color indexed="54"/>
      </right>
      <top style="medium">
        <color indexed="54"/>
      </top>
      <bottom style="thin">
        <color indexed="64"/>
      </bottom>
      <diagonal/>
    </border>
    <border>
      <left style="medium">
        <color indexed="54"/>
      </left>
      <right style="medium">
        <color indexed="54"/>
      </right>
      <top style="medium">
        <color indexed="54"/>
      </top>
      <bottom/>
      <diagonal/>
    </border>
    <border>
      <left style="medium">
        <color indexed="54"/>
      </left>
      <right style="medium">
        <color indexed="54"/>
      </right>
      <top/>
      <bottom style="medium">
        <color indexed="54"/>
      </bottom>
      <diagonal/>
    </border>
    <border>
      <left style="medium">
        <color indexed="54"/>
      </left>
      <right/>
      <top style="medium">
        <color indexed="54"/>
      </top>
      <bottom/>
      <diagonal/>
    </border>
    <border>
      <left style="medium">
        <color indexed="54"/>
      </left>
      <right/>
      <top/>
      <bottom style="medium">
        <color indexed="54"/>
      </bottom>
      <diagonal/>
    </border>
    <border>
      <left style="thick">
        <color indexed="54"/>
      </left>
      <right/>
      <top style="thick">
        <color indexed="54"/>
      </top>
      <bottom/>
      <diagonal/>
    </border>
    <border>
      <left/>
      <right style="medium">
        <color indexed="54"/>
      </right>
      <top style="thick">
        <color indexed="54"/>
      </top>
      <bottom/>
      <diagonal/>
    </border>
    <border>
      <left style="thick">
        <color indexed="54"/>
      </left>
      <right/>
      <top style="medium">
        <color indexed="54"/>
      </top>
      <bottom style="thin">
        <color indexed="54"/>
      </bottom>
      <diagonal/>
    </border>
    <border>
      <left style="medium">
        <color indexed="54"/>
      </left>
      <right/>
      <top style="thick">
        <color indexed="54"/>
      </top>
      <bottom/>
      <diagonal/>
    </border>
    <border>
      <left style="medium">
        <color indexed="54"/>
      </left>
      <right/>
      <top style="thick">
        <color indexed="54"/>
      </top>
      <bottom style="medium">
        <color indexed="54"/>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style="thin">
        <color indexed="54"/>
      </left>
      <right style="thick">
        <color indexed="54"/>
      </right>
      <top style="thin">
        <color indexed="54"/>
      </top>
      <bottom/>
      <diagonal/>
    </border>
    <border>
      <left style="thin">
        <color indexed="54"/>
      </left>
      <right style="thick">
        <color indexed="54"/>
      </right>
      <top/>
      <bottom style="thin">
        <color indexed="54"/>
      </bottom>
      <diagonal/>
    </border>
    <border>
      <left style="medium">
        <color indexed="54"/>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style="thin">
        <color indexed="54"/>
      </top>
      <bottom style="hair">
        <color indexed="54"/>
      </bottom>
      <diagonal/>
    </border>
    <border>
      <left/>
      <right/>
      <top/>
      <bottom style="medium">
        <color indexed="54"/>
      </bottom>
      <diagonal/>
    </border>
    <border>
      <left/>
      <right style="medium">
        <color indexed="54"/>
      </right>
      <top/>
      <bottom style="medium">
        <color indexed="5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4">
    <xf numFmtId="0" fontId="0" fillId="0" borderId="0"/>
    <xf numFmtId="181" fontId="61" fillId="0" borderId="0"/>
    <xf numFmtId="181" fontId="61" fillId="0" borderId="0"/>
    <xf numFmtId="175" fontId="7" fillId="0" borderId="0"/>
    <xf numFmtId="175" fontId="7" fillId="0" borderId="0"/>
    <xf numFmtId="180" fontId="61" fillId="0" borderId="0"/>
    <xf numFmtId="180" fontId="61" fillId="0" borderId="0"/>
    <xf numFmtId="180" fontId="7" fillId="0" borderId="0"/>
    <xf numFmtId="180" fontId="7" fillId="0" borderId="0"/>
    <xf numFmtId="181" fontId="61" fillId="0" borderId="0"/>
    <xf numFmtId="181" fontId="61" fillId="0" borderId="0"/>
    <xf numFmtId="175" fontId="7" fillId="0" borderId="0"/>
    <xf numFmtId="175" fontId="7" fillId="0" borderId="0"/>
    <xf numFmtId="181" fontId="61" fillId="0" borderId="0"/>
    <xf numFmtId="181" fontId="61" fillId="0" borderId="0"/>
    <xf numFmtId="175" fontId="7" fillId="0" borderId="0"/>
    <xf numFmtId="175" fontId="7" fillId="0" borderId="0"/>
    <xf numFmtId="181" fontId="61" fillId="0" borderId="0"/>
    <xf numFmtId="181" fontId="61" fillId="0" borderId="0"/>
    <xf numFmtId="175" fontId="7" fillId="0" borderId="0"/>
    <xf numFmtId="175" fontId="7" fillId="0" borderId="0"/>
    <xf numFmtId="181" fontId="61" fillId="0" borderId="0"/>
    <xf numFmtId="181" fontId="61" fillId="0" borderId="0"/>
    <xf numFmtId="175" fontId="7" fillId="0" borderId="0"/>
    <xf numFmtId="175" fontId="7" fillId="0" borderId="0"/>
    <xf numFmtId="182" fontId="61" fillId="0" borderId="0"/>
    <xf numFmtId="182" fontId="61" fillId="0" borderId="0"/>
    <xf numFmtId="14" fontId="7" fillId="0" borderId="0"/>
    <xf numFmtId="182" fontId="7" fillId="0" borderId="0"/>
    <xf numFmtId="182" fontId="7" fillId="0" borderId="0"/>
    <xf numFmtId="14" fontId="7" fillId="0" borderId="0"/>
    <xf numFmtId="183" fontId="61" fillId="0" borderId="0"/>
    <xf numFmtId="183" fontId="61" fillId="0" borderId="0"/>
    <xf numFmtId="183" fontId="7" fillId="0" borderId="0"/>
    <xf numFmtId="183" fontId="7" fillId="0" borderId="0"/>
    <xf numFmtId="182" fontId="61" fillId="0" borderId="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1" fillId="96"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1" fillId="7"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4"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191" fontId="141" fillId="3" borderId="0" applyNumberFormat="0" applyBorder="0" applyAlignment="0" applyProtection="0"/>
    <xf numFmtId="0" fontId="142" fillId="3" borderId="0" applyNumberFormat="0" applyBorder="0" applyAlignment="0" applyProtection="0"/>
    <xf numFmtId="0" fontId="62"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0" fontId="63" fillId="6" borderId="0" applyNumberFormat="0" applyBorder="0" applyAlignment="0" applyProtection="0"/>
    <xf numFmtId="0" fontId="35" fillId="7" borderId="0" applyNumberFormat="0" applyBorder="0" applyAlignment="0" applyProtection="0"/>
    <xf numFmtId="0" fontId="1" fillId="7" borderId="0" applyNumberFormat="0" applyBorder="0" applyAlignment="0" applyProtection="0"/>
    <xf numFmtId="191" fontId="1" fillId="7"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1" fillId="97"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62" fillId="10" borderId="0" applyNumberFormat="0" applyBorder="0" applyAlignment="0" applyProtection="0"/>
    <xf numFmtId="0" fontId="1" fillId="11"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62" fillId="9"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0" fontId="141" fillId="8" borderId="0" applyNumberFormat="0" applyBorder="0" applyAlignment="0" applyProtection="0"/>
    <xf numFmtId="191" fontId="141" fillId="8" borderId="0" applyNumberFormat="0" applyBorder="0" applyAlignment="0" applyProtection="0"/>
    <xf numFmtId="0" fontId="142" fillId="8" borderId="0" applyNumberFormat="0" applyBorder="0" applyAlignment="0" applyProtection="0"/>
    <xf numFmtId="0" fontId="62"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0" fontId="63" fillId="10" borderId="0" applyNumberFormat="0" applyBorder="0" applyAlignment="0" applyProtection="0"/>
    <xf numFmtId="0" fontId="35" fillId="11" borderId="0" applyNumberFormat="0" applyBorder="0" applyAlignment="0" applyProtection="0"/>
    <xf numFmtId="0" fontId="1" fillId="11" borderId="0" applyNumberFormat="0" applyBorder="0" applyAlignment="0" applyProtection="0"/>
    <xf numFmtId="191" fontId="1" fillId="11"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8"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1" fillId="98"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1" fillId="16"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13"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191" fontId="141" fillId="12" borderId="0" applyNumberFormat="0" applyBorder="0" applyAlignment="0" applyProtection="0"/>
    <xf numFmtId="0" fontId="142" fillId="12" borderId="0" applyNumberFormat="0" applyBorder="0" applyAlignment="0" applyProtection="0"/>
    <xf numFmtId="0" fontId="62"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0" fontId="63" fillId="15" borderId="0" applyNumberFormat="0" applyBorder="0" applyAlignment="0" applyProtection="0"/>
    <xf numFmtId="0" fontId="35" fillId="16" borderId="0" applyNumberFormat="0" applyBorder="0" applyAlignment="0" applyProtection="0"/>
    <xf numFmtId="0" fontId="1" fillId="16" borderId="0" applyNumberFormat="0" applyBorder="0" applyAlignment="0" applyProtection="0"/>
    <xf numFmtId="191" fontId="1" fillId="16"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1" fillId="99"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1" fillId="20"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62" fillId="17"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0" fontId="141" fillId="3" borderId="0" applyNumberFormat="0" applyBorder="0" applyAlignment="0" applyProtection="0"/>
    <xf numFmtId="191" fontId="141" fillId="3" borderId="0" applyNumberFormat="0" applyBorder="0" applyAlignment="0" applyProtection="0"/>
    <xf numFmtId="0" fontId="142" fillId="3" borderId="0" applyNumberFormat="0" applyBorder="0" applyAlignment="0" applyProtection="0"/>
    <xf numFmtId="0" fontId="62"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3"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91" fontId="1" fillId="20"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2" fillId="3" borderId="0" applyNumberFormat="0" applyBorder="0" applyAlignment="0" applyProtection="0"/>
    <xf numFmtId="0" fontId="141"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62" fillId="23" borderId="0" applyNumberFormat="0" applyBorder="0" applyAlignment="0" applyProtection="0"/>
    <xf numFmtId="0" fontId="62" fillId="22" borderId="0" applyNumberFormat="0" applyBorder="0" applyAlignment="0" applyProtection="0"/>
    <xf numFmtId="0" fontId="1" fillId="21"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62" fillId="22"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0" fontId="141" fillId="100" borderId="0" applyNumberFormat="0" applyBorder="0" applyAlignment="0" applyProtection="0"/>
    <xf numFmtId="191" fontId="141" fillId="100" borderId="0" applyNumberFormat="0" applyBorder="0" applyAlignment="0" applyProtection="0"/>
    <xf numFmtId="0" fontId="142" fillId="100" borderId="0" applyNumberFormat="0" applyBorder="0" applyAlignment="0" applyProtection="0"/>
    <xf numFmtId="0" fontId="62"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0" fontId="63" fillId="22" borderId="0" applyNumberFormat="0" applyBorder="0" applyAlignment="0" applyProtection="0"/>
    <xf numFmtId="0" fontId="35" fillId="21" borderId="0" applyNumberFormat="0" applyBorder="0" applyAlignment="0" applyProtection="0"/>
    <xf numFmtId="0" fontId="1" fillId="21" borderId="0" applyNumberFormat="0" applyBorder="0" applyAlignment="0" applyProtection="0"/>
    <xf numFmtId="191" fontId="1" fillId="21"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00"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1" fillId="101"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1" fillId="3"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62" fillId="24"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0" fontId="141" fillId="12" borderId="0" applyNumberFormat="0" applyBorder="0" applyAlignment="0" applyProtection="0"/>
    <xf numFmtId="191" fontId="141" fillId="12" borderId="0" applyNumberFormat="0" applyBorder="0" applyAlignment="0" applyProtection="0"/>
    <xf numFmtId="0" fontId="142" fillId="12" borderId="0" applyNumberFormat="0" applyBorder="0" applyAlignment="0" applyProtection="0"/>
    <xf numFmtId="0" fontId="62"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0" fontId="63" fillId="26" borderId="0" applyNumberFormat="0" applyBorder="0" applyAlignment="0" applyProtection="0"/>
    <xf numFmtId="0" fontId="35" fillId="3" borderId="0" applyNumberFormat="0" applyBorder="0" applyAlignment="0" applyProtection="0"/>
    <xf numFmtId="0" fontId="1" fillId="3" borderId="0" applyNumberFormat="0" applyBorder="0" applyAlignment="0" applyProtection="0"/>
    <xf numFmtId="191" fontId="1" fillId="3"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12"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1" fillId="102"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62" fillId="28" borderId="0" applyNumberFormat="0" applyBorder="0" applyAlignment="0" applyProtection="0"/>
    <xf numFmtId="0" fontId="1" fillId="2"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6"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191" fontId="141" fillId="27" borderId="0" applyNumberFormat="0" applyBorder="0" applyAlignment="0" applyProtection="0"/>
    <xf numFmtId="0" fontId="142" fillId="27" borderId="0" applyNumberFormat="0" applyBorder="0" applyAlignment="0" applyProtection="0"/>
    <xf numFmtId="0" fontId="62"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3"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91" fontId="1" fillId="2"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1"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62" fillId="29" borderId="0" applyNumberFormat="0" applyBorder="0" applyAlignment="0" applyProtection="0"/>
    <xf numFmtId="0" fontId="1" fillId="8"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62" fillId="10"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0" fontId="141" fillId="103" borderId="0" applyNumberFormat="0" applyBorder="0" applyAlignment="0" applyProtection="0"/>
    <xf numFmtId="191" fontId="141" fillId="103" borderId="0" applyNumberFormat="0" applyBorder="0" applyAlignment="0" applyProtection="0"/>
    <xf numFmtId="0" fontId="142" fillId="103" borderId="0" applyNumberFormat="0" applyBorder="0" applyAlignment="0" applyProtection="0"/>
    <xf numFmtId="0" fontId="62"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0" fontId="63" fillId="29" borderId="0" applyNumberFormat="0" applyBorder="0" applyAlignment="0" applyProtection="0"/>
    <xf numFmtId="0" fontId="35" fillId="8" borderId="0" applyNumberFormat="0" applyBorder="0" applyAlignment="0" applyProtection="0"/>
    <xf numFmtId="0" fontId="1" fillId="8" borderId="0" applyNumberFormat="0" applyBorder="0" applyAlignment="0" applyProtection="0"/>
    <xf numFmtId="191" fontId="1" fillId="8"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103"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1" fillId="104"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1" fillId="34"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1"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191" fontId="141" fillId="30" borderId="0" applyNumberFormat="0" applyBorder="0" applyAlignment="0" applyProtection="0"/>
    <xf numFmtId="0" fontId="142" fillId="30" borderId="0" applyNumberFormat="0" applyBorder="0" applyAlignment="0" applyProtection="0"/>
    <xf numFmtId="0" fontId="62"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0" fontId="63" fillId="33" borderId="0" applyNumberFormat="0" applyBorder="0" applyAlignment="0" applyProtection="0"/>
    <xf numFmtId="0" fontId="35" fillId="34" borderId="0" applyNumberFormat="0" applyBorder="0" applyAlignment="0" applyProtection="0"/>
    <xf numFmtId="0" fontId="1" fillId="34" borderId="0" applyNumberFormat="0" applyBorder="0" applyAlignment="0" applyProtection="0"/>
    <xf numFmtId="191" fontId="1" fillId="34"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1" fillId="105"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62" fillId="19" borderId="0" applyNumberFormat="0" applyBorder="0" applyAlignment="0" applyProtection="0"/>
    <xf numFmtId="0" fontId="1" fillId="20"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62" fillId="35"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0" fontId="141" fillId="27" borderId="0" applyNumberFormat="0" applyBorder="0" applyAlignment="0" applyProtection="0"/>
    <xf numFmtId="191" fontId="141" fillId="27" borderId="0" applyNumberFormat="0" applyBorder="0" applyAlignment="0" applyProtection="0"/>
    <xf numFmtId="0" fontId="142" fillId="27" borderId="0" applyNumberFormat="0" applyBorder="0" applyAlignment="0" applyProtection="0"/>
    <xf numFmtId="0" fontId="62"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0" fontId="63" fillId="19" borderId="0" applyNumberFormat="0" applyBorder="0" applyAlignment="0" applyProtection="0"/>
    <xf numFmtId="0" fontId="35" fillId="20" borderId="0" applyNumberFormat="0" applyBorder="0" applyAlignment="0" applyProtection="0"/>
    <xf numFmtId="0" fontId="1" fillId="20" borderId="0" applyNumberFormat="0" applyBorder="0" applyAlignment="0" applyProtection="0"/>
    <xf numFmtId="191" fontId="1" fillId="20"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27"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62" fillId="28" borderId="0" applyNumberFormat="0" applyBorder="0" applyAlignment="0" applyProtection="0"/>
    <xf numFmtId="0" fontId="1" fillId="2"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62" fillId="3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0" fontId="141" fillId="106" borderId="0" applyNumberFormat="0" applyBorder="0" applyAlignment="0" applyProtection="0"/>
    <xf numFmtId="191" fontId="141" fillId="106" borderId="0" applyNumberFormat="0" applyBorder="0" applyAlignment="0" applyProtection="0"/>
    <xf numFmtId="0" fontId="142" fillId="106" borderId="0" applyNumberFormat="0" applyBorder="0" applyAlignment="0" applyProtection="0"/>
    <xf numFmtId="0" fontId="62"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0" fontId="63" fillId="28" borderId="0" applyNumberFormat="0" applyBorder="0" applyAlignment="0" applyProtection="0"/>
    <xf numFmtId="0" fontId="35" fillId="2" borderId="0" applyNumberFormat="0" applyBorder="0" applyAlignment="0" applyProtection="0"/>
    <xf numFmtId="0" fontId="1" fillId="2" borderId="0" applyNumberFormat="0" applyBorder="0" applyAlignment="0" applyProtection="0"/>
    <xf numFmtId="191" fontId="1" fillId="2"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106"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1" fillId="107"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62" fillId="38"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62" fillId="37"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0" fontId="141" fillId="30" borderId="0" applyNumberFormat="0" applyBorder="0" applyAlignment="0" applyProtection="0"/>
    <xf numFmtId="191" fontId="141" fillId="30" borderId="0" applyNumberFormat="0" applyBorder="0" applyAlignment="0" applyProtection="0"/>
    <xf numFmtId="0" fontId="142" fillId="30" borderId="0" applyNumberFormat="0" applyBorder="0" applyAlignment="0" applyProtection="0"/>
    <xf numFmtId="0" fontId="62"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0" fontId="63" fillId="39" borderId="0" applyNumberFormat="0" applyBorder="0" applyAlignment="0" applyProtection="0"/>
    <xf numFmtId="0" fontId="35" fillId="40" borderId="0" applyNumberFormat="0" applyBorder="0" applyAlignment="0" applyProtection="0"/>
    <xf numFmtId="0" fontId="1" fillId="40" borderId="0" applyNumberFormat="0" applyBorder="0" applyAlignment="0" applyProtection="0"/>
    <xf numFmtId="191" fontId="1" fillId="4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2" fillId="30"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3" fillId="108"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39" fillId="44" borderId="0" applyNumberFormat="0" applyBorder="0" applyAlignment="0" applyProtection="0"/>
    <xf numFmtId="0" fontId="64" fillId="42"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191" fontId="143" fillId="41" borderId="0" applyNumberFormat="0" applyBorder="0" applyAlignment="0" applyProtection="0"/>
    <xf numFmtId="0" fontId="10" fillId="44" borderId="0" applyNumberFormat="0" applyBorder="0" applyAlignment="0" applyProtection="0"/>
    <xf numFmtId="0" fontId="64"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0" fontId="65" fillId="43" borderId="0" applyNumberFormat="0" applyBorder="0" applyAlignment="0" applyProtection="0"/>
    <xf numFmtId="0" fontId="10" fillId="44" borderId="0" applyNumberFormat="0" applyBorder="0" applyAlignment="0" applyProtection="0"/>
    <xf numFmtId="0" fontId="39" fillId="44" borderId="0" applyNumberFormat="0" applyBorder="0" applyAlignment="0" applyProtection="0"/>
    <xf numFmtId="191" fontId="39" fillId="44"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39" fillId="8" borderId="0" applyNumberFormat="0" applyBorder="0" applyAlignment="0" applyProtection="0"/>
    <xf numFmtId="0" fontId="64" fillId="29" borderId="0" applyNumberFormat="0" applyBorder="0" applyAlignment="0" applyProtection="0"/>
    <xf numFmtId="0" fontId="143" fillId="109" borderId="0" applyNumberFormat="0" applyBorder="0" applyAlignment="0" applyProtection="0"/>
    <xf numFmtId="0" fontId="143" fillId="109" borderId="0" applyNumberFormat="0" applyBorder="0" applyAlignment="0" applyProtection="0"/>
    <xf numFmtId="191" fontId="143" fillId="109" borderId="0" applyNumberFormat="0" applyBorder="0" applyAlignment="0" applyProtection="0"/>
    <xf numFmtId="0" fontId="10" fillId="8" borderId="0" applyNumberFormat="0" applyBorder="0" applyAlignment="0" applyProtection="0"/>
    <xf numFmtId="0" fontId="64"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0" fontId="65" fillId="29" borderId="0" applyNumberFormat="0" applyBorder="0" applyAlignment="0" applyProtection="0"/>
    <xf numFmtId="0" fontId="10" fillId="8" borderId="0" applyNumberFormat="0" applyBorder="0" applyAlignment="0" applyProtection="0"/>
    <xf numFmtId="0" fontId="39" fillId="8" borderId="0" applyNumberFormat="0" applyBorder="0" applyAlignment="0" applyProtection="0"/>
    <xf numFmtId="191" fontId="39" fillId="8"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109"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3" fillId="110" borderId="0" applyNumberFormat="0" applyBorder="0" applyAlignment="0" applyProtection="0"/>
    <xf numFmtId="0" fontId="64" fillId="46" borderId="0" applyNumberFormat="0" applyBorder="0" applyAlignment="0" applyProtection="0"/>
    <xf numFmtId="0" fontId="64" fillId="33" borderId="0" applyNumberFormat="0" applyBorder="0" applyAlignment="0" applyProtection="0"/>
    <xf numFmtId="0" fontId="39" fillId="34" borderId="0" applyNumberFormat="0" applyBorder="0" applyAlignment="0" applyProtection="0"/>
    <xf numFmtId="0" fontId="64" fillId="46"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191" fontId="143" fillId="30" borderId="0" applyNumberFormat="0" applyBorder="0" applyAlignment="0" applyProtection="0"/>
    <xf numFmtId="0" fontId="64" fillId="47" borderId="0" applyNumberFormat="0" applyBorder="0" applyAlignment="0" applyProtection="0"/>
    <xf numFmtId="0" fontId="10" fillId="34" borderId="0" applyNumberFormat="0" applyBorder="0" applyAlignment="0" applyProtection="0"/>
    <xf numFmtId="0" fontId="64"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0" fontId="65" fillId="33" borderId="0" applyNumberFormat="0" applyBorder="0" applyAlignment="0" applyProtection="0"/>
    <xf numFmtId="0" fontId="10" fillId="34" borderId="0" applyNumberFormat="0" applyBorder="0" applyAlignment="0" applyProtection="0"/>
    <xf numFmtId="0" fontId="39" fillId="34" borderId="0" applyNumberFormat="0" applyBorder="0" applyAlignment="0" applyProtection="0"/>
    <xf numFmtId="191" fontId="39" fillId="34"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3" fillId="111" borderId="0" applyNumberFormat="0" applyBorder="0" applyAlignment="0" applyProtection="0"/>
    <xf numFmtId="0" fontId="64" fillId="19" borderId="0" applyNumberFormat="0" applyBorder="0" applyAlignment="0" applyProtection="0"/>
    <xf numFmtId="0" fontId="64" fillId="9" borderId="0" applyNumberFormat="0" applyBorder="0" applyAlignment="0" applyProtection="0"/>
    <xf numFmtId="0" fontId="39" fillId="48" borderId="0" applyNumberFormat="0" applyBorder="0" applyAlignment="0" applyProtection="0"/>
    <xf numFmtId="0" fontId="64" fillId="19"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191" fontId="143" fillId="27" borderId="0" applyNumberFormat="0" applyBorder="0" applyAlignment="0" applyProtection="0"/>
    <xf numFmtId="0" fontId="64" fillId="49" borderId="0" applyNumberFormat="0" applyBorder="0" applyAlignment="0" applyProtection="0"/>
    <xf numFmtId="0" fontId="10" fillId="48" borderId="0" applyNumberFormat="0" applyBorder="0" applyAlignment="0" applyProtection="0"/>
    <xf numFmtId="0" fontId="64"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65"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91" fontId="39" fillId="48"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64" fillId="28" borderId="0" applyNumberFormat="0" applyBorder="0" applyAlignment="0" applyProtection="0"/>
    <xf numFmtId="0" fontId="64" fillId="50" borderId="0" applyNumberFormat="0" applyBorder="0" applyAlignment="0" applyProtection="0"/>
    <xf numFmtId="0" fontId="39" fillId="41" borderId="0" applyNumberFormat="0" applyBorder="0" applyAlignment="0" applyProtection="0"/>
    <xf numFmtId="0" fontId="64" fillId="28" borderId="0" applyNumberFormat="0" applyBorder="0" applyAlignment="0" applyProtection="0"/>
    <xf numFmtId="0" fontId="143" fillId="112" borderId="0" applyNumberFormat="0" applyBorder="0" applyAlignment="0" applyProtection="0"/>
    <xf numFmtId="0" fontId="143" fillId="112" borderId="0" applyNumberFormat="0" applyBorder="0" applyAlignment="0" applyProtection="0"/>
    <xf numFmtId="191" fontId="143" fillId="112" borderId="0" applyNumberFormat="0" applyBorder="0" applyAlignment="0" applyProtection="0"/>
    <xf numFmtId="0" fontId="10" fillId="41" borderId="0" applyNumberFormat="0" applyBorder="0" applyAlignment="0" applyProtection="0"/>
    <xf numFmtId="0" fontId="64"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65"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91" fontId="39" fillId="41"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112"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3" fillId="113" borderId="0" applyNumberFormat="0" applyBorder="0" applyAlignment="0" applyProtection="0"/>
    <xf numFmtId="0" fontId="64" fillId="39" borderId="0" applyNumberFormat="0" applyBorder="0" applyAlignment="0" applyProtection="0"/>
    <xf numFmtId="0" fontId="64" fillId="51" borderId="0" applyNumberFormat="0" applyBorder="0" applyAlignment="0" applyProtection="0"/>
    <xf numFmtId="0" fontId="39" fillId="52" borderId="0" applyNumberFormat="0" applyBorder="0" applyAlignment="0" applyProtection="0"/>
    <xf numFmtId="0" fontId="64" fillId="39"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191" fontId="143" fillId="8" borderId="0" applyNumberFormat="0" applyBorder="0" applyAlignment="0" applyProtection="0"/>
    <xf numFmtId="0" fontId="10" fillId="52" borderId="0" applyNumberFormat="0" applyBorder="0" applyAlignment="0" applyProtection="0"/>
    <xf numFmtId="0" fontId="64"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0" fontId="65" fillId="51" borderId="0" applyNumberFormat="0" applyBorder="0" applyAlignment="0" applyProtection="0"/>
    <xf numFmtId="0" fontId="10" fillId="52" borderId="0" applyNumberFormat="0" applyBorder="0" applyAlignment="0" applyProtection="0"/>
    <xf numFmtId="0" fontId="39" fillId="52" borderId="0" applyNumberFormat="0" applyBorder="0" applyAlignment="0" applyProtection="0"/>
    <xf numFmtId="191" fontId="39" fillId="52"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3" fillId="114"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39" fillId="55" borderId="0" applyNumberFormat="0" applyBorder="0" applyAlignment="0" applyProtection="0"/>
    <xf numFmtId="0" fontId="64" fillId="56"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191" fontId="143" fillId="41" borderId="0" applyNumberFormat="0" applyBorder="0" applyAlignment="0" applyProtection="0"/>
    <xf numFmtId="0" fontId="64" fillId="57" borderId="0" applyNumberFormat="0" applyBorder="0" applyAlignment="0" applyProtection="0"/>
    <xf numFmtId="0" fontId="10" fillId="55" borderId="0" applyNumberFormat="0" applyBorder="0" applyAlignment="0" applyProtection="0"/>
    <xf numFmtId="0" fontId="64"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0" fontId="65" fillId="54" borderId="0" applyNumberFormat="0" applyBorder="0" applyAlignment="0" applyProtection="0"/>
    <xf numFmtId="0" fontId="10" fillId="55" borderId="0" applyNumberFormat="0" applyBorder="0" applyAlignment="0" applyProtection="0"/>
    <xf numFmtId="0" fontId="39" fillId="55" borderId="0" applyNumberFormat="0" applyBorder="0" applyAlignment="0" applyProtection="0"/>
    <xf numFmtId="191" fontId="39" fillId="55"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41"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64" fillId="59" borderId="0" applyNumberFormat="0" applyBorder="0" applyAlignment="0" applyProtection="0"/>
    <xf numFmtId="0" fontId="64" fillId="60" borderId="0" applyNumberFormat="0" applyBorder="0" applyAlignment="0" applyProtection="0"/>
    <xf numFmtId="0" fontId="39" fillId="58" borderId="0" applyNumberFormat="0" applyBorder="0" applyAlignment="0" applyProtection="0"/>
    <xf numFmtId="0" fontId="64" fillId="59" borderId="0" applyNumberFormat="0" applyBorder="0" applyAlignment="0" applyProtection="0"/>
    <xf numFmtId="0" fontId="143" fillId="115" borderId="0" applyNumberFormat="0" applyBorder="0" applyAlignment="0" applyProtection="0"/>
    <xf numFmtId="0" fontId="143" fillId="115" borderId="0" applyNumberFormat="0" applyBorder="0" applyAlignment="0" applyProtection="0"/>
    <xf numFmtId="191" fontId="143" fillId="115" borderId="0" applyNumberFormat="0" applyBorder="0" applyAlignment="0" applyProtection="0"/>
    <xf numFmtId="0" fontId="64" fillId="61" borderId="0" applyNumberFormat="0" applyBorder="0" applyAlignment="0" applyProtection="0"/>
    <xf numFmtId="0" fontId="10" fillId="58" borderId="0" applyNumberFormat="0" applyBorder="0" applyAlignment="0" applyProtection="0"/>
    <xf numFmtId="0" fontId="64"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0" fontId="65" fillId="60" borderId="0" applyNumberFormat="0" applyBorder="0" applyAlignment="0" applyProtection="0"/>
    <xf numFmtId="0" fontId="10" fillId="58" borderId="0" applyNumberFormat="0" applyBorder="0" applyAlignment="0" applyProtection="0"/>
    <xf numFmtId="0" fontId="39" fillId="58" borderId="0" applyNumberFormat="0" applyBorder="0" applyAlignment="0" applyProtection="0"/>
    <xf numFmtId="191" fontId="39" fillId="58"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5"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64" fillId="63" borderId="0" applyNumberFormat="0" applyBorder="0" applyAlignment="0" applyProtection="0"/>
    <xf numFmtId="0" fontId="64" fillId="64" borderId="0" applyNumberFormat="0" applyBorder="0" applyAlignment="0" applyProtection="0"/>
    <xf numFmtId="0" fontId="39" fillId="62" borderId="0" applyNumberFormat="0" applyBorder="0" applyAlignment="0" applyProtection="0"/>
    <xf numFmtId="0" fontId="64" fillId="63" borderId="0" applyNumberFormat="0" applyBorder="0" applyAlignment="0" applyProtection="0"/>
    <xf numFmtId="0" fontId="143" fillId="116" borderId="0" applyNumberFormat="0" applyBorder="0" applyAlignment="0" applyProtection="0"/>
    <xf numFmtId="0" fontId="143" fillId="116" borderId="0" applyNumberFormat="0" applyBorder="0" applyAlignment="0" applyProtection="0"/>
    <xf numFmtId="191" fontId="143" fillId="116" borderId="0" applyNumberFormat="0" applyBorder="0" applyAlignment="0" applyProtection="0"/>
    <xf numFmtId="0" fontId="64" fillId="65" borderId="0" applyNumberFormat="0" applyBorder="0" applyAlignment="0" applyProtection="0"/>
    <xf numFmtId="0" fontId="10" fillId="62" borderId="0" applyNumberFormat="0" applyBorder="0" applyAlignment="0" applyProtection="0"/>
    <xf numFmtId="0" fontId="64"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0" fontId="65" fillId="64" borderId="0" applyNumberFormat="0" applyBorder="0" applyAlignment="0" applyProtection="0"/>
    <xf numFmtId="0" fontId="10" fillId="62" borderId="0" applyNumberFormat="0" applyBorder="0" applyAlignment="0" applyProtection="0"/>
    <xf numFmtId="0" fontId="39" fillId="62" borderId="0" applyNumberFormat="0" applyBorder="0" applyAlignment="0" applyProtection="0"/>
    <xf numFmtId="191" fontId="39" fillId="62"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11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3" fillId="117" borderId="0" applyNumberFormat="0" applyBorder="0" applyAlignment="0" applyProtection="0"/>
    <xf numFmtId="0" fontId="64" fillId="67" borderId="0" applyNumberFormat="0" applyBorder="0" applyAlignment="0" applyProtection="0"/>
    <xf numFmtId="0" fontId="64" fillId="9" borderId="0" applyNumberFormat="0" applyBorder="0" applyAlignment="0" applyProtection="0"/>
    <xf numFmtId="0" fontId="39" fillId="48" borderId="0" applyNumberFormat="0" applyBorder="0" applyAlignment="0" applyProtection="0"/>
    <xf numFmtId="0" fontId="64" fillId="67" borderId="0" applyNumberFormat="0" applyBorder="0" applyAlignment="0" applyProtection="0"/>
    <xf numFmtId="0" fontId="143" fillId="66" borderId="0" applyNumberFormat="0" applyBorder="0" applyAlignment="0" applyProtection="0"/>
    <xf numFmtId="0" fontId="143" fillId="66" borderId="0" applyNumberFormat="0" applyBorder="0" applyAlignment="0" applyProtection="0"/>
    <xf numFmtId="191" fontId="143" fillId="66" borderId="0" applyNumberFormat="0" applyBorder="0" applyAlignment="0" applyProtection="0"/>
    <xf numFmtId="0" fontId="64" fillId="68" borderId="0" applyNumberFormat="0" applyBorder="0" applyAlignment="0" applyProtection="0"/>
    <xf numFmtId="0" fontId="10" fillId="48" borderId="0" applyNumberFormat="0" applyBorder="0" applyAlignment="0" applyProtection="0"/>
    <xf numFmtId="0" fontId="64"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0" fontId="65" fillId="9" borderId="0" applyNumberFormat="0" applyBorder="0" applyAlignment="0" applyProtection="0"/>
    <xf numFmtId="0" fontId="10" fillId="48" borderId="0" applyNumberFormat="0" applyBorder="0" applyAlignment="0" applyProtection="0"/>
    <xf numFmtId="0" fontId="39" fillId="48" borderId="0" applyNumberFormat="0" applyBorder="0" applyAlignment="0" applyProtection="0"/>
    <xf numFmtId="191" fontId="39" fillId="48"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4" fillId="66" borderId="0" applyNumberFormat="0" applyBorder="0" applyAlignment="0" applyProtection="0"/>
    <xf numFmtId="0" fontId="143"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39" fillId="41" borderId="0" applyNumberFormat="0" applyBorder="0" applyAlignment="0" applyProtection="0"/>
    <xf numFmtId="0" fontId="64" fillId="50" borderId="0" applyNumberFormat="0" applyBorder="0" applyAlignment="0" applyProtection="0"/>
    <xf numFmtId="0" fontId="143" fillId="118" borderId="0" applyNumberFormat="0" applyBorder="0" applyAlignment="0" applyProtection="0"/>
    <xf numFmtId="0" fontId="143" fillId="118" borderId="0" applyNumberFormat="0" applyBorder="0" applyAlignment="0" applyProtection="0"/>
    <xf numFmtId="191" fontId="143" fillId="118" borderId="0" applyNumberFormat="0" applyBorder="0" applyAlignment="0" applyProtection="0"/>
    <xf numFmtId="0" fontId="10" fillId="41" borderId="0" applyNumberFormat="0" applyBorder="0" applyAlignment="0" applyProtection="0"/>
    <xf numFmtId="0" fontId="64"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0" fontId="65" fillId="50" borderId="0" applyNumberFormat="0" applyBorder="0" applyAlignment="0" applyProtection="0"/>
    <xf numFmtId="0" fontId="10" fillId="41" borderId="0" applyNumberFormat="0" applyBorder="0" applyAlignment="0" applyProtection="0"/>
    <xf numFmtId="0" fontId="39" fillId="41" borderId="0" applyNumberFormat="0" applyBorder="0" applyAlignment="0" applyProtection="0"/>
    <xf numFmtId="191" fontId="39" fillId="41"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8"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64" fillId="51" borderId="0" applyNumberFormat="0" applyBorder="0" applyAlignment="0" applyProtection="0"/>
    <xf numFmtId="0" fontId="64" fillId="69" borderId="0" applyNumberFormat="0" applyBorder="0" applyAlignment="0" applyProtection="0"/>
    <xf numFmtId="0" fontId="39" fillId="45" borderId="0" applyNumberFormat="0" applyBorder="0" applyAlignment="0" applyProtection="0"/>
    <xf numFmtId="0" fontId="64" fillId="51" borderId="0" applyNumberFormat="0" applyBorder="0" applyAlignment="0" applyProtection="0"/>
    <xf numFmtId="0" fontId="143" fillId="119" borderId="0" applyNumberFormat="0" applyBorder="0" applyAlignment="0" applyProtection="0"/>
    <xf numFmtId="0" fontId="143" fillId="119" borderId="0" applyNumberFormat="0" applyBorder="0" applyAlignment="0" applyProtection="0"/>
    <xf numFmtId="191" fontId="143" fillId="119" borderId="0" applyNumberFormat="0" applyBorder="0" applyAlignment="0" applyProtection="0"/>
    <xf numFmtId="0" fontId="64" fillId="70" borderId="0" applyNumberFormat="0" applyBorder="0" applyAlignment="0" applyProtection="0"/>
    <xf numFmtId="0" fontId="10" fillId="45" borderId="0" applyNumberFormat="0" applyBorder="0" applyAlignment="0" applyProtection="0"/>
    <xf numFmtId="0" fontId="64"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0" fontId="65" fillId="69" borderId="0" applyNumberFormat="0" applyBorder="0" applyAlignment="0" applyProtection="0"/>
    <xf numFmtId="0" fontId="10" fillId="45" borderId="0" applyNumberFormat="0" applyBorder="0" applyAlignment="0" applyProtection="0"/>
    <xf numFmtId="0" fontId="39" fillId="45" borderId="0" applyNumberFormat="0" applyBorder="0" applyAlignment="0" applyProtection="0"/>
    <xf numFmtId="191" fontId="39" fillId="45"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4" fillId="119"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66" fillId="71" borderId="0" applyNumberFormat="0" applyBorder="0" applyAlignment="0" applyProtection="0"/>
    <xf numFmtId="0" fontId="67" fillId="10" borderId="0" applyNumberFormat="0" applyBorder="0" applyAlignment="0" applyProtection="0"/>
    <xf numFmtId="0" fontId="40" fillId="11" borderId="0" applyNumberFormat="0" applyBorder="0" applyAlignment="0" applyProtection="0"/>
    <xf numFmtId="0" fontId="66" fillId="71" borderId="0" applyNumberFormat="0" applyBorder="0" applyAlignment="0" applyProtection="0"/>
    <xf numFmtId="0" fontId="145" fillId="120" borderId="0" applyNumberFormat="0" applyBorder="0" applyAlignment="0" applyProtection="0"/>
    <xf numFmtId="0" fontId="145" fillId="120" borderId="0" applyNumberFormat="0" applyBorder="0" applyAlignment="0" applyProtection="0"/>
    <xf numFmtId="191" fontId="145" fillId="120" borderId="0" applyNumberFormat="0" applyBorder="0" applyAlignment="0" applyProtection="0"/>
    <xf numFmtId="0" fontId="66" fillId="72" borderId="0" applyNumberFormat="0" applyBorder="0" applyAlignment="0" applyProtection="0"/>
    <xf numFmtId="0" fontId="67" fillId="10" borderId="0" applyNumberFormat="0" applyBorder="0" applyAlignment="0" applyProtection="0"/>
    <xf numFmtId="0" fontId="119" fillId="11" borderId="0" applyNumberFormat="0" applyBorder="0" applyAlignment="0" applyProtection="0"/>
    <xf numFmtId="0" fontId="40" fillId="11" borderId="0" applyNumberFormat="0" applyBorder="0" applyAlignment="0" applyProtection="0"/>
    <xf numFmtId="0" fontId="68" fillId="10" borderId="0" applyNumberFormat="0" applyBorder="0" applyAlignment="0" applyProtection="0"/>
    <xf numFmtId="0" fontId="119" fillId="11" borderId="0" applyNumberFormat="0" applyBorder="0" applyAlignment="0" applyProtection="0"/>
    <xf numFmtId="0" fontId="40" fillId="11" borderId="0" applyNumberFormat="0" applyBorder="0" applyAlignment="0" applyProtection="0"/>
    <xf numFmtId="191" fontId="40" fillId="11"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6" fillId="120" borderId="0" applyNumberFormat="0" applyBorder="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8" fillId="121" borderId="161" applyNumberFormat="0" applyAlignment="0" applyProtection="0"/>
    <xf numFmtId="0" fontId="69" fillId="73" borderId="2" applyNumberFormat="0" applyAlignment="0" applyProtection="0"/>
    <xf numFmtId="0" fontId="70" fillId="74" borderId="1" applyNumberFormat="0" applyAlignment="0" applyProtection="0"/>
    <xf numFmtId="0" fontId="110" fillId="27" borderId="1" applyNumberFormat="0" applyAlignment="0" applyProtection="0"/>
    <xf numFmtId="0" fontId="69" fillId="73" borderId="2" applyNumberFormat="0" applyAlignment="0" applyProtection="0"/>
    <xf numFmtId="0" fontId="148" fillId="3" borderId="161" applyNumberFormat="0" applyAlignment="0" applyProtection="0"/>
    <xf numFmtId="0" fontId="148" fillId="3" borderId="161" applyNumberFormat="0" applyAlignment="0" applyProtection="0"/>
    <xf numFmtId="191" fontId="148" fillId="3" borderId="161" applyNumberFormat="0" applyAlignment="0" applyProtection="0"/>
    <xf numFmtId="0" fontId="132" fillId="75" borderId="3" applyNumberFormat="0" applyAlignment="0" applyProtection="0"/>
    <xf numFmtId="0" fontId="70" fillId="74" borderId="1" applyNumberFormat="0" applyAlignment="0" applyProtection="0"/>
    <xf numFmtId="0" fontId="120" fillId="27" borderId="1" applyNumberFormat="0" applyAlignment="0" applyProtection="0"/>
    <xf numFmtId="0" fontId="110" fillId="27" borderId="1" applyNumberFormat="0" applyAlignment="0" applyProtection="0"/>
    <xf numFmtId="0" fontId="71" fillId="74" borderId="1" applyNumberFormat="0" applyAlignment="0" applyProtection="0"/>
    <xf numFmtId="0" fontId="120" fillId="27" borderId="1" applyNumberFormat="0" applyAlignment="0" applyProtection="0"/>
    <xf numFmtId="0" fontId="110" fillId="27" borderId="1" applyNumberFormat="0" applyAlignment="0" applyProtection="0"/>
    <xf numFmtId="191" fontId="110" fillId="27" borderId="1" applyNumberFormat="0" applyAlignment="0" applyProtection="0"/>
    <xf numFmtId="0" fontId="147" fillId="3" borderId="161" applyNumberFormat="0" applyAlignment="0" applyProtection="0"/>
    <xf numFmtId="0" fontId="147" fillId="3" borderId="161" applyNumberFormat="0" applyAlignment="0" applyProtection="0"/>
    <xf numFmtId="0" fontId="147" fillId="3" borderId="161" applyNumberFormat="0" applyAlignment="0" applyProtection="0"/>
    <xf numFmtId="0" fontId="149"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0" fontId="72" fillId="43" borderId="4" applyNumberFormat="0" applyAlignment="0" applyProtection="0"/>
    <xf numFmtId="0" fontId="72" fillId="77" borderId="4" applyNumberFormat="0" applyAlignment="0" applyProtection="0"/>
    <xf numFmtId="0" fontId="41" fillId="76" borderId="4" applyNumberFormat="0" applyAlignment="0" applyProtection="0"/>
    <xf numFmtId="0" fontId="72" fillId="43" borderId="4" applyNumberFormat="0" applyAlignment="0" applyProtection="0"/>
    <xf numFmtId="0" fontId="149" fillId="122" borderId="162" applyNumberFormat="0" applyAlignment="0" applyProtection="0"/>
    <xf numFmtId="0" fontId="149" fillId="122" borderId="162" applyNumberFormat="0" applyAlignment="0" applyProtection="0"/>
    <xf numFmtId="191" fontId="149" fillId="122" borderId="162" applyNumberFormat="0" applyAlignment="0" applyProtection="0"/>
    <xf numFmtId="0" fontId="72" fillId="78" borderId="4" applyNumberFormat="0" applyAlignment="0" applyProtection="0"/>
    <xf numFmtId="0" fontId="72" fillId="77" borderId="4" applyNumberFormat="0" applyAlignment="0" applyProtection="0"/>
    <xf numFmtId="0" fontId="19" fillId="76" borderId="4" applyNumberFormat="0" applyAlignment="0" applyProtection="0"/>
    <xf numFmtId="0" fontId="41" fillId="76" borderId="4" applyNumberFormat="0" applyAlignment="0" applyProtection="0"/>
    <xf numFmtId="0" fontId="73" fillId="77" borderId="4" applyNumberFormat="0" applyAlignment="0" applyProtection="0"/>
    <xf numFmtId="0" fontId="19" fillId="76" borderId="4" applyNumberFormat="0" applyAlignment="0" applyProtection="0"/>
    <xf numFmtId="0" fontId="41" fillId="76" borderId="4" applyNumberFormat="0" applyAlignment="0" applyProtection="0"/>
    <xf numFmtId="191" fontId="41" fillId="76" borderId="4" applyNumberFormat="0" applyAlignment="0" applyProtection="0"/>
    <xf numFmtId="0" fontId="150" fillId="122" borderId="162" applyNumberFormat="0" applyAlignment="0" applyProtection="0"/>
    <xf numFmtId="0" fontId="150" fillId="122" borderId="162" applyNumberFormat="0" applyAlignment="0" applyProtection="0"/>
    <xf numFmtId="0" fontId="150" fillId="122" borderId="162" applyNumberFormat="0" applyAlignment="0" applyProtection="0"/>
    <xf numFmtId="43" fontId="2"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8"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118" fillId="0" borderId="0" applyFont="0" applyFill="0" applyBorder="0" applyAlignment="0" applyProtection="0"/>
    <xf numFmtId="184" fontId="74" fillId="0" borderId="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84" fontId="74" fillId="0" borderId="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79" fontId="37" fillId="0" borderId="0" applyFill="0" applyBorder="0" applyAlignment="0" applyProtection="0"/>
    <xf numFmtId="179" fontId="37" fillId="0" borderId="0" applyFill="0" applyBorder="0" applyAlignment="0" applyProtection="0"/>
    <xf numFmtId="168" fontId="49" fillId="0" borderId="0" applyFont="0" applyFill="0" applyBorder="0" applyAlignment="0" applyProtection="0"/>
    <xf numFmtId="168" fontId="1" fillId="0" borderId="0" applyFont="0" applyFill="0" applyBorder="0" applyAlignment="0" applyProtection="0"/>
    <xf numFmtId="184" fontId="37" fillId="0" borderId="0" applyFill="0" applyBorder="0" applyAlignment="0" applyProtection="0"/>
    <xf numFmtId="168" fontId="49" fillId="0" borderId="0" applyFont="0" applyFill="0" applyBorder="0" applyAlignment="0" applyProtection="0"/>
    <xf numFmtId="179" fontId="37" fillId="0" borderId="0" applyFill="0" applyBorder="0" applyAlignment="0" applyProtection="0"/>
    <xf numFmtId="168" fontId="7" fillId="0" borderId="0" applyFont="0" applyFill="0" applyBorder="0" applyAlignment="0" applyProtection="0"/>
    <xf numFmtId="184" fontId="37" fillId="0" borderId="0" applyFill="0" applyBorder="0" applyAlignment="0" applyProtection="0"/>
    <xf numFmtId="168" fontId="7" fillId="0" borderId="0" applyFont="0" applyFill="0" applyBorder="0" applyAlignment="0" applyProtection="0"/>
    <xf numFmtId="168" fontId="49" fillId="0" borderId="0" applyFont="0" applyFill="0" applyBorder="0" applyAlignment="0" applyProtection="0"/>
    <xf numFmtId="168" fontId="1" fillId="0" borderId="0" applyFont="0" applyFill="0" applyBorder="0" applyAlignment="0" applyProtection="0"/>
    <xf numFmtId="168" fontId="49"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49" fillId="0" borderId="0" applyFont="0" applyFill="0" applyBorder="0" applyAlignment="0" applyProtection="0"/>
    <xf numFmtId="168" fontId="49" fillId="0" borderId="0" applyFont="0" applyFill="0" applyBorder="0" applyAlignment="0" applyProtection="0"/>
    <xf numFmtId="168" fontId="1" fillId="0" borderId="0" applyFont="0" applyFill="0" applyBorder="0" applyAlignment="0" applyProtection="0"/>
    <xf numFmtId="179" fontId="37" fillId="0" borderId="0" applyFill="0" applyBorder="0" applyAlignment="0" applyProtection="0"/>
    <xf numFmtId="179" fontId="37" fillId="0" borderId="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4" fontId="37" fillId="0" borderId="0" applyFill="0" applyBorder="0" applyAlignment="0" applyProtection="0"/>
    <xf numFmtId="168" fontId="49" fillId="0" borderId="0" applyFont="0" applyFill="0" applyBorder="0" applyAlignment="0" applyProtection="0"/>
    <xf numFmtId="168" fontId="1" fillId="0" borderId="0" applyFont="0" applyFill="0" applyBorder="0" applyAlignment="0" applyProtection="0"/>
    <xf numFmtId="168" fontId="49" fillId="0" borderId="0" applyFont="0" applyFill="0" applyBorder="0" applyAlignment="0" applyProtection="0"/>
    <xf numFmtId="184" fontId="74" fillId="0" borderId="0" applyFill="0" applyBorder="0" applyAlignment="0" applyProtection="0"/>
    <xf numFmtId="179" fontId="37" fillId="0" borderId="0" applyFill="0" applyBorder="0" applyAlignment="0" applyProtection="0"/>
    <xf numFmtId="179" fontId="37" fillId="0" borderId="0" applyFill="0" applyBorder="0" applyAlignment="0" applyProtection="0"/>
    <xf numFmtId="168" fontId="7" fillId="0" borderId="0" applyFont="0" applyFill="0" applyBorder="0" applyAlignment="0" applyProtection="0"/>
    <xf numFmtId="184" fontId="37" fillId="0" borderId="0" applyFill="0" applyBorder="0" applyAlignment="0" applyProtection="0"/>
    <xf numFmtId="168" fontId="49" fillId="0" borderId="0" applyFont="0" applyFill="0" applyBorder="0" applyAlignment="0" applyProtection="0"/>
    <xf numFmtId="168" fontId="7" fillId="0" borderId="0" applyFont="0" applyFill="0" applyBorder="0" applyAlignment="0" applyProtection="0"/>
    <xf numFmtId="168" fontId="49" fillId="0" borderId="0" applyFont="0" applyFill="0" applyBorder="0" applyAlignment="0" applyProtection="0"/>
    <xf numFmtId="184" fontId="74" fillId="0" borderId="0" applyFill="0" applyBorder="0" applyAlignment="0" applyProtection="0"/>
    <xf numFmtId="179" fontId="37" fillId="0" borderId="0" applyFill="0" applyBorder="0" applyAlignment="0" applyProtection="0"/>
    <xf numFmtId="168" fontId="7" fillId="0" borderId="0" applyFont="0" applyFill="0" applyBorder="0" applyAlignment="0" applyProtection="0"/>
    <xf numFmtId="168" fontId="49" fillId="0" borderId="0" applyFont="0" applyFill="0" applyBorder="0" applyAlignment="0" applyProtection="0"/>
    <xf numFmtId="179" fontId="37" fillId="0" borderId="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49" fillId="0" borderId="0" applyFont="0" applyFill="0" applyBorder="0" applyAlignment="0" applyProtection="0"/>
    <xf numFmtId="184" fontId="37" fillId="0" borderId="0" applyFill="0" applyBorder="0" applyAlignment="0" applyProtection="0"/>
    <xf numFmtId="184" fontId="37" fillId="0" borderId="0" applyFill="0" applyBorder="0" applyAlignment="0" applyProtection="0"/>
    <xf numFmtId="168" fontId="49" fillId="0" borderId="0" applyFont="0" applyFill="0" applyBorder="0" applyAlignment="0" applyProtection="0"/>
    <xf numFmtId="168" fontId="2" fillId="0" borderId="0" applyFont="0" applyFill="0" applyBorder="0" applyAlignment="0" applyProtection="0"/>
    <xf numFmtId="168" fontId="49" fillId="0" borderId="0" applyFont="0" applyFill="0" applyBorder="0" applyAlignment="0" applyProtection="0"/>
    <xf numFmtId="184" fontId="37" fillId="0" borderId="0" applyFill="0" applyBorder="0" applyAlignment="0" applyProtection="0"/>
    <xf numFmtId="184" fontId="37" fillId="0" borderId="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3" fontId="74" fillId="0" borderId="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37" fillId="0" borderId="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185" fontId="74" fillId="0" borderId="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86" fontId="37" fillId="0" borderId="0" applyFill="0" applyBorder="0" applyAlignment="0" applyProtection="0"/>
    <xf numFmtId="186" fontId="37" fillId="0" borderId="0" applyFill="0" applyBorder="0" applyAlignment="0" applyProtection="0"/>
    <xf numFmtId="167" fontId="49" fillId="0" borderId="0" applyFont="0" applyFill="0" applyBorder="0" applyAlignment="0" applyProtection="0"/>
    <xf numFmtId="167" fontId="1" fillId="0" borderId="0" applyFont="0" applyFill="0" applyBorder="0" applyAlignment="0" applyProtection="0"/>
    <xf numFmtId="185" fontId="37" fillId="0" borderId="0" applyFill="0" applyBorder="0" applyAlignment="0" applyProtection="0"/>
    <xf numFmtId="167" fontId="49" fillId="0" borderId="0" applyFont="0" applyFill="0" applyBorder="0" applyAlignment="0" applyProtection="0"/>
    <xf numFmtId="186" fontId="37" fillId="0" borderId="0" applyFill="0" applyBorder="0" applyAlignment="0" applyProtection="0"/>
    <xf numFmtId="167" fontId="7" fillId="0" borderId="0" applyFont="0" applyFill="0" applyBorder="0" applyAlignment="0" applyProtection="0"/>
    <xf numFmtId="185" fontId="37" fillId="0" borderId="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49" fillId="0" borderId="0" applyFont="0" applyFill="0" applyBorder="0" applyAlignment="0" applyProtection="0"/>
    <xf numFmtId="185" fontId="74" fillId="0" borderId="0" applyFill="0" applyBorder="0" applyAlignment="0" applyProtection="0"/>
    <xf numFmtId="186" fontId="37" fillId="0" borderId="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6" fontId="37" fillId="0" borderId="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7" fillId="0" borderId="0" applyFont="0" applyFill="0" applyBorder="0" applyAlignment="0" applyProtection="0"/>
    <xf numFmtId="185" fontId="37" fillId="0" borderId="0" applyFill="0" applyBorder="0" applyAlignment="0" applyProtection="0"/>
    <xf numFmtId="167" fontId="7" fillId="0" borderId="0" applyFont="0" applyFill="0" applyBorder="0" applyAlignment="0" applyProtection="0"/>
    <xf numFmtId="167" fontId="49" fillId="0" borderId="0" applyFont="0" applyFill="0" applyBorder="0" applyAlignment="0" applyProtection="0"/>
    <xf numFmtId="0" fontId="37" fillId="0" borderId="0" applyNumberForma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87" fontId="74" fillId="0" borderId="0" applyFill="0" applyBorder="0" applyAlignment="0" applyProtection="0"/>
    <xf numFmtId="187" fontId="37" fillId="0" borderId="0" applyFill="0" applyBorder="0" applyAlignment="0" applyProtection="0"/>
    <xf numFmtId="164" fontId="7" fillId="0" borderId="0" applyFont="0" applyFill="0" applyBorder="0" applyAlignment="0" applyProtection="0"/>
    <xf numFmtId="187" fontId="37" fillId="0" borderId="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4" fontId="74" fillId="0" borderId="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37" fillId="0" borderId="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0" fontId="78" fillId="15" borderId="0" applyNumberFormat="0" applyBorder="0" applyAlignment="0" applyProtection="0"/>
    <xf numFmtId="0" fontId="134" fillId="79" borderId="0" applyNumberFormat="0" applyBorder="0" applyAlignment="0" applyProtection="0"/>
    <xf numFmtId="0" fontId="61" fillId="0" borderId="0"/>
    <xf numFmtId="0" fontId="151"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42" fillId="0" borderId="0" applyNumberFormat="0" applyFill="0" applyBorder="0" applyAlignment="0" applyProtection="0"/>
    <xf numFmtId="0" fontId="75"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191" fontId="151" fillId="0" borderId="0" applyNumberFormat="0" applyFill="0" applyBorder="0" applyAlignment="0" applyProtection="0"/>
    <xf numFmtId="0" fontId="133" fillId="0" borderId="0" applyNumberFormat="0" applyFill="0" applyBorder="0" applyAlignment="0" applyProtection="0"/>
    <xf numFmtId="0" fontId="76" fillId="0" borderId="0" applyNumberFormat="0" applyFill="0" applyBorder="0" applyAlignment="0" applyProtection="0"/>
    <xf numFmtId="0" fontId="121" fillId="0" borderId="0" applyNumberFormat="0" applyFill="0" applyBorder="0" applyAlignment="0" applyProtection="0"/>
    <xf numFmtId="0" fontId="42" fillId="0" borderId="0" applyNumberFormat="0" applyFill="0" applyBorder="0" applyAlignment="0" applyProtection="0"/>
    <xf numFmtId="0" fontId="77" fillId="0" borderId="0" applyNumberFormat="0" applyFill="0" applyBorder="0" applyAlignment="0" applyProtection="0"/>
    <xf numFmtId="0" fontId="121" fillId="0" borderId="0" applyNumberFormat="0" applyFill="0" applyBorder="0" applyAlignment="0" applyProtection="0"/>
    <xf numFmtId="0" fontId="42" fillId="0" borderId="0" applyNumberFormat="0" applyFill="0" applyBorder="0" applyAlignment="0" applyProtection="0"/>
    <xf numFmtId="191" fontId="4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2" fillId="0" borderId="0" applyNumberFormat="0" applyFill="0" applyBorder="0" applyAlignment="0" applyProtection="0"/>
    <xf numFmtId="0" fontId="153" fillId="3" borderId="163" applyNumberFormat="0" applyAlignment="0" applyProtection="0">
      <alignment horizontal="right" vertical="center"/>
    </xf>
    <xf numFmtId="0" fontId="154" fillId="80" borderId="163" applyNumberFormat="0">
      <alignment horizontal="center" vertical="center"/>
    </xf>
    <xf numFmtId="2" fontId="74" fillId="0" borderId="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37" fillId="0" borderId="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0" fontId="155" fillId="0" borderId="0" applyNumberFormat="0" applyFill="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78" fillId="81" borderId="0" applyNumberFormat="0" applyBorder="0" applyAlignment="0" applyProtection="0"/>
    <xf numFmtId="0" fontId="78" fillId="15" borderId="0" applyNumberFormat="0" applyBorder="0" applyAlignment="0" applyProtection="0"/>
    <xf numFmtId="0" fontId="43" fillId="16" borderId="0" applyNumberFormat="0" applyBorder="0" applyAlignment="0" applyProtection="0"/>
    <xf numFmtId="0" fontId="78" fillId="81" borderId="0" applyNumberFormat="0" applyBorder="0" applyAlignment="0" applyProtection="0"/>
    <xf numFmtId="0" fontId="156" fillId="123" borderId="0" applyNumberFormat="0" applyBorder="0" applyAlignment="0" applyProtection="0"/>
    <xf numFmtId="0" fontId="156" fillId="123" borderId="0" applyNumberFormat="0" applyBorder="0" applyAlignment="0" applyProtection="0"/>
    <xf numFmtId="191" fontId="156" fillId="123" borderId="0" applyNumberFormat="0" applyBorder="0" applyAlignment="0" applyProtection="0"/>
    <xf numFmtId="0" fontId="134" fillId="82" borderId="0" applyNumberFormat="0" applyBorder="0" applyAlignment="0" applyProtection="0"/>
    <xf numFmtId="0" fontId="78" fillId="15" borderId="0" applyNumberFormat="0" applyBorder="0" applyAlignment="0" applyProtection="0"/>
    <xf numFmtId="0" fontId="122" fillId="16" borderId="0" applyNumberFormat="0" applyBorder="0" applyAlignment="0" applyProtection="0"/>
    <xf numFmtId="0" fontId="43" fillId="16" borderId="0" applyNumberFormat="0" applyBorder="0" applyAlignment="0" applyProtection="0"/>
    <xf numFmtId="0" fontId="79" fillId="15" borderId="0" applyNumberFormat="0" applyBorder="0" applyAlignment="0" applyProtection="0"/>
    <xf numFmtId="0" fontId="122" fillId="16" borderId="0" applyNumberFormat="0" applyBorder="0" applyAlignment="0" applyProtection="0"/>
    <xf numFmtId="0" fontId="43" fillId="16" borderId="0" applyNumberFormat="0" applyBorder="0" applyAlignment="0" applyProtection="0"/>
    <xf numFmtId="191" fontId="43" fillId="16"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157" fillId="123"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38" fontId="13" fillId="83" borderId="0" applyNumberFormat="0" applyBorder="0" applyAlignment="0" applyProtection="0"/>
    <xf numFmtId="38" fontId="13" fillId="83" borderId="0" applyNumberFormat="0" applyBorder="0" applyAlignment="0" applyProtection="0"/>
    <xf numFmtId="0" fontId="80" fillId="84" borderId="0" applyNumberFormat="0" applyBorder="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59" fillId="0" borderId="164" applyNumberFormat="0" applyFill="0" applyAlignment="0" applyProtection="0"/>
    <xf numFmtId="0" fontId="81" fillId="0" borderId="6" applyNumberFormat="0" applyFill="0" applyAlignment="0" applyProtection="0"/>
    <xf numFmtId="0" fontId="81" fillId="0" borderId="6" applyNumberFormat="0" applyFill="0" applyAlignment="0" applyProtection="0"/>
    <xf numFmtId="0" fontId="158" fillId="0" borderId="5" applyNumberFormat="0" applyFill="0" applyAlignment="0" applyProtection="0"/>
    <xf numFmtId="0" fontId="82" fillId="0" borderId="7" applyNumberFormat="0" applyFill="0" applyAlignment="0" applyProtection="0"/>
    <xf numFmtId="0" fontId="111" fillId="0" borderId="7" applyNumberFormat="0" applyFill="0" applyAlignment="0" applyProtection="0"/>
    <xf numFmtId="0" fontId="158" fillId="0" borderId="5" applyNumberFormat="0" applyFill="0" applyAlignment="0" applyProtection="0"/>
    <xf numFmtId="191" fontId="158" fillId="0" borderId="5" applyNumberFormat="0" applyFill="0" applyAlignment="0" applyProtection="0"/>
    <xf numFmtId="0" fontId="37" fillId="0" borderId="0" applyNumberFormat="0" applyFill="0" applyAlignment="0" applyProtection="0"/>
    <xf numFmtId="0" fontId="108" fillId="0" borderId="0" applyNumberFormat="0" applyFont="0" applyFill="0" applyAlignment="0" applyProtection="0"/>
    <xf numFmtId="0" fontId="82" fillId="0" borderId="7" applyNumberFormat="0" applyFill="0" applyAlignment="0" applyProtection="0"/>
    <xf numFmtId="0" fontId="124" fillId="0" borderId="7" applyNumberFormat="0" applyFill="0" applyAlignment="0" applyProtection="0"/>
    <xf numFmtId="0" fontId="111" fillId="0" borderId="7" applyNumberFormat="0" applyFill="0" applyAlignment="0" applyProtection="0"/>
    <xf numFmtId="0" fontId="108" fillId="0" borderId="0" applyNumberFormat="0" applyFont="0" applyFill="0" applyAlignment="0" applyProtection="0"/>
    <xf numFmtId="0" fontId="111" fillId="0" borderId="7" applyNumberFormat="0" applyFill="0" applyAlignment="0" applyProtection="0"/>
    <xf numFmtId="191" fontId="111" fillId="0" borderId="7" applyNumberFormat="0" applyFill="0" applyAlignment="0" applyProtection="0"/>
    <xf numFmtId="0" fontId="123" fillId="0" borderId="5" applyNumberFormat="0" applyFill="0" applyAlignment="0" applyProtection="0"/>
    <xf numFmtId="0" fontId="123" fillId="0" borderId="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61" fillId="0" borderId="165" applyNumberFormat="0" applyFill="0" applyAlignment="0" applyProtection="0"/>
    <xf numFmtId="0" fontId="83" fillId="0" borderId="9" applyNumberFormat="0" applyFill="0" applyAlignment="0" applyProtection="0"/>
    <xf numFmtId="0" fontId="83" fillId="0" borderId="9" applyNumberFormat="0" applyFill="0" applyAlignment="0" applyProtection="0"/>
    <xf numFmtId="0" fontId="160" fillId="0" borderId="165" applyNumberFormat="0" applyFill="0" applyAlignment="0" applyProtection="0"/>
    <xf numFmtId="0" fontId="84" fillId="0" borderId="8" applyNumberFormat="0" applyFill="0" applyAlignment="0" applyProtection="0"/>
    <xf numFmtId="0" fontId="112" fillId="0" borderId="8" applyNumberFormat="0" applyFill="0" applyAlignment="0" applyProtection="0"/>
    <xf numFmtId="0" fontId="160" fillId="0" borderId="165" applyNumberFormat="0" applyFill="0" applyAlignment="0" applyProtection="0"/>
    <xf numFmtId="191" fontId="160" fillId="0" borderId="165" applyNumberFormat="0" applyFill="0" applyAlignment="0" applyProtection="0"/>
    <xf numFmtId="0" fontId="37" fillId="0" borderId="0" applyNumberFormat="0" applyFill="0" applyAlignment="0" applyProtection="0"/>
    <xf numFmtId="0" fontId="109" fillId="0" borderId="0" applyNumberFormat="0" applyFont="0" applyFill="0" applyAlignment="0" applyProtection="0"/>
    <xf numFmtId="0" fontId="84" fillId="0" borderId="8" applyNumberFormat="0" applyFill="0" applyAlignment="0" applyProtection="0"/>
    <xf numFmtId="0" fontId="126" fillId="0" borderId="8" applyNumberFormat="0" applyFill="0" applyAlignment="0" applyProtection="0"/>
    <xf numFmtId="0" fontId="112" fillId="0" borderId="8" applyNumberFormat="0" applyFill="0" applyAlignment="0" applyProtection="0"/>
    <xf numFmtId="0" fontId="109" fillId="0" borderId="0" applyNumberFormat="0" applyFont="0" applyFill="0" applyAlignment="0" applyProtection="0"/>
    <xf numFmtId="0" fontId="112" fillId="0" borderId="8" applyNumberFormat="0" applyFill="0" applyAlignment="0" applyProtection="0"/>
    <xf numFmtId="191" fontId="112" fillId="0" borderId="8" applyNumberFormat="0" applyFill="0" applyAlignment="0" applyProtection="0"/>
    <xf numFmtId="0" fontId="125" fillId="0" borderId="165" applyNumberFormat="0" applyFill="0" applyAlignment="0" applyProtection="0"/>
    <xf numFmtId="0" fontId="125" fillId="0" borderId="165"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63" fillId="0" borderId="166" applyNumberFormat="0" applyFill="0" applyAlignment="0" applyProtection="0"/>
    <xf numFmtId="0" fontId="85" fillId="0" borderId="11" applyNumberFormat="0" applyFill="0" applyAlignment="0" applyProtection="0"/>
    <xf numFmtId="0" fontId="86" fillId="0" borderId="12" applyNumberFormat="0" applyFill="0" applyAlignment="0" applyProtection="0"/>
    <xf numFmtId="0" fontId="113" fillId="0" borderId="13" applyNumberFormat="0" applyFill="0" applyAlignment="0" applyProtection="0"/>
    <xf numFmtId="0" fontId="85" fillId="0" borderId="11" applyNumberFormat="0" applyFill="0" applyAlignment="0" applyProtection="0"/>
    <xf numFmtId="0" fontId="162" fillId="0" borderId="10" applyNumberFormat="0" applyFill="0" applyAlignment="0" applyProtection="0"/>
    <xf numFmtId="0" fontId="162" fillId="0" borderId="10" applyNumberFormat="0" applyFill="0" applyAlignment="0" applyProtection="0"/>
    <xf numFmtId="191" fontId="162" fillId="0" borderId="10" applyNumberFormat="0" applyFill="0" applyAlignment="0" applyProtection="0"/>
    <xf numFmtId="0" fontId="86" fillId="0" borderId="12" applyNumberFormat="0" applyFill="0" applyAlignment="0" applyProtection="0"/>
    <xf numFmtId="0" fontId="128" fillId="0" borderId="13" applyNumberFormat="0" applyFill="0" applyAlignment="0" applyProtection="0"/>
    <xf numFmtId="0" fontId="113" fillId="0" borderId="13" applyNumberFormat="0" applyFill="0" applyAlignment="0" applyProtection="0"/>
    <xf numFmtId="0" fontId="87" fillId="0" borderId="12" applyNumberFormat="0" applyFill="0" applyAlignment="0" applyProtection="0"/>
    <xf numFmtId="0" fontId="128" fillId="0" borderId="13" applyNumberFormat="0" applyFill="0" applyAlignment="0" applyProtection="0"/>
    <xf numFmtId="0" fontId="113" fillId="0" borderId="13" applyNumberFormat="0" applyFill="0" applyAlignment="0" applyProtection="0"/>
    <xf numFmtId="191" fontId="113" fillId="0" borderId="13"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10" applyNumberFormat="0" applyFill="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63"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113" fillId="0" borderId="0" applyNumberFormat="0" applyFill="0" applyBorder="0" applyAlignment="0" applyProtection="0"/>
    <xf numFmtId="0" fontId="85"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191" fontId="162" fillId="0" borderId="0" applyNumberFormat="0" applyFill="0" applyBorder="0" applyAlignment="0" applyProtection="0"/>
    <xf numFmtId="0" fontId="86" fillId="0" borderId="0" applyNumberFormat="0" applyFill="0" applyBorder="0" applyAlignment="0" applyProtection="0"/>
    <xf numFmtId="0" fontId="128" fillId="0" borderId="0" applyNumberFormat="0" applyFill="0" applyBorder="0" applyAlignment="0" applyProtection="0"/>
    <xf numFmtId="0" fontId="113" fillId="0" borderId="0" applyNumberFormat="0" applyFill="0" applyBorder="0" applyAlignment="0" applyProtection="0"/>
    <xf numFmtId="0" fontId="87" fillId="0" borderId="0" applyNumberFormat="0" applyFill="0" applyBorder="0" applyAlignment="0" applyProtection="0"/>
    <xf numFmtId="0" fontId="128" fillId="0" borderId="0" applyNumberFormat="0" applyFill="0" applyBorder="0" applyAlignment="0" applyProtection="0"/>
    <xf numFmtId="0" fontId="113" fillId="0" borderId="0" applyNumberFormat="0" applyFill="0" applyBorder="0" applyAlignment="0" applyProtection="0"/>
    <xf numFmtId="191" fontId="113"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88" fillId="0" borderId="0" applyNumberFormat="0" applyFill="0" applyBorder="0" applyAlignment="0" applyProtection="0"/>
    <xf numFmtId="0" fontId="117" fillId="0" borderId="0" applyNumberFormat="0" applyFill="0" applyBorder="0" applyAlignment="0" applyProtection="0">
      <alignment vertical="top"/>
      <protection locked="0"/>
    </xf>
    <xf numFmtId="0" fontId="164" fillId="0" borderId="0" applyNumberFormat="0" applyFill="0" applyBorder="0" applyAlignment="0" applyProtection="0"/>
    <xf numFmtId="0" fontId="89" fillId="0" borderId="0" applyNumberFormat="0" applyFill="0" applyBorder="0" applyAlignment="0" applyProtection="0"/>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191" fontId="107" fillId="0" borderId="0" applyNumberFormat="0" applyFill="0" applyBorder="0" applyAlignment="0" applyProtection="0">
      <alignment vertical="top"/>
      <protection locked="0"/>
    </xf>
    <xf numFmtId="0" fontId="89" fillId="0" borderId="0" applyNumberFormat="0" applyFill="0" applyBorder="0" applyAlignment="0" applyProtection="0"/>
    <xf numFmtId="0" fontId="80" fillId="85" borderId="0" applyNumberFormat="0" applyBorder="0" applyAlignment="0" applyProtection="0"/>
    <xf numFmtId="0" fontId="80" fillId="85" borderId="0" applyNumberFormat="0" applyBorder="0" applyAlignment="0" applyProtection="0"/>
    <xf numFmtId="10" fontId="13" fillId="86" borderId="14" applyNumberFormat="0" applyBorder="0" applyAlignment="0" applyProtection="0"/>
    <xf numFmtId="10" fontId="13" fillId="86" borderId="14" applyNumberFormat="0" applyBorder="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1" fillId="26" borderId="2" applyNumberFormat="0" applyAlignment="0" applyProtection="0"/>
    <xf numFmtId="0" fontId="90" fillId="26" borderId="1" applyNumberFormat="0" applyAlignment="0" applyProtection="0"/>
    <xf numFmtId="0" fontId="44" fillId="3" borderId="1" applyNumberFormat="0" applyAlignment="0" applyProtection="0"/>
    <xf numFmtId="0" fontId="91" fillId="26" borderId="2" applyNumberFormat="0" applyAlignment="0" applyProtection="0"/>
    <xf numFmtId="0" fontId="165" fillId="30" borderId="161" applyNumberFormat="0" applyAlignment="0" applyProtection="0"/>
    <xf numFmtId="0" fontId="165" fillId="30" borderId="161" applyNumberFormat="0" applyAlignment="0" applyProtection="0"/>
    <xf numFmtId="191" fontId="165" fillId="30" borderId="161" applyNumberFormat="0" applyAlignment="0" applyProtection="0"/>
    <xf numFmtId="0" fontId="91" fillId="26" borderId="3"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2" fillId="26" borderId="1" applyNumberFormat="0" applyAlignment="0" applyProtection="0"/>
    <xf numFmtId="0" fontId="129" fillId="3" borderId="1" applyNumberFormat="0" applyAlignment="0" applyProtection="0"/>
    <xf numFmtId="0" fontId="90" fillId="26" borderId="1" applyNumberFormat="0" applyAlignment="0" applyProtection="0"/>
    <xf numFmtId="0" fontId="129" fillId="3" borderId="1" applyNumberFormat="0" applyAlignment="0" applyProtection="0"/>
    <xf numFmtId="0" fontId="44" fillId="3" borderId="1" applyNumberFormat="0" applyAlignment="0" applyProtection="0"/>
    <xf numFmtId="0" fontId="44" fillId="3" borderId="1" applyNumberFormat="0" applyAlignment="0" applyProtection="0"/>
    <xf numFmtId="191"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44" fillId="3" borderId="1" applyNumberFormat="0" applyAlignment="0" applyProtection="0"/>
    <xf numFmtId="0" fontId="129" fillId="3" borderId="1" applyNumberFormat="0" applyAlignment="0" applyProtection="0"/>
    <xf numFmtId="0" fontId="129" fillId="3" borderId="1" applyNumberFormat="0" applyAlignment="0" applyProtection="0"/>
    <xf numFmtId="0" fontId="90" fillId="26" borderId="1" applyNumberFormat="0" applyAlignment="0" applyProtection="0"/>
    <xf numFmtId="0" fontId="129" fillId="3" borderId="1" applyNumberFormat="0" applyAlignment="0" applyProtection="0"/>
    <xf numFmtId="0" fontId="44" fillId="3" borderId="1" applyNumberFormat="0" applyAlignment="0" applyProtection="0"/>
    <xf numFmtId="0" fontId="165" fillId="124" borderId="161" applyNumberFormat="0" applyAlignment="0" applyProtection="0"/>
    <xf numFmtId="0" fontId="90" fillId="26" borderId="1" applyNumberFormat="0" applyAlignment="0" applyProtection="0"/>
    <xf numFmtId="0" fontId="129" fillId="3"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90" fillId="26" borderId="1" applyNumberFormat="0" applyAlignment="0" applyProtection="0"/>
    <xf numFmtId="0" fontId="44" fillId="3" borderId="1" applyNumberFormat="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93" fillId="0" borderId="16" applyNumberFormat="0" applyFill="0" applyAlignment="0" applyProtection="0"/>
    <xf numFmtId="0" fontId="94" fillId="0" borderId="15" applyNumberFormat="0" applyFill="0" applyAlignment="0" applyProtection="0"/>
    <xf numFmtId="0" fontId="114" fillId="0" borderId="15" applyNumberFormat="0" applyFill="0" applyAlignment="0" applyProtection="0"/>
    <xf numFmtId="0" fontId="93" fillId="0" borderId="16" applyNumberFormat="0" applyFill="0" applyAlignment="0" applyProtection="0"/>
    <xf numFmtId="0" fontId="167" fillId="0" borderId="167" applyNumberFormat="0" applyFill="0" applyAlignment="0" applyProtection="0"/>
    <xf numFmtId="0" fontId="167" fillId="0" borderId="167" applyNumberFormat="0" applyFill="0" applyAlignment="0" applyProtection="0"/>
    <xf numFmtId="191" fontId="167" fillId="0" borderId="167" applyNumberFormat="0" applyFill="0" applyAlignment="0" applyProtection="0"/>
    <xf numFmtId="0" fontId="135" fillId="0" borderId="17" applyNumberFormat="0" applyFill="0" applyAlignment="0" applyProtection="0"/>
    <xf numFmtId="0" fontId="94" fillId="0" borderId="15" applyNumberFormat="0" applyFill="0" applyAlignment="0" applyProtection="0"/>
    <xf numFmtId="0" fontId="130" fillId="0" borderId="15" applyNumberFormat="0" applyFill="0" applyAlignment="0" applyProtection="0"/>
    <xf numFmtId="0" fontId="114" fillId="0" borderId="15" applyNumberFormat="0" applyFill="0" applyAlignment="0" applyProtection="0"/>
    <xf numFmtId="0" fontId="95" fillId="0" borderId="15" applyNumberFormat="0" applyFill="0" applyAlignment="0" applyProtection="0"/>
    <xf numFmtId="0" fontId="130" fillId="0" borderId="15" applyNumberFormat="0" applyFill="0" applyAlignment="0" applyProtection="0"/>
    <xf numFmtId="0" fontId="114" fillId="0" borderId="15" applyNumberFormat="0" applyFill="0" applyAlignment="0" applyProtection="0"/>
    <xf numFmtId="191" fontId="114" fillId="0" borderId="15"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0" fontId="166" fillId="0" borderId="167" applyNumberFormat="0" applyFill="0" applyAlignment="0" applyProtection="0"/>
    <xf numFmtId="188" fontId="61" fillId="0" borderId="0"/>
    <xf numFmtId="188" fontId="61" fillId="0" borderId="0"/>
    <xf numFmtId="188" fontId="7" fillId="0" borderId="0"/>
    <xf numFmtId="188" fontId="7" fillId="0" borderId="0"/>
    <xf numFmtId="189" fontId="61" fillId="0" borderId="0"/>
    <xf numFmtId="189" fontId="61" fillId="0" borderId="0"/>
    <xf numFmtId="176" fontId="7" fillId="0" borderId="0"/>
    <xf numFmtId="176" fontId="7" fillId="0" borderId="0"/>
    <xf numFmtId="188" fontId="61" fillId="0" borderId="0"/>
    <xf numFmtId="188" fontId="61" fillId="0" borderId="0"/>
    <xf numFmtId="188" fontId="7" fillId="0" borderId="0"/>
    <xf numFmtId="188" fontId="7" fillId="0" borderId="0"/>
    <xf numFmtId="188" fontId="61" fillId="0" borderId="0"/>
    <xf numFmtId="188" fontId="61" fillId="0" borderId="0"/>
    <xf numFmtId="188" fontId="7" fillId="0" borderId="0"/>
    <xf numFmtId="188" fontId="7" fillId="0" borderId="0"/>
    <xf numFmtId="188" fontId="61" fillId="0" borderId="0"/>
    <xf numFmtId="188" fontId="61" fillId="0" borderId="0"/>
    <xf numFmtId="188" fontId="7" fillId="0" borderId="0"/>
    <xf numFmtId="188" fontId="7" fillId="0" borderId="0"/>
    <xf numFmtId="188" fontId="61" fillId="0" borderId="0"/>
    <xf numFmtId="188" fontId="61" fillId="0" borderId="0"/>
    <xf numFmtId="188" fontId="7" fillId="0" borderId="0"/>
    <xf numFmtId="188" fontId="7" fillId="0" borderId="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96" fillId="87" borderId="0" applyNumberFormat="0" applyBorder="0" applyAlignment="0" applyProtection="0"/>
    <xf numFmtId="0" fontId="97" fillId="88" borderId="0" applyNumberFormat="0" applyBorder="0" applyAlignment="0" applyProtection="0"/>
    <xf numFmtId="0" fontId="115" fillId="30" borderId="0" applyNumberFormat="0" applyBorder="0" applyAlignment="0" applyProtection="0"/>
    <xf numFmtId="0" fontId="96" fillId="87" borderId="0" applyNumberFormat="0" applyBorder="0" applyAlignment="0" applyProtection="0"/>
    <xf numFmtId="0" fontId="169" fillId="125" borderId="0" applyNumberFormat="0" applyBorder="0" applyAlignment="0" applyProtection="0"/>
    <xf numFmtId="0" fontId="169" fillId="125" borderId="0" applyNumberFormat="0" applyBorder="0" applyAlignment="0" applyProtection="0"/>
    <xf numFmtId="191" fontId="169" fillId="125" borderId="0" applyNumberFormat="0" applyBorder="0" applyAlignment="0" applyProtection="0"/>
    <xf numFmtId="0" fontId="136" fillId="89" borderId="0" applyNumberFormat="0" applyBorder="0" applyAlignment="0" applyProtection="0"/>
    <xf numFmtId="0" fontId="97" fillId="88" borderId="0" applyNumberFormat="0" applyBorder="0" applyAlignment="0" applyProtection="0"/>
    <xf numFmtId="0" fontId="131" fillId="30" borderId="0" applyNumberFormat="0" applyBorder="0" applyAlignment="0" applyProtection="0"/>
    <xf numFmtId="0" fontId="115" fillId="30" borderId="0" applyNumberFormat="0" applyBorder="0" applyAlignment="0" applyProtection="0"/>
    <xf numFmtId="0" fontId="98" fillId="88" borderId="0" applyNumberFormat="0" applyBorder="0" applyAlignment="0" applyProtection="0"/>
    <xf numFmtId="0" fontId="131" fillId="30" borderId="0" applyNumberFormat="0" applyBorder="0" applyAlignment="0" applyProtection="0"/>
    <xf numFmtId="0" fontId="115" fillId="30" borderId="0" applyNumberFormat="0" applyBorder="0" applyAlignment="0" applyProtection="0"/>
    <xf numFmtId="191" fontId="115" fillId="30"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0" fontId="168" fillId="125" borderId="0" applyNumberFormat="0" applyBorder="0" applyAlignment="0" applyProtection="0"/>
    <xf numFmtId="190" fontId="61" fillId="0" borderId="0"/>
    <xf numFmtId="190" fontId="61" fillId="0" borderId="0"/>
    <xf numFmtId="192" fontId="7" fillId="0" borderId="0"/>
    <xf numFmtId="192" fontId="7" fillId="0" borderId="0"/>
    <xf numFmtId="0" fontId="61" fillId="0" borderId="0"/>
    <xf numFmtId="0" fontId="7"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191" fontId="7"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7" fillId="0" borderId="0"/>
    <xf numFmtId="0" fontId="141" fillId="0" borderId="0"/>
    <xf numFmtId="0" fontId="7" fillId="0" borderId="0"/>
    <xf numFmtId="0" fontId="7" fillId="0" borderId="0"/>
    <xf numFmtId="0" fontId="7" fillId="0" borderId="0"/>
    <xf numFmtId="0" fontId="141" fillId="0" borderId="0"/>
    <xf numFmtId="0" fontId="2" fillId="0" borderId="0"/>
    <xf numFmtId="0" fontId="61" fillId="0" borderId="0"/>
    <xf numFmtId="0" fontId="62" fillId="0" borderId="0"/>
    <xf numFmtId="0" fontId="141" fillId="0" borderId="0"/>
    <xf numFmtId="0" fontId="7" fillId="0" borderId="0"/>
    <xf numFmtId="0" fontId="61" fillId="0" borderId="0"/>
    <xf numFmtId="0" fontId="141" fillId="0" borderId="0"/>
    <xf numFmtId="0" fontId="7" fillId="0" borderId="0"/>
    <xf numFmtId="0" fontId="7" fillId="0" borderId="0"/>
    <xf numFmtId="0" fontId="141" fillId="0" borderId="0"/>
    <xf numFmtId="0" fontId="62" fillId="0" borderId="0"/>
    <xf numFmtId="0" fontId="7" fillId="0" borderId="0"/>
    <xf numFmtId="191" fontId="7" fillId="0" borderId="0"/>
    <xf numFmtId="0" fontId="61" fillId="0" borderId="0"/>
    <xf numFmtId="0" fontId="2" fillId="0" borderId="0"/>
    <xf numFmtId="0" fontId="141" fillId="0" borderId="0"/>
    <xf numFmtId="0" fontId="141" fillId="0" borderId="0"/>
    <xf numFmtId="0" fontId="2" fillId="0" borderId="0"/>
    <xf numFmtId="0" fontId="2" fillId="0" borderId="0"/>
    <xf numFmtId="0" fontId="141" fillId="0" borderId="0"/>
    <xf numFmtId="0" fontId="14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142" fillId="0" borderId="0"/>
    <xf numFmtId="0" fontId="141" fillId="0" borderId="0"/>
    <xf numFmtId="0" fontId="62" fillId="0" borderId="0"/>
    <xf numFmtId="0" fontId="99" fillId="0" borderId="0"/>
    <xf numFmtId="0" fontId="170" fillId="0" borderId="0"/>
    <xf numFmtId="0" fontId="61" fillId="0" borderId="0"/>
    <xf numFmtId="0" fontId="7"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191" fontId="141" fillId="0" borderId="0"/>
    <xf numFmtId="0" fontId="7"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2" fillId="0" borderId="0"/>
    <xf numFmtId="0" fontId="141" fillId="0" borderId="0"/>
    <xf numFmtId="0" fontId="62" fillId="0" borderId="0"/>
    <xf numFmtId="0" fontId="61" fillId="0" borderId="0"/>
    <xf numFmtId="0" fontId="7" fillId="0" borderId="0"/>
    <xf numFmtId="0" fontId="62"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0" fontId="141" fillId="0" borderId="0"/>
    <xf numFmtId="0" fontId="141" fillId="0" borderId="0"/>
    <xf numFmtId="0" fontId="62" fillId="0" borderId="0"/>
    <xf numFmtId="0" fontId="141" fillId="0" borderId="0"/>
    <xf numFmtId="0" fontId="141" fillId="0" borderId="0"/>
    <xf numFmtId="0" fontId="141" fillId="0" borderId="0"/>
    <xf numFmtId="191"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2" fillId="0" borderId="0"/>
    <xf numFmtId="0" fontId="62" fillId="0" borderId="0"/>
    <xf numFmtId="0" fontId="7" fillId="0" borderId="0"/>
    <xf numFmtId="0" fontId="141" fillId="0" borderId="0"/>
    <xf numFmtId="0" fontId="62" fillId="0" borderId="0"/>
    <xf numFmtId="0" fontId="62" fillId="0" borderId="0"/>
    <xf numFmtId="0" fontId="141" fillId="0" borderId="0"/>
    <xf numFmtId="0" fontId="62" fillId="0" borderId="0"/>
    <xf numFmtId="0" fontId="141" fillId="0" borderId="0"/>
    <xf numFmtId="0" fontId="62" fillId="0" borderId="0"/>
    <xf numFmtId="0" fontId="141" fillId="0" borderId="0"/>
    <xf numFmtId="0" fontId="61" fillId="0" borderId="0"/>
    <xf numFmtId="0" fontId="7" fillId="0" borderId="0"/>
    <xf numFmtId="0" fontId="141" fillId="0" borderId="0"/>
    <xf numFmtId="191"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62" fillId="0" borderId="0"/>
    <xf numFmtId="0" fontId="141" fillId="0" borderId="0"/>
    <xf numFmtId="0" fontId="61" fillId="0" borderId="0"/>
    <xf numFmtId="0" fontId="7" fillId="0" borderId="0"/>
    <xf numFmtId="191"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141" fillId="0" borderId="0"/>
    <xf numFmtId="0" fontId="141" fillId="0" borderId="0"/>
    <xf numFmtId="0" fontId="7" fillId="0" borderId="0"/>
    <xf numFmtId="0" fontId="7" fillId="0" borderId="0"/>
    <xf numFmtId="0" fontId="141" fillId="0" borderId="0"/>
    <xf numFmtId="0" fontId="141" fillId="0" borderId="0"/>
    <xf numFmtId="0" fontId="61" fillId="0" borderId="0"/>
    <xf numFmtId="0" fontId="141" fillId="0" borderId="0"/>
    <xf numFmtId="0" fontId="137" fillId="0" borderId="0"/>
    <xf numFmtId="0" fontId="7" fillId="0" borderId="0"/>
    <xf numFmtId="0" fontId="7" fillId="0" borderId="0"/>
    <xf numFmtId="0" fontId="35" fillId="0" borderId="0"/>
    <xf numFmtId="0" fontId="35" fillId="0" borderId="0"/>
    <xf numFmtId="0" fontId="35" fillId="0" borderId="0"/>
    <xf numFmtId="0" fontId="7" fillId="0" borderId="0"/>
    <xf numFmtId="0" fontId="35" fillId="0" borderId="0"/>
    <xf numFmtId="0" fontId="7" fillId="0" borderId="0"/>
    <xf numFmtId="0" fontId="61" fillId="0" borderId="0"/>
    <xf numFmtId="0" fontId="141" fillId="0" borderId="0"/>
    <xf numFmtId="0" fontId="7" fillId="0" borderId="0"/>
    <xf numFmtId="0" fontId="141" fillId="0" borderId="0"/>
    <xf numFmtId="0" fontId="141" fillId="0" borderId="0"/>
    <xf numFmtId="0" fontId="62" fillId="0" borderId="0"/>
    <xf numFmtId="0" fontId="62" fillId="0" borderId="0"/>
    <xf numFmtId="0" fontId="141" fillId="0" borderId="0"/>
    <xf numFmtId="0" fontId="141" fillId="0" borderId="0"/>
    <xf numFmtId="0" fontId="141" fillId="0" borderId="0"/>
    <xf numFmtId="0" fontId="4" fillId="0" borderId="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74" fillId="85" borderId="19" applyNumberFormat="0" applyAlignment="0" applyProtection="0"/>
    <xf numFmtId="0" fontId="49" fillId="126" borderId="168" applyNumberFormat="0" applyFont="0" applyAlignment="0" applyProtection="0"/>
    <xf numFmtId="0" fontId="37" fillId="85" borderId="20" applyNumberFormat="0" applyAlignment="0" applyProtection="0"/>
    <xf numFmtId="0" fontId="141" fillId="126" borderId="168" applyNumberFormat="0" applyFont="0" applyAlignment="0" applyProtection="0"/>
    <xf numFmtId="0" fontId="37" fillId="85" borderId="18" applyNumberFormat="0" applyAlignment="0" applyProtection="0"/>
    <xf numFmtId="0" fontId="7" fillId="12" borderId="1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0" fontId="37" fillId="85" borderId="19" applyNumberFormat="0" applyAlignment="0" applyProtection="0"/>
    <xf numFmtId="0" fontId="49" fillId="126" borderId="168" applyNumberFormat="0" applyFont="0" applyAlignment="0" applyProtection="0"/>
    <xf numFmtId="0" fontId="49" fillId="126" borderId="168" applyNumberFormat="0" applyFont="0" applyAlignment="0" applyProtection="0"/>
    <xf numFmtId="0" fontId="49" fillId="126" borderId="168" applyNumberFormat="0" applyFont="0" applyAlignment="0" applyProtection="0"/>
    <xf numFmtId="191" fontId="49" fillId="126" borderId="168" applyNumberFormat="0" applyFont="0" applyAlignment="0" applyProtection="0"/>
    <xf numFmtId="0" fontId="35" fillId="126" borderId="168" applyNumberFormat="0" applyFont="0" applyAlignment="0" applyProtection="0"/>
    <xf numFmtId="0" fontId="37" fillId="85" borderId="18" applyNumberFormat="0" applyAlignment="0" applyProtection="0"/>
    <xf numFmtId="0" fontId="50" fillId="126" borderId="168" applyNumberFormat="0" applyFont="0" applyAlignment="0" applyProtection="0"/>
    <xf numFmtId="0" fontId="8" fillId="12" borderId="18" applyNumberFormat="0" applyFont="0" applyAlignment="0" applyProtection="0"/>
    <xf numFmtId="0" fontId="7" fillId="12" borderId="18" applyNumberFormat="0" applyFont="0" applyAlignment="0" applyProtection="0"/>
    <xf numFmtId="0" fontId="7" fillId="12" borderId="18" applyNumberFormat="0" applyFont="0" applyAlignment="0" applyProtection="0"/>
    <xf numFmtId="0" fontId="50" fillId="126" borderId="168" applyNumberFormat="0" applyFont="0" applyAlignment="0" applyProtection="0"/>
    <xf numFmtId="191" fontId="7" fillId="12" borderId="1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35" fillId="126" borderId="168" applyNumberFormat="0" applyFont="0" applyAlignment="0" applyProtection="0"/>
    <xf numFmtId="0" fontId="50" fillId="126" borderId="168" applyNumberFormat="0" applyFon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0" fontId="171" fillId="121" borderId="169" applyNumberFormat="0" applyAlignment="0" applyProtection="0"/>
    <xf numFmtId="0" fontId="100" fillId="73" borderId="21" applyNumberFormat="0" applyAlignment="0" applyProtection="0"/>
    <xf numFmtId="0" fontId="100" fillId="74" borderId="21" applyNumberFormat="0" applyAlignment="0" applyProtection="0"/>
    <xf numFmtId="0" fontId="45" fillId="27" borderId="21" applyNumberFormat="0" applyAlignment="0" applyProtection="0"/>
    <xf numFmtId="0" fontId="100" fillId="73" borderId="21" applyNumberFormat="0" applyAlignment="0" applyProtection="0"/>
    <xf numFmtId="0" fontId="171" fillId="3" borderId="169" applyNumberFormat="0" applyAlignment="0" applyProtection="0"/>
    <xf numFmtId="0" fontId="171" fillId="3" borderId="169" applyNumberFormat="0" applyAlignment="0" applyProtection="0"/>
    <xf numFmtId="191" fontId="171" fillId="3" borderId="169" applyNumberFormat="0" applyAlignment="0" applyProtection="0"/>
    <xf numFmtId="0" fontId="100" fillId="75" borderId="21" applyNumberFormat="0" applyAlignment="0" applyProtection="0"/>
    <xf numFmtId="0" fontId="100" fillId="74" borderId="21" applyNumberFormat="0" applyAlignment="0" applyProtection="0"/>
    <xf numFmtId="0" fontId="48" fillId="27" borderId="21" applyNumberFormat="0" applyAlignment="0" applyProtection="0"/>
    <xf numFmtId="0" fontId="45" fillId="27" borderId="21" applyNumberFormat="0" applyAlignment="0" applyProtection="0"/>
    <xf numFmtId="0" fontId="101" fillId="74" borderId="21" applyNumberFormat="0" applyAlignment="0" applyProtection="0"/>
    <xf numFmtId="0" fontId="48" fillId="27" borderId="21" applyNumberFormat="0" applyAlignment="0" applyProtection="0"/>
    <xf numFmtId="0" fontId="45" fillId="27" borderId="21" applyNumberFormat="0" applyAlignment="0" applyProtection="0"/>
    <xf numFmtId="191" fontId="45" fillId="27" borderId="21" applyNumberFormat="0" applyAlignment="0" applyProtection="0"/>
    <xf numFmtId="0" fontId="172" fillId="3" borderId="169" applyNumberFormat="0" applyAlignment="0" applyProtection="0"/>
    <xf numFmtId="0" fontId="172" fillId="3" borderId="169" applyNumberFormat="0" applyAlignment="0" applyProtection="0"/>
    <xf numFmtId="0" fontId="172" fillId="3" borderId="169" applyNumberFormat="0" applyAlignment="0" applyProtection="0"/>
    <xf numFmtId="9" fontId="24" fillId="0" borderId="0" applyFont="0" applyFill="0" applyBorder="0" applyAlignment="0" applyProtection="0"/>
    <xf numFmtId="10" fontId="74" fillId="0" borderId="0" applyFill="0" applyBorder="0" applyAlignment="0" applyProtection="0"/>
    <xf numFmtId="10" fontId="37" fillId="0" borderId="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118" fillId="0" borderId="0" applyFont="0" applyFill="0" applyBorder="0" applyAlignment="0" applyProtection="0"/>
    <xf numFmtId="9" fontId="74" fillId="0" borderId="0" applyFill="0" applyBorder="0" applyAlignment="0" applyProtection="0"/>
    <xf numFmtId="9" fontId="74" fillId="0" borderId="0" applyFill="0" applyBorder="0" applyAlignment="0" applyProtection="0"/>
    <xf numFmtId="9" fontId="74"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37" fillId="0" borderId="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4"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74"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4" fillId="0" borderId="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7" fillId="0" borderId="0" applyFont="0" applyFill="0" applyBorder="0" applyAlignment="0" applyProtection="0"/>
    <xf numFmtId="9" fontId="49"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49" fillId="0" borderId="0" applyFont="0" applyFill="0" applyBorder="0" applyAlignment="0" applyProtection="0"/>
    <xf numFmtId="9" fontId="7" fillId="0" borderId="0" applyFont="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9" fontId="37" fillId="0" borderId="0" applyFill="0" applyBorder="0" applyAlignment="0" applyProtection="0"/>
    <xf numFmtId="0" fontId="37" fillId="0" borderId="0" applyNumberFormat="0" applyFill="0" applyBorder="0" applyAlignment="0" applyProtection="0"/>
    <xf numFmtId="0" fontId="118" fillId="0" borderId="0" applyNumberFormat="0" applyFont="0" applyFill="0" applyBorder="0" applyAlignment="0" applyProtection="0">
      <alignment horizontal="left"/>
    </xf>
    <xf numFmtId="0" fontId="173" fillId="0" borderId="0" applyNumberFormat="0" applyBorder="0" applyAlignment="0"/>
    <xf numFmtId="0" fontId="174" fillId="0" borderId="0" applyNumberFormat="0" applyBorder="0" applyAlignment="0"/>
    <xf numFmtId="0" fontId="175" fillId="0" borderId="0" applyNumberFormat="0" applyBorder="0" applyAlignment="0"/>
    <xf numFmtId="0" fontId="102" fillId="0" borderId="0" applyNumberFormat="0" applyFill="0" applyBorder="0" applyAlignment="0" applyProtection="0"/>
    <xf numFmtId="0" fontId="103" fillId="0" borderId="0" applyNumberFormat="0" applyFill="0" applyBorder="0" applyAlignment="0" applyProtection="0"/>
    <xf numFmtId="0" fontId="116" fillId="0" borderId="0" applyNumberFormat="0" applyFill="0" applyBorder="0" applyAlignment="0" applyProtection="0"/>
    <xf numFmtId="0" fontId="10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1" fontId="51" fillId="0" borderId="0" applyNumberFormat="0" applyFill="0" applyBorder="0" applyAlignment="0" applyProtection="0"/>
    <xf numFmtId="0" fontId="103"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191" fontId="116" fillId="0" borderId="0" applyNumberFormat="0" applyFill="0" applyBorder="0" applyAlignment="0" applyProtection="0"/>
    <xf numFmtId="0" fontId="176" fillId="0" borderId="0" applyNumberFormat="0" applyFill="0" applyBorder="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7" fillId="0" borderId="170" applyNumberFormat="0" applyFill="0" applyAlignment="0" applyProtection="0"/>
    <xf numFmtId="0" fontId="104" fillId="0" borderId="23"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4" fillId="0" borderId="23" applyNumberFormat="0" applyFill="0" applyAlignment="0" applyProtection="0"/>
    <xf numFmtId="0" fontId="177" fillId="0" borderId="22" applyNumberFormat="0" applyFill="0" applyAlignment="0" applyProtection="0"/>
    <xf numFmtId="0" fontId="104" fillId="0" borderId="25" applyNumberFormat="0" applyFill="0" applyAlignment="0" applyProtection="0"/>
    <xf numFmtId="0" fontId="46" fillId="0" borderId="25" applyNumberFormat="0" applyFill="0" applyAlignment="0" applyProtection="0"/>
    <xf numFmtId="0" fontId="177" fillId="0" borderId="22" applyNumberFormat="0" applyFill="0" applyAlignment="0" applyProtection="0"/>
    <xf numFmtId="191" fontId="177" fillId="0" borderId="22" applyNumberFormat="0" applyFill="0" applyAlignment="0" applyProtection="0"/>
    <xf numFmtId="0" fontId="37" fillId="0" borderId="0" applyNumberFormat="0" applyBorder="0" applyAlignment="0" applyProtection="0"/>
    <xf numFmtId="0" fontId="7" fillId="0" borderId="24" applyNumberFormat="0" applyFont="0" applyBorder="0" applyAlignment="0" applyProtection="0"/>
    <xf numFmtId="0" fontId="104" fillId="0" borderId="25" applyNumberFormat="0" applyFill="0" applyAlignment="0" applyProtection="0"/>
    <xf numFmtId="0" fontId="36" fillId="0" borderId="25" applyNumberFormat="0" applyFill="0" applyAlignment="0" applyProtection="0"/>
    <xf numFmtId="0" fontId="46" fillId="0" borderId="25" applyNumberFormat="0" applyFill="0" applyAlignment="0" applyProtection="0"/>
    <xf numFmtId="0" fontId="7" fillId="0" borderId="24" applyNumberFormat="0" applyFont="0" applyBorder="0" applyAlignment="0" applyProtection="0"/>
    <xf numFmtId="0" fontId="46" fillId="0" borderId="25" applyNumberFormat="0" applyFill="0" applyAlignment="0" applyProtection="0"/>
    <xf numFmtId="191" fontId="46" fillId="0" borderId="25" applyNumberFormat="0" applyFill="0" applyAlignment="0" applyProtection="0"/>
    <xf numFmtId="0" fontId="178" fillId="0" borderId="22" applyNumberFormat="0" applyFill="0" applyAlignment="0" applyProtection="0"/>
    <xf numFmtId="0" fontId="178" fillId="0" borderId="22" applyNumberFormat="0" applyFill="0" applyAlignment="0" applyProtection="0"/>
    <xf numFmtId="0" fontId="179"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31" fillId="0" borderId="0" applyNumberFormat="0" applyFill="0" applyBorder="0" applyAlignment="0" applyProtection="0"/>
    <xf numFmtId="0" fontId="105" fillId="0" borderId="0" applyNumberFormat="0" applyFill="0" applyBorder="0" applyAlignment="0" applyProtection="0"/>
    <xf numFmtId="0" fontId="179" fillId="0" borderId="0" applyNumberFormat="0" applyFill="0" applyBorder="0" applyAlignment="0" applyProtection="0"/>
    <xf numFmtId="0" fontId="179" fillId="0" borderId="0" applyNumberFormat="0" applyFill="0" applyBorder="0" applyAlignment="0" applyProtection="0"/>
    <xf numFmtId="191" fontId="179" fillId="0" borderId="0" applyNumberFormat="0" applyFill="0" applyBorder="0" applyAlignment="0" applyProtection="0"/>
    <xf numFmtId="0" fontId="105"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0" fontId="106" fillId="0" borderId="0" applyNumberFormat="0" applyFill="0" applyBorder="0" applyAlignment="0" applyProtection="0"/>
    <xf numFmtId="0" fontId="47" fillId="0" borderId="0" applyNumberFormat="0" applyFill="0" applyBorder="0" applyAlignment="0" applyProtection="0"/>
    <xf numFmtId="0" fontId="31" fillId="0" borderId="0" applyNumberFormat="0" applyFill="0" applyBorder="0" applyAlignment="0" applyProtection="0"/>
    <xf numFmtId="191" fontId="31"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cellStyleXfs>
  <cellXfs count="461">
    <xf numFmtId="0" fontId="0" fillId="0" borderId="0" xfId="0"/>
    <xf numFmtId="1" fontId="3" fillId="0" borderId="26" xfId="1774" applyNumberFormat="1" applyFont="1" applyFill="1" applyBorder="1" applyAlignment="1" applyProtection="1">
      <alignment horizontal="right"/>
      <protection locked="0"/>
    </xf>
    <xf numFmtId="0" fontId="7" fillId="0" borderId="0" xfId="0" applyFont="1" applyFill="1" applyProtection="1">
      <protection locked="0"/>
    </xf>
    <xf numFmtId="1" fontId="3" fillId="0" borderId="0" xfId="1774" applyNumberFormat="1" applyFont="1" applyFill="1" applyBorder="1" applyProtection="1">
      <protection locked="0"/>
    </xf>
    <xf numFmtId="1" fontId="3" fillId="0" borderId="0" xfId="0" applyNumberFormat="1" applyFont="1" applyFill="1" applyBorder="1" applyProtection="1">
      <protection locked="0"/>
    </xf>
    <xf numFmtId="1" fontId="3" fillId="0" borderId="0" xfId="0" applyNumberFormat="1" applyFont="1" applyFill="1" applyProtection="1">
      <protection locked="0"/>
    </xf>
    <xf numFmtId="1" fontId="5" fillId="0" borderId="0" xfId="1774" applyNumberFormat="1" applyFont="1" applyFill="1" applyBorder="1" applyProtection="1">
      <protection locked="0"/>
    </xf>
    <xf numFmtId="1" fontId="3" fillId="0" borderId="0" xfId="1066" applyNumberFormat="1" applyFont="1" applyFill="1" applyProtection="1">
      <protection locked="0"/>
    </xf>
    <xf numFmtId="0" fontId="7" fillId="90" borderId="27" xfId="0" applyFont="1" applyFill="1" applyBorder="1" applyProtection="1">
      <protection locked="0"/>
    </xf>
    <xf numFmtId="0" fontId="7" fillId="90" borderId="28" xfId="0" applyFont="1" applyFill="1" applyBorder="1" applyProtection="1">
      <protection locked="0"/>
    </xf>
    <xf numFmtId="0" fontId="14" fillId="0" borderId="0" xfId="0" applyFont="1" applyFill="1" applyProtection="1">
      <protection locked="0"/>
    </xf>
    <xf numFmtId="0" fontId="9" fillId="0" borderId="0" xfId="0" applyFont="1" applyFill="1" applyProtection="1">
      <protection locked="0"/>
    </xf>
    <xf numFmtId="0" fontId="7" fillId="0" borderId="0" xfId="0" applyFont="1"/>
    <xf numFmtId="0" fontId="19" fillId="91" borderId="29" xfId="0" applyFont="1" applyFill="1" applyBorder="1"/>
    <xf numFmtId="0" fontId="19" fillId="91" borderId="30" xfId="0" applyFont="1" applyFill="1" applyBorder="1"/>
    <xf numFmtId="0" fontId="19" fillId="91" borderId="31" xfId="0" applyFont="1" applyFill="1" applyBorder="1" applyAlignment="1">
      <alignment horizontal="right"/>
    </xf>
    <xf numFmtId="0" fontId="7" fillId="83" borderId="32" xfId="0" applyFont="1" applyFill="1" applyBorder="1"/>
    <xf numFmtId="0" fontId="7" fillId="83" borderId="33" xfId="0" applyFont="1" applyFill="1" applyBorder="1" applyAlignment="1">
      <alignment horizontal="right"/>
    </xf>
    <xf numFmtId="169" fontId="7" fillId="0" borderId="34" xfId="0" applyNumberFormat="1" applyFont="1" applyBorder="1"/>
    <xf numFmtId="169" fontId="7" fillId="0" borderId="35" xfId="0" applyNumberFormat="1" applyFont="1" applyBorder="1"/>
    <xf numFmtId="169" fontId="7" fillId="0" borderId="36" xfId="0" applyNumberFormat="1" applyFont="1" applyBorder="1"/>
    <xf numFmtId="169" fontId="7" fillId="0" borderId="37" xfId="0" applyNumberFormat="1" applyFont="1" applyBorder="1"/>
    <xf numFmtId="0" fontId="9" fillId="92" borderId="38" xfId="0" applyFont="1" applyFill="1" applyBorder="1" applyAlignment="1" applyProtection="1">
      <alignment horizontal="center"/>
      <protection locked="0"/>
    </xf>
    <xf numFmtId="0" fontId="25" fillId="93" borderId="39" xfId="0" applyFont="1" applyFill="1" applyBorder="1" applyAlignment="1" applyProtection="1">
      <alignment horizontal="center" wrapText="1"/>
      <protection locked="0"/>
    </xf>
    <xf numFmtId="0" fontId="6" fillId="83" borderId="39" xfId="0" applyFont="1" applyFill="1" applyBorder="1" applyAlignment="1" applyProtection="1">
      <alignment horizontal="center" wrapText="1"/>
      <protection locked="0"/>
    </xf>
    <xf numFmtId="2" fontId="9" fillId="92" borderId="40" xfId="0" applyNumberFormat="1" applyFont="1" applyFill="1" applyBorder="1" applyProtection="1">
      <protection locked="0"/>
    </xf>
    <xf numFmtId="0" fontId="9" fillId="0" borderId="38" xfId="0" applyFont="1" applyFill="1" applyBorder="1" applyAlignment="1" applyProtection="1">
      <alignment horizontal="right"/>
      <protection locked="0"/>
    </xf>
    <xf numFmtId="0" fontId="25" fillId="93" borderId="41" xfId="0" applyFont="1" applyFill="1" applyBorder="1" applyAlignment="1" applyProtection="1">
      <alignment horizontal="center" wrapText="1"/>
      <protection locked="0"/>
    </xf>
    <xf numFmtId="0" fontId="9" fillId="92" borderId="39" xfId="0" applyFont="1" applyFill="1" applyBorder="1" applyAlignment="1" applyProtection="1">
      <alignment horizontal="center"/>
      <protection locked="0"/>
    </xf>
    <xf numFmtId="2" fontId="20" fillId="0" borderId="42" xfId="0" applyNumberFormat="1" applyFont="1" applyFill="1" applyBorder="1" applyProtection="1">
      <protection locked="0"/>
    </xf>
    <xf numFmtId="0" fontId="9" fillId="92" borderId="43" xfId="0" applyFont="1" applyFill="1" applyBorder="1" applyAlignment="1" applyProtection="1">
      <alignment horizontal="right"/>
      <protection locked="0"/>
    </xf>
    <xf numFmtId="9" fontId="9" fillId="90" borderId="44" xfId="0" applyNumberFormat="1" applyFont="1" applyFill="1" applyBorder="1" applyAlignment="1" applyProtection="1">
      <alignment horizontal="center"/>
      <protection locked="0"/>
    </xf>
    <xf numFmtId="0" fontId="9" fillId="90" borderId="45" xfId="0" applyFont="1" applyFill="1" applyBorder="1" applyAlignment="1" applyProtection="1">
      <alignment horizontal="center"/>
      <protection locked="0"/>
    </xf>
    <xf numFmtId="0" fontId="27" fillId="0" borderId="46" xfId="0" applyFont="1" applyFill="1" applyBorder="1" applyProtection="1">
      <protection locked="0"/>
    </xf>
    <xf numFmtId="0" fontId="27" fillId="0" borderId="47" xfId="0" applyFont="1" applyFill="1" applyBorder="1" applyAlignment="1" applyProtection="1">
      <alignment horizontal="right"/>
      <protection locked="0"/>
    </xf>
    <xf numFmtId="0" fontId="15" fillId="0" borderId="0" xfId="0" applyFont="1" applyFill="1" applyProtection="1">
      <protection locked="0"/>
    </xf>
    <xf numFmtId="0" fontId="27" fillId="0" borderId="48" xfId="0" applyFont="1" applyFill="1" applyBorder="1" applyProtection="1">
      <protection locked="0"/>
    </xf>
    <xf numFmtId="0" fontId="27" fillId="0" borderId="49" xfId="0" applyFont="1" applyFill="1" applyBorder="1" applyAlignment="1" applyProtection="1">
      <alignment horizontal="right"/>
      <protection locked="0"/>
    </xf>
    <xf numFmtId="0" fontId="10" fillId="0" borderId="0" xfId="0" applyFont="1" applyFill="1" applyProtection="1"/>
    <xf numFmtId="0" fontId="7" fillId="0" borderId="0" xfId="0" applyFont="1" applyFill="1" applyProtection="1"/>
    <xf numFmtId="0" fontId="21" fillId="0" borderId="0" xfId="0" applyFont="1" applyFill="1" applyProtection="1"/>
    <xf numFmtId="0" fontId="8" fillId="0" borderId="0" xfId="0" applyFont="1" applyFill="1" applyBorder="1" applyProtection="1"/>
    <xf numFmtId="0" fontId="8" fillId="0" borderId="0" xfId="0" applyFont="1" applyFill="1" applyProtection="1"/>
    <xf numFmtId="0" fontId="22" fillId="0" borderId="0" xfId="0" applyFont="1" applyFill="1" applyProtection="1"/>
    <xf numFmtId="0" fontId="7" fillId="0" borderId="50" xfId="0" applyFont="1" applyFill="1" applyBorder="1" applyProtection="1"/>
    <xf numFmtId="0" fontId="7" fillId="0" borderId="51" xfId="0" applyFont="1" applyFill="1" applyBorder="1" applyProtection="1"/>
    <xf numFmtId="0" fontId="9" fillId="92" borderId="52" xfId="0" applyFont="1" applyFill="1" applyBorder="1" applyProtection="1"/>
    <xf numFmtId="169" fontId="15" fillId="0" borderId="53" xfId="0" applyNumberFormat="1" applyFont="1" applyFill="1" applyBorder="1" applyAlignment="1" applyProtection="1">
      <alignment horizontal="center"/>
    </xf>
    <xf numFmtId="174" fontId="15" fillId="0" borderId="54" xfId="0" applyNumberFormat="1" applyFont="1" applyFill="1" applyBorder="1" applyAlignment="1" applyProtection="1">
      <alignment horizontal="center"/>
    </xf>
    <xf numFmtId="0" fontId="9" fillId="92" borderId="55" xfId="0" applyFont="1" applyFill="1" applyBorder="1" applyProtection="1"/>
    <xf numFmtId="0" fontId="9" fillId="92" borderId="56" xfId="0" applyFont="1" applyFill="1" applyBorder="1" applyProtection="1"/>
    <xf numFmtId="0" fontId="9" fillId="92" borderId="57" xfId="0" applyFont="1" applyFill="1" applyBorder="1" applyProtection="1"/>
    <xf numFmtId="0" fontId="17" fillId="0" borderId="0" xfId="0" applyFont="1" applyFill="1" applyBorder="1" applyProtection="1"/>
    <xf numFmtId="0" fontId="7" fillId="0" borderId="0" xfId="0" applyFont="1" applyFill="1" applyBorder="1" applyProtection="1"/>
    <xf numFmtId="0" fontId="7" fillId="0" borderId="58" xfId="0" applyFont="1" applyFill="1" applyBorder="1" applyProtection="1"/>
    <xf numFmtId="169" fontId="15" fillId="0" borderId="59" xfId="0" applyNumberFormat="1" applyFont="1" applyFill="1" applyBorder="1" applyAlignment="1" applyProtection="1">
      <alignment horizontal="center"/>
    </xf>
    <xf numFmtId="0" fontId="15" fillId="0" borderId="60" xfId="0" applyFont="1" applyFill="1" applyBorder="1" applyAlignment="1" applyProtection="1">
      <alignment horizontal="center"/>
    </xf>
    <xf numFmtId="0" fontId="23" fillId="92" borderId="61" xfId="0" applyFont="1" applyFill="1" applyBorder="1" applyProtection="1"/>
    <xf numFmtId="0" fontId="9" fillId="92" borderId="62" xfId="0" applyFont="1" applyFill="1" applyBorder="1" applyProtection="1"/>
    <xf numFmtId="0" fontId="9" fillId="92" borderId="63" xfId="0" applyFont="1" applyFill="1" applyBorder="1" applyProtection="1"/>
    <xf numFmtId="0" fontId="0" fillId="0" borderId="0" xfId="0" applyProtection="1"/>
    <xf numFmtId="0" fontId="7" fillId="0" borderId="0" xfId="0" applyFont="1" applyProtection="1"/>
    <xf numFmtId="0" fontId="7" fillId="0" borderId="58" xfId="0" applyFont="1" applyBorder="1" applyProtection="1"/>
    <xf numFmtId="0" fontId="11" fillId="0" borderId="0" xfId="0" applyFont="1" applyFill="1" applyBorder="1" applyProtection="1"/>
    <xf numFmtId="174" fontId="15" fillId="0" borderId="60" xfId="0" applyNumberFormat="1" applyFont="1" applyFill="1" applyBorder="1" applyAlignment="1" applyProtection="1">
      <alignment horizontal="center"/>
    </xf>
    <xf numFmtId="0" fontId="9" fillId="92" borderId="61" xfId="0" applyFont="1" applyFill="1" applyBorder="1" applyProtection="1"/>
    <xf numFmtId="0" fontId="9" fillId="0" borderId="58" xfId="0" applyFont="1" applyBorder="1" applyAlignment="1" applyProtection="1">
      <alignment horizontal="right"/>
    </xf>
    <xf numFmtId="0" fontId="9" fillId="92" borderId="64" xfId="0" applyFont="1" applyFill="1" applyBorder="1" applyProtection="1"/>
    <xf numFmtId="169" fontId="15" fillId="0" borderId="65" xfId="0" applyNumberFormat="1" applyFont="1" applyFill="1" applyBorder="1" applyAlignment="1" applyProtection="1">
      <alignment horizontal="center"/>
    </xf>
    <xf numFmtId="0" fontId="9" fillId="92" borderId="67" xfId="0" applyFont="1" applyFill="1" applyBorder="1" applyProtection="1"/>
    <xf numFmtId="0" fontId="9" fillId="92" borderId="68" xfId="0" applyFont="1" applyFill="1" applyBorder="1" applyProtection="1"/>
    <xf numFmtId="0" fontId="9" fillId="92" borderId="69" xfId="0" applyFont="1" applyFill="1" applyBorder="1" applyProtection="1"/>
    <xf numFmtId="0" fontId="7" fillId="0" borderId="70" xfId="0" applyFont="1" applyFill="1" applyBorder="1" applyProtection="1"/>
    <xf numFmtId="0" fontId="16" fillId="94" borderId="46" xfId="0" applyFont="1" applyFill="1" applyBorder="1" applyAlignment="1" applyProtection="1">
      <alignment vertical="center"/>
    </xf>
    <xf numFmtId="0" fontId="16" fillId="94" borderId="56" xfId="0" applyFont="1" applyFill="1" applyBorder="1" applyAlignment="1" applyProtection="1">
      <alignment vertical="center"/>
    </xf>
    <xf numFmtId="0" fontId="16" fillId="94" borderId="7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0" fontId="6" fillId="92" borderId="61" xfId="0" applyFont="1" applyFill="1" applyBorder="1" applyAlignment="1" applyProtection="1">
      <alignment horizontal="center" vertical="center" wrapText="1"/>
    </xf>
    <xf numFmtId="0" fontId="6" fillId="92" borderId="72" xfId="0" applyFont="1" applyFill="1" applyBorder="1" applyAlignment="1" applyProtection="1">
      <alignment horizontal="center" vertical="center" wrapText="1"/>
    </xf>
    <xf numFmtId="0" fontId="6" fillId="92" borderId="73" xfId="0" applyFont="1" applyFill="1" applyBorder="1" applyAlignment="1" applyProtection="1">
      <alignment horizontal="center" vertical="center" wrapText="1"/>
    </xf>
    <xf numFmtId="49" fontId="6" fillId="92" borderId="74" xfId="0" applyNumberFormat="1" applyFont="1" applyFill="1" applyBorder="1" applyAlignment="1" applyProtection="1">
      <alignment horizontal="center" wrapText="1"/>
    </xf>
    <xf numFmtId="49" fontId="6" fillId="92" borderId="75" xfId="0" applyNumberFormat="1" applyFont="1" applyFill="1" applyBorder="1" applyAlignment="1" applyProtection="1">
      <alignment horizontal="center" wrapText="1"/>
    </xf>
    <xf numFmtId="49" fontId="6" fillId="92" borderId="76" xfId="0" applyNumberFormat="1" applyFont="1" applyFill="1" applyBorder="1" applyAlignment="1" applyProtection="1">
      <alignment horizontal="center" wrapText="1"/>
    </xf>
    <xf numFmtId="0" fontId="23" fillId="92" borderId="77" xfId="0" applyFont="1" applyFill="1" applyBorder="1" applyAlignment="1" applyProtection="1">
      <alignment horizontal="center" vertical="center" wrapText="1"/>
    </xf>
    <xf numFmtId="0" fontId="11" fillId="92" borderId="52" xfId="0" applyFont="1" applyFill="1" applyBorder="1" applyProtection="1"/>
    <xf numFmtId="170" fontId="17" fillId="0" borderId="62" xfId="0" applyNumberFormat="1" applyFont="1" applyFill="1" applyBorder="1" applyAlignment="1" applyProtection="1">
      <alignment horizontal="right"/>
    </xf>
    <xf numFmtId="170" fontId="17" fillId="0" borderId="72" xfId="0" applyNumberFormat="1" applyFont="1" applyFill="1" applyBorder="1" applyAlignment="1" applyProtection="1">
      <alignment horizontal="right"/>
    </xf>
    <xf numFmtId="0" fontId="7" fillId="92" borderId="78" xfId="0" applyFont="1" applyFill="1" applyBorder="1" applyProtection="1"/>
    <xf numFmtId="0" fontId="7" fillId="92" borderId="79" xfId="0" applyFont="1" applyFill="1" applyBorder="1" applyProtection="1"/>
    <xf numFmtId="0" fontId="7" fillId="92" borderId="80" xfId="0" applyFont="1" applyFill="1" applyBorder="1" applyProtection="1"/>
    <xf numFmtId="0" fontId="6" fillId="92" borderId="81" xfId="0" applyFont="1" applyFill="1" applyBorder="1" applyAlignment="1" applyProtection="1">
      <alignment horizontal="center"/>
    </xf>
    <xf numFmtId="0" fontId="6" fillId="92" borderId="82" xfId="0" applyFont="1" applyFill="1" applyBorder="1" applyAlignment="1" applyProtection="1">
      <alignment horizontal="right" vertical="center"/>
    </xf>
    <xf numFmtId="0" fontId="6" fillId="92" borderId="83" xfId="0" applyFont="1" applyFill="1" applyBorder="1" applyAlignment="1" applyProtection="1">
      <alignment horizontal="right" vertical="center"/>
    </xf>
    <xf numFmtId="0" fontId="6" fillId="92" borderId="84" xfId="0" applyFont="1" applyFill="1" applyBorder="1" applyAlignment="1" applyProtection="1">
      <alignment horizontal="right" vertical="center"/>
    </xf>
    <xf numFmtId="0" fontId="6" fillId="92" borderId="85" xfId="0" applyFont="1" applyFill="1" applyBorder="1" applyAlignment="1" applyProtection="1">
      <alignment horizontal="right" vertical="center"/>
    </xf>
    <xf numFmtId="0" fontId="6" fillId="92" borderId="86" xfId="0" applyFont="1" applyFill="1" applyBorder="1" applyAlignment="1" applyProtection="1">
      <alignment horizontal="right" vertical="center"/>
    </xf>
    <xf numFmtId="0" fontId="13" fillId="92" borderId="87" xfId="0" applyFont="1" applyFill="1" applyBorder="1" applyProtection="1"/>
    <xf numFmtId="170" fontId="17" fillId="0" borderId="88" xfId="0" applyNumberFormat="1" applyFont="1" applyFill="1" applyBorder="1" applyAlignment="1" applyProtection="1">
      <alignment horizontal="right"/>
    </xf>
    <xf numFmtId="170" fontId="17" fillId="0" borderId="89" xfId="0" applyNumberFormat="1" applyFont="1" applyFill="1" applyBorder="1" applyAlignment="1" applyProtection="1">
      <alignment horizontal="right"/>
    </xf>
    <xf numFmtId="10" fontId="17" fillId="0" borderId="90" xfId="0" applyNumberFormat="1" applyFont="1" applyFill="1" applyBorder="1" applyAlignment="1" applyProtection="1">
      <alignment horizontal="right"/>
    </xf>
    <xf numFmtId="2" fontId="17" fillId="0" borderId="89" xfId="0" applyNumberFormat="1" applyFont="1" applyFill="1" applyBorder="1" applyAlignment="1" applyProtection="1">
      <alignment horizontal="right"/>
    </xf>
    <xf numFmtId="2" fontId="17" fillId="0" borderId="53" xfId="0" applyNumberFormat="1" applyFont="1" applyFill="1" applyBorder="1" applyAlignment="1" applyProtection="1">
      <alignment horizontal="right"/>
    </xf>
    <xf numFmtId="2" fontId="17" fillId="0" borderId="90" xfId="0" applyNumberFormat="1" applyFont="1" applyFill="1" applyBorder="1" applyAlignment="1" applyProtection="1">
      <alignment horizontal="center"/>
    </xf>
    <xf numFmtId="10" fontId="17" fillId="0" borderId="90" xfId="0" applyNumberFormat="1" applyFont="1" applyFill="1" applyBorder="1" applyAlignment="1" applyProtection="1">
      <alignment horizontal="center"/>
    </xf>
    <xf numFmtId="9" fontId="12" fillId="0" borderId="53" xfId="0" applyNumberFormat="1" applyFont="1" applyFill="1" applyBorder="1" applyAlignment="1" applyProtection="1">
      <alignment horizontal="center"/>
    </xf>
    <xf numFmtId="2" fontId="18" fillId="0" borderId="91" xfId="0" applyNumberFormat="1" applyFont="1" applyFill="1" applyBorder="1" applyAlignment="1" applyProtection="1">
      <alignment horizontal="right"/>
    </xf>
    <xf numFmtId="173" fontId="18" fillId="0" borderId="92" xfId="0" applyNumberFormat="1" applyFont="1" applyFill="1" applyBorder="1" applyAlignment="1" applyProtection="1">
      <alignment horizontal="right"/>
    </xf>
    <xf numFmtId="9" fontId="18" fillId="0" borderId="93" xfId="0" applyNumberFormat="1" applyFont="1" applyFill="1" applyBorder="1" applyAlignment="1" applyProtection="1">
      <alignment horizontal="right"/>
    </xf>
    <xf numFmtId="2" fontId="18" fillId="0" borderId="94" xfId="0" applyNumberFormat="1" applyFont="1" applyFill="1" applyBorder="1" applyAlignment="1" applyProtection="1">
      <alignment horizontal="right"/>
    </xf>
    <xf numFmtId="9" fontId="18" fillId="0" borderId="95" xfId="0" applyNumberFormat="1" applyFont="1" applyFill="1" applyBorder="1" applyAlignment="1" applyProtection="1">
      <alignment horizontal="right"/>
    </xf>
    <xf numFmtId="2" fontId="18" fillId="0" borderId="96" xfId="0" applyNumberFormat="1" applyFont="1" applyFill="1" applyBorder="1" applyAlignment="1" applyProtection="1">
      <alignment horizontal="right"/>
    </xf>
    <xf numFmtId="2" fontId="18" fillId="0" borderId="92" xfId="0" applyNumberFormat="1" applyFont="1" applyFill="1" applyBorder="1" applyAlignment="1" applyProtection="1">
      <alignment horizontal="right"/>
    </xf>
    <xf numFmtId="0" fontId="13" fillId="92" borderId="97" xfId="0" applyFont="1" applyFill="1" applyBorder="1" applyProtection="1"/>
    <xf numFmtId="170" fontId="17" fillId="0" borderId="98" xfId="0" applyNumberFormat="1" applyFont="1" applyFill="1" applyBorder="1" applyAlignment="1" applyProtection="1">
      <alignment horizontal="right"/>
    </xf>
    <xf numFmtId="170" fontId="17" fillId="0" borderId="42" xfId="0" applyNumberFormat="1" applyFont="1" applyFill="1" applyBorder="1" applyAlignment="1" applyProtection="1">
      <alignment horizontal="right"/>
    </xf>
    <xf numFmtId="10" fontId="17" fillId="0" borderId="59" xfId="1867" applyNumberFormat="1" applyFont="1" applyFill="1" applyBorder="1" applyAlignment="1" applyProtection="1">
      <alignment horizontal="right"/>
    </xf>
    <xf numFmtId="10" fontId="17" fillId="0" borderId="60" xfId="0" applyNumberFormat="1" applyFont="1" applyFill="1" applyBorder="1" applyAlignment="1" applyProtection="1">
      <alignment horizontal="right"/>
    </xf>
    <xf numFmtId="2" fontId="17" fillId="0" borderId="42" xfId="0" applyNumberFormat="1" applyFont="1" applyFill="1" applyBorder="1" applyAlignment="1" applyProtection="1">
      <alignment horizontal="right"/>
    </xf>
    <xf numFmtId="2" fontId="17" fillId="0" borderId="59" xfId="0" applyNumberFormat="1" applyFont="1" applyFill="1" applyBorder="1" applyAlignment="1" applyProtection="1">
      <alignment horizontal="right"/>
    </xf>
    <xf numFmtId="2" fontId="17" fillId="0" borderId="60" xfId="0" applyNumberFormat="1" applyFont="1" applyFill="1" applyBorder="1" applyAlignment="1" applyProtection="1">
      <alignment horizontal="center"/>
    </xf>
    <xf numFmtId="10" fontId="17" fillId="0" borderId="60" xfId="0" applyNumberFormat="1" applyFont="1" applyFill="1" applyBorder="1" applyAlignment="1" applyProtection="1">
      <alignment horizontal="center"/>
    </xf>
    <xf numFmtId="9" fontId="18" fillId="0" borderId="99" xfId="0" applyNumberFormat="1" applyFont="1" applyFill="1" applyBorder="1" applyAlignment="1" applyProtection="1">
      <alignment horizontal="center"/>
    </xf>
    <xf numFmtId="2" fontId="18" fillId="0" borderId="100" xfId="0" applyNumberFormat="1" applyFont="1" applyFill="1" applyBorder="1" applyAlignment="1" applyProtection="1">
      <alignment horizontal="right"/>
    </xf>
    <xf numFmtId="173" fontId="18" fillId="0" borderId="101" xfId="0" applyNumberFormat="1" applyFont="1" applyFill="1" applyBorder="1" applyAlignment="1" applyProtection="1">
      <alignment horizontal="right"/>
    </xf>
    <xf numFmtId="9" fontId="18" fillId="0" borderId="102" xfId="0" applyNumberFormat="1" applyFont="1" applyFill="1" applyBorder="1" applyAlignment="1" applyProtection="1">
      <alignment horizontal="right"/>
    </xf>
    <xf numFmtId="2" fontId="18" fillId="0" borderId="103" xfId="0" applyNumberFormat="1" applyFont="1" applyFill="1" applyBorder="1" applyAlignment="1" applyProtection="1">
      <alignment horizontal="right"/>
    </xf>
    <xf numFmtId="9" fontId="18" fillId="0" borderId="104" xfId="0" applyNumberFormat="1" applyFont="1" applyFill="1" applyBorder="1" applyAlignment="1" applyProtection="1">
      <alignment horizontal="right"/>
    </xf>
    <xf numFmtId="2" fontId="18" fillId="0" borderId="105" xfId="0" applyNumberFormat="1" applyFont="1" applyFill="1" applyBorder="1" applyAlignment="1" applyProtection="1">
      <alignment horizontal="right"/>
    </xf>
    <xf numFmtId="2" fontId="18" fillId="0" borderId="101" xfId="0" applyNumberFormat="1" applyFont="1" applyFill="1" applyBorder="1" applyAlignment="1" applyProtection="1">
      <alignment horizontal="right"/>
    </xf>
    <xf numFmtId="170" fontId="17" fillId="0" borderId="105" xfId="0" applyNumberFormat="1" applyFont="1" applyFill="1" applyBorder="1" applyAlignment="1" applyProtection="1">
      <alignment horizontal="right"/>
    </xf>
    <xf numFmtId="0" fontId="9" fillId="90" borderId="106" xfId="0" applyFont="1" applyFill="1" applyBorder="1" applyAlignment="1" applyProtection="1">
      <alignment horizontal="center"/>
      <protection locked="0"/>
    </xf>
    <xf numFmtId="2" fontId="20" fillId="0" borderId="107" xfId="0" applyNumberFormat="1" applyFont="1" applyFill="1" applyBorder="1" applyProtection="1">
      <protection locked="0"/>
    </xf>
    <xf numFmtId="2" fontId="17" fillId="0" borderId="60" xfId="0" applyNumberFormat="1" applyFont="1" applyFill="1" applyBorder="1" applyProtection="1">
      <protection locked="0"/>
    </xf>
    <xf numFmtId="2" fontId="17" fillId="0" borderId="42" xfId="0" applyNumberFormat="1" applyFont="1" applyFill="1" applyBorder="1" applyProtection="1">
      <protection locked="0"/>
    </xf>
    <xf numFmtId="0" fontId="7" fillId="0" borderId="43" xfId="0" applyFont="1" applyFill="1" applyBorder="1" applyProtection="1">
      <protection locked="0"/>
    </xf>
    <xf numFmtId="0" fontId="27" fillId="0" borderId="108" xfId="0" applyFont="1" applyFill="1" applyBorder="1" applyProtection="1">
      <protection locked="0"/>
    </xf>
    <xf numFmtId="0" fontId="27" fillId="0" borderId="109" xfId="0" applyFont="1" applyFill="1" applyBorder="1" applyAlignment="1" applyProtection="1">
      <alignment horizontal="right"/>
      <protection locked="0"/>
    </xf>
    <xf numFmtId="1" fontId="9" fillId="90" borderId="110" xfId="1066" applyNumberFormat="1" applyFont="1" applyFill="1" applyBorder="1" applyAlignment="1" applyProtection="1">
      <alignment horizontal="center"/>
      <protection locked="0"/>
    </xf>
    <xf numFmtId="0" fontId="19" fillId="95" borderId="111" xfId="0" applyFont="1" applyFill="1" applyBorder="1" applyAlignment="1" applyProtection="1">
      <alignment horizontal="center"/>
      <protection locked="0"/>
    </xf>
    <xf numFmtId="0" fontId="30" fillId="94" borderId="43" xfId="0" applyFont="1" applyFill="1" applyBorder="1" applyAlignment="1" applyProtection="1">
      <alignment horizontal="center" wrapText="1"/>
    </xf>
    <xf numFmtId="0" fontId="29" fillId="94" borderId="56" xfId="0" applyFont="1" applyFill="1" applyBorder="1" applyAlignment="1" applyProtection="1">
      <alignment horizontal="right" vertical="center"/>
    </xf>
    <xf numFmtId="0" fontId="7" fillId="0" borderId="0" xfId="1540" applyFont="1"/>
    <xf numFmtId="0" fontId="7" fillId="0" borderId="0" xfId="1540" applyFont="1" applyAlignment="1">
      <alignment horizontal="center"/>
    </xf>
    <xf numFmtId="0" fontId="7" fillId="0" borderId="0" xfId="1540" applyFont="1" applyAlignment="1">
      <alignment horizontal="left"/>
    </xf>
    <xf numFmtId="0" fontId="2" fillId="0" borderId="0" xfId="1540"/>
    <xf numFmtId="0" fontId="2" fillId="0" borderId="0" xfId="1540" applyAlignment="1">
      <alignment horizontal="center"/>
    </xf>
    <xf numFmtId="0" fontId="7" fillId="0" borderId="0" xfId="1540" applyFont="1" applyFill="1" applyBorder="1"/>
    <xf numFmtId="0" fontId="7" fillId="0" borderId="0" xfId="1540" applyFont="1" applyFill="1" applyBorder="1" applyAlignment="1">
      <alignment horizontal="center"/>
    </xf>
    <xf numFmtId="0" fontId="7" fillId="0" borderId="14" xfId="1540" applyFont="1" applyFill="1" applyBorder="1" applyAlignment="1">
      <alignment horizontal="center"/>
    </xf>
    <xf numFmtId="169" fontId="7" fillId="0" borderId="14" xfId="1540" applyNumberFormat="1" applyFont="1" applyBorder="1" applyAlignment="1">
      <alignment horizontal="center"/>
    </xf>
    <xf numFmtId="0" fontId="9" fillId="0" borderId="0" xfId="1540" applyFont="1"/>
    <xf numFmtId="0" fontId="34" fillId="0" borderId="14" xfId="1540" applyFont="1" applyBorder="1" applyAlignment="1">
      <alignment horizontal="center"/>
    </xf>
    <xf numFmtId="169" fontId="34" fillId="0" borderId="14" xfId="1540" applyNumberFormat="1" applyFont="1" applyBorder="1" applyAlignment="1">
      <alignment horizontal="center"/>
    </xf>
    <xf numFmtId="0" fontId="7" fillId="0" borderId="14" xfId="1540" applyFont="1" applyBorder="1" applyAlignment="1">
      <alignment horizontal="center"/>
    </xf>
    <xf numFmtId="169" fontId="7" fillId="0" borderId="14" xfId="1540" applyNumberFormat="1" applyFont="1" applyFill="1" applyBorder="1" applyAlignment="1">
      <alignment horizontal="center"/>
    </xf>
    <xf numFmtId="2" fontId="7" fillId="0" borderId="0" xfId="1077" applyNumberFormat="1" applyFont="1" applyFill="1" applyBorder="1" applyAlignment="1">
      <alignment horizontal="center"/>
    </xf>
    <xf numFmtId="0" fontId="7" fillId="0" borderId="14" xfId="1540" applyFont="1" applyBorder="1"/>
    <xf numFmtId="0" fontId="7" fillId="0" borderId="0" xfId="1540" applyFont="1" applyFill="1"/>
    <xf numFmtId="0" fontId="7" fillId="0" borderId="0" xfId="1540" applyFont="1" applyBorder="1"/>
    <xf numFmtId="3" fontId="54" fillId="0" borderId="0" xfId="1540" applyNumberFormat="1" applyFont="1" applyBorder="1" applyAlignment="1">
      <alignment horizontal="center" vertical="center" wrapText="1"/>
    </xf>
    <xf numFmtId="0" fontId="55" fillId="0" borderId="112" xfId="1540" applyFont="1" applyFill="1" applyBorder="1" applyAlignment="1">
      <alignment horizontal="center" vertical="center" wrapText="1"/>
    </xf>
    <xf numFmtId="0" fontId="55" fillId="0" borderId="113" xfId="1540" applyFont="1" applyBorder="1" applyAlignment="1">
      <alignment horizontal="center" vertical="center" wrapText="1"/>
    </xf>
    <xf numFmtId="0" fontId="55" fillId="0" borderId="0" xfId="1540" applyFont="1" applyFill="1" applyBorder="1" applyAlignment="1">
      <alignment horizontal="center" vertical="center" wrapText="1"/>
    </xf>
    <xf numFmtId="0" fontId="7" fillId="0" borderId="0" xfId="1540" applyFont="1" applyBorder="1" applyAlignment="1">
      <alignment horizontal="center"/>
    </xf>
    <xf numFmtId="3" fontId="55" fillId="0" borderId="0" xfId="1540" applyNumberFormat="1" applyFont="1" applyBorder="1" applyAlignment="1">
      <alignment horizontal="center" vertical="center" wrapText="1"/>
    </xf>
    <xf numFmtId="3" fontId="52" fillId="0" borderId="0" xfId="1540" applyNumberFormat="1" applyFont="1" applyBorder="1" applyAlignment="1">
      <alignment horizontal="center" vertical="center" wrapText="1"/>
    </xf>
    <xf numFmtId="3" fontId="52" fillId="92" borderId="0" xfId="1540" applyNumberFormat="1" applyFont="1" applyFill="1" applyBorder="1" applyAlignment="1">
      <alignment horizontal="left" vertical="center"/>
    </xf>
    <xf numFmtId="0" fontId="7" fillId="92" borderId="0" xfId="1540" applyFont="1" applyFill="1" applyBorder="1"/>
    <xf numFmtId="10" fontId="52" fillId="92" borderId="0" xfId="1540" applyNumberFormat="1" applyFont="1" applyFill="1" applyBorder="1" applyAlignment="1">
      <alignment horizontal="center" vertical="center" wrapText="1"/>
    </xf>
    <xf numFmtId="3" fontId="52" fillId="92" borderId="0" xfId="1540" applyNumberFormat="1" applyFont="1" applyFill="1" applyBorder="1" applyAlignment="1">
      <alignment horizontal="center" vertical="center" wrapText="1"/>
    </xf>
    <xf numFmtId="0" fontId="52" fillId="92" borderId="0" xfId="1540" applyFont="1" applyFill="1" applyBorder="1" applyAlignment="1">
      <alignment horizontal="center" vertical="center" wrapText="1"/>
    </xf>
    <xf numFmtId="3" fontId="55" fillId="0" borderId="114" xfId="1540" applyNumberFormat="1" applyFont="1" applyBorder="1" applyAlignment="1">
      <alignment horizontal="center" vertical="center" wrapText="1"/>
    </xf>
    <xf numFmtId="3" fontId="55" fillId="0" borderId="14" xfId="1540" applyNumberFormat="1" applyFont="1" applyBorder="1" applyAlignment="1">
      <alignment horizontal="center" vertical="center" wrapText="1"/>
    </xf>
    <xf numFmtId="0" fontId="7" fillId="0" borderId="115" xfId="1540" applyFont="1" applyBorder="1"/>
    <xf numFmtId="0" fontId="7" fillId="0" borderId="116" xfId="1540" applyFont="1" applyBorder="1"/>
    <xf numFmtId="0" fontId="7" fillId="0" borderId="117" xfId="1540" applyFont="1" applyBorder="1"/>
    <xf numFmtId="0" fontId="7" fillId="0" borderId="116" xfId="1540" applyFont="1" applyBorder="1" applyAlignment="1">
      <alignment horizontal="center"/>
    </xf>
    <xf numFmtId="0" fontId="7" fillId="0" borderId="117" xfId="1540" applyFont="1" applyBorder="1" applyAlignment="1">
      <alignment horizontal="center"/>
    </xf>
    <xf numFmtId="0" fontId="7" fillId="0" borderId="115" xfId="1540" applyFont="1" applyBorder="1" applyAlignment="1">
      <alignment horizontal="center"/>
    </xf>
    <xf numFmtId="3" fontId="34" fillId="0" borderId="114" xfId="1540" applyNumberFormat="1" applyFont="1" applyBorder="1" applyAlignment="1">
      <alignment horizontal="center" vertical="center" wrapText="1"/>
    </xf>
    <xf numFmtId="3" fontId="34" fillId="0" borderId="14" xfId="1540" applyNumberFormat="1" applyFont="1" applyBorder="1" applyAlignment="1">
      <alignment horizontal="center" vertical="center" wrapText="1"/>
    </xf>
    <xf numFmtId="0" fontId="34" fillId="0" borderId="118" xfId="1540" applyFont="1" applyBorder="1" applyAlignment="1">
      <alignment horizontal="center" vertical="center" wrapText="1"/>
    </xf>
    <xf numFmtId="172" fontId="34" fillId="0" borderId="114" xfId="1540" applyNumberFormat="1" applyFont="1" applyBorder="1" applyAlignment="1">
      <alignment horizontal="center" vertical="center" wrapText="1"/>
    </xf>
    <xf numFmtId="171" fontId="34" fillId="0" borderId="14" xfId="1540" applyNumberFormat="1" applyFont="1" applyBorder="1" applyAlignment="1">
      <alignment horizontal="center" vertical="center" wrapText="1"/>
    </xf>
    <xf numFmtId="3" fontId="52" fillId="0" borderId="114" xfId="1540" applyNumberFormat="1" applyFont="1" applyBorder="1" applyAlignment="1">
      <alignment horizontal="center" vertical="center" wrapText="1"/>
    </xf>
    <xf numFmtId="0" fontId="52" fillId="0" borderId="118" xfId="1540" applyFont="1" applyBorder="1" applyAlignment="1">
      <alignment horizontal="center" vertical="center" wrapText="1"/>
    </xf>
    <xf numFmtId="49" fontId="55" fillId="0" borderId="118" xfId="1540" applyNumberFormat="1" applyFont="1" applyBorder="1" applyAlignment="1">
      <alignment horizontal="center" vertical="center" wrapText="1"/>
    </xf>
    <xf numFmtId="172" fontId="55" fillId="0" borderId="114" xfId="1540" applyNumberFormat="1" applyFont="1" applyBorder="1" applyAlignment="1">
      <alignment horizontal="center" vertical="center" wrapText="1"/>
    </xf>
    <xf numFmtId="171" fontId="55" fillId="0" borderId="14" xfId="1540" applyNumberFormat="1" applyFont="1" applyBorder="1" applyAlignment="1">
      <alignment horizontal="center" vertical="center" wrapText="1"/>
    </xf>
    <xf numFmtId="0" fontId="55" fillId="0" borderId="14" xfId="1540" applyFont="1" applyFill="1" applyBorder="1" applyAlignment="1">
      <alignment horizontal="center" vertical="center" wrapText="1"/>
    </xf>
    <xf numFmtId="3" fontId="55" fillId="0" borderId="14" xfId="1540" applyNumberFormat="1" applyFont="1" applyFill="1" applyBorder="1" applyAlignment="1">
      <alignment horizontal="center" vertical="center" wrapText="1"/>
    </xf>
    <xf numFmtId="3" fontId="52" fillId="0" borderId="14" xfId="1540" applyNumberFormat="1" applyFont="1" applyFill="1" applyBorder="1" applyAlignment="1">
      <alignment horizontal="center" vertical="center" wrapText="1"/>
    </xf>
    <xf numFmtId="14" fontId="7" fillId="0" borderId="14" xfId="1540" applyNumberFormat="1" applyFont="1" applyBorder="1" applyAlignment="1">
      <alignment horizontal="center"/>
    </xf>
    <xf numFmtId="14" fontId="34" fillId="0" borderId="14" xfId="1540" applyNumberFormat="1" applyFont="1" applyBorder="1" applyAlignment="1">
      <alignment horizontal="center"/>
    </xf>
    <xf numFmtId="1" fontId="7" fillId="83" borderId="14" xfId="1540" applyNumberFormat="1" applyFont="1" applyFill="1" applyBorder="1" applyAlignment="1">
      <alignment horizontal="center"/>
    </xf>
    <xf numFmtId="0" fontId="6" fillId="0" borderId="0" xfId="0" applyFont="1" applyFill="1" applyBorder="1" applyAlignment="1" applyProtection="1">
      <alignment horizontal="center" vertical="center" wrapText="1"/>
    </xf>
    <xf numFmtId="0" fontId="6" fillId="92" borderId="14" xfId="0" applyFont="1" applyFill="1" applyBorder="1" applyAlignment="1" applyProtection="1">
      <alignment horizontal="center" vertical="center" wrapText="1"/>
    </xf>
    <xf numFmtId="49" fontId="9" fillId="0" borderId="14" xfId="1530" applyNumberFormat="1" applyFont="1" applyFill="1" applyBorder="1" applyAlignment="1">
      <alignment horizontal="center"/>
    </xf>
    <xf numFmtId="0" fontId="56" fillId="0" borderId="0" xfId="1540" applyFont="1" applyFill="1" applyBorder="1" applyAlignment="1">
      <alignment horizontal="left" vertical="center"/>
    </xf>
    <xf numFmtId="0" fontId="6" fillId="92" borderId="14" xfId="0" applyFont="1" applyFill="1" applyBorder="1" applyAlignment="1" applyProtection="1">
      <alignment horizontal="left" vertical="center" wrapText="1"/>
    </xf>
    <xf numFmtId="17" fontId="7" fillId="0" borderId="14" xfId="1540" applyNumberFormat="1" applyFont="1" applyBorder="1" applyAlignment="1">
      <alignment horizontal="left"/>
    </xf>
    <xf numFmtId="0" fontId="2" fillId="0" borderId="0" xfId="1540" applyAlignment="1">
      <alignment vertical="center"/>
    </xf>
    <xf numFmtId="0" fontId="2" fillId="0" borderId="0" xfId="1540" applyFill="1"/>
    <xf numFmtId="0" fontId="2" fillId="0" borderId="0" xfId="1540" applyFill="1" applyAlignment="1">
      <alignment vertical="center"/>
    </xf>
    <xf numFmtId="49" fontId="3" fillId="0" borderId="122" xfId="1164" applyNumberFormat="1" applyFont="1" applyFill="1" applyBorder="1" applyAlignment="1">
      <alignment horizontal="left"/>
    </xf>
    <xf numFmtId="1" fontId="7" fillId="0" borderId="0" xfId="1540" applyNumberFormat="1" applyFont="1" applyFill="1"/>
    <xf numFmtId="0" fontId="3" fillId="0" borderId="122" xfId="1540" applyFont="1" applyFill="1" applyBorder="1" applyAlignment="1" applyProtection="1">
      <alignment horizontal="left" vertical="center"/>
    </xf>
    <xf numFmtId="177" fontId="3" fillId="0" borderId="122" xfId="1164" applyNumberFormat="1" applyFont="1" applyFill="1" applyBorder="1" applyAlignment="1">
      <alignment horizontal="left"/>
    </xf>
    <xf numFmtId="0" fontId="57" fillId="0" borderId="14" xfId="1540" applyFont="1" applyBorder="1" applyAlignment="1" applyProtection="1">
      <alignment vertical="center"/>
    </xf>
    <xf numFmtId="0" fontId="57" fillId="0" borderId="14" xfId="1540" applyFont="1" applyBorder="1" applyAlignment="1" applyProtection="1">
      <alignment horizontal="left" vertical="center"/>
    </xf>
    <xf numFmtId="0" fontId="7" fillId="0" borderId="0" xfId="1540" applyFont="1" applyAlignment="1">
      <alignment horizontal="center" vertical="center"/>
    </xf>
    <xf numFmtId="0" fontId="9" fillId="0" borderId="14" xfId="1540" applyFont="1" applyBorder="1"/>
    <xf numFmtId="0" fontId="9" fillId="92" borderId="39" xfId="0" applyFont="1" applyFill="1" applyBorder="1" applyAlignment="1" applyProtection="1">
      <alignment horizontal="center" wrapText="1"/>
      <protection locked="0"/>
    </xf>
    <xf numFmtId="0" fontId="52" fillId="92" borderId="26" xfId="1540" applyFont="1" applyFill="1" applyBorder="1" applyAlignment="1">
      <alignment horizontal="center" vertical="center" wrapText="1"/>
    </xf>
    <xf numFmtId="0" fontId="7" fillId="92" borderId="123" xfId="1540" applyFont="1" applyFill="1" applyBorder="1"/>
    <xf numFmtId="0" fontId="52" fillId="0" borderId="26" xfId="1540" applyFont="1" applyBorder="1" applyAlignment="1">
      <alignment horizontal="center" vertical="center" wrapText="1"/>
    </xf>
    <xf numFmtId="3" fontId="55" fillId="0" borderId="123" xfId="1540" applyNumberFormat="1" applyFont="1" applyBorder="1" applyAlignment="1">
      <alignment horizontal="center" vertical="center" wrapText="1"/>
    </xf>
    <xf numFmtId="0" fontId="7" fillId="92" borderId="26" xfId="1540" applyFont="1" applyFill="1" applyBorder="1"/>
    <xf numFmtId="0" fontId="29" fillId="94" borderId="124" xfId="0" applyFont="1" applyFill="1" applyBorder="1" applyAlignment="1" applyProtection="1">
      <alignment horizontal="center" vertical="center"/>
    </xf>
    <xf numFmtId="0" fontId="29" fillId="94" borderId="125" xfId="0" applyFont="1" applyFill="1" applyBorder="1" applyAlignment="1" applyProtection="1">
      <alignment horizontal="center" vertical="center"/>
    </xf>
    <xf numFmtId="0" fontId="6" fillId="92" borderId="126" xfId="0" applyFont="1" applyFill="1" applyBorder="1" applyAlignment="1" applyProtection="1">
      <alignment horizontal="center" vertical="center" wrapText="1"/>
    </xf>
    <xf numFmtId="0" fontId="6" fillId="92" borderId="127"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wrapText="1"/>
      <protection locked="0"/>
    </xf>
    <xf numFmtId="0" fontId="7" fillId="0" borderId="0" xfId="1540" applyFont="1" applyBorder="1" applyAlignment="1">
      <alignment wrapText="1"/>
    </xf>
    <xf numFmtId="0" fontId="9" fillId="92" borderId="14" xfId="0" applyFont="1" applyFill="1" applyBorder="1" applyAlignment="1" applyProtection="1">
      <alignment horizontal="center"/>
      <protection locked="0"/>
    </xf>
    <xf numFmtId="1" fontId="52" fillId="83" borderId="14" xfId="1540" applyNumberFormat="1" applyFont="1" applyFill="1" applyBorder="1" applyAlignment="1">
      <alignment horizontal="center"/>
    </xf>
    <xf numFmtId="0" fontId="7" fillId="92" borderId="0" xfId="1540" applyFont="1" applyFill="1"/>
    <xf numFmtId="0" fontId="7" fillId="0" borderId="0" xfId="1540" applyFont="1" applyFill="1" applyAlignment="1">
      <alignment horizontal="center"/>
    </xf>
    <xf numFmtId="178" fontId="7" fillId="0" borderId="14" xfId="1077" applyNumberFormat="1" applyFont="1" applyFill="1" applyBorder="1" applyAlignment="1">
      <alignment horizontal="right"/>
    </xf>
    <xf numFmtId="178" fontId="9" fillId="0" borderId="14" xfId="1077" applyNumberFormat="1" applyFont="1" applyFill="1" applyBorder="1" applyAlignment="1">
      <alignment horizontal="right"/>
    </xf>
    <xf numFmtId="0" fontId="7" fillId="0" borderId="0" xfId="1540" applyFont="1" applyFill="1" applyAlignment="1">
      <alignment horizontal="left"/>
    </xf>
    <xf numFmtId="0" fontId="7" fillId="0" borderId="0" xfId="1540" applyFont="1" applyFill="1" applyAlignment="1">
      <alignment horizontal="center" vertical="center"/>
    </xf>
    <xf numFmtId="0" fontId="7" fillId="0" borderId="128" xfId="1540" applyFont="1" applyBorder="1" applyAlignment="1">
      <alignment horizontal="center"/>
    </xf>
    <xf numFmtId="0" fontId="7" fillId="0" borderId="129" xfId="1540" applyFont="1" applyBorder="1" applyAlignment="1">
      <alignment horizontal="center"/>
    </xf>
    <xf numFmtId="0" fontId="7" fillId="0" borderId="130" xfId="1540" applyFont="1" applyBorder="1" applyAlignment="1">
      <alignment horizontal="center"/>
    </xf>
    <xf numFmtId="0" fontId="55" fillId="0" borderId="131" xfId="1540" applyFont="1" applyBorder="1" applyAlignment="1">
      <alignment horizontal="center" vertical="center" wrapText="1"/>
    </xf>
    <xf numFmtId="3" fontId="52" fillId="0" borderId="14" xfId="1540" applyNumberFormat="1" applyFont="1" applyBorder="1" applyAlignment="1">
      <alignment horizontal="center" vertical="center" wrapText="1"/>
    </xf>
    <xf numFmtId="0" fontId="59" fillId="0" borderId="132" xfId="1540" applyFont="1" applyBorder="1" applyAlignment="1">
      <alignment horizontal="center" vertical="center" wrapText="1"/>
    </xf>
    <xf numFmtId="0" fontId="59" fillId="0" borderId="133" xfId="1540" applyFont="1" applyBorder="1" applyAlignment="1">
      <alignment horizontal="center" vertical="center" wrapText="1"/>
    </xf>
    <xf numFmtId="0" fontId="7" fillId="0" borderId="14" xfId="1540" applyNumberFormat="1" applyFont="1" applyBorder="1" applyAlignment="1">
      <alignment horizontal="center"/>
    </xf>
    <xf numFmtId="2" fontId="17" fillId="0" borderId="107" xfId="0" applyNumberFormat="1" applyFont="1" applyFill="1" applyBorder="1" applyProtection="1">
      <protection locked="0"/>
    </xf>
    <xf numFmtId="49" fontId="60" fillId="0" borderId="118" xfId="1540" applyNumberFormat="1" applyFont="1" applyBorder="1" applyAlignment="1">
      <alignment horizontal="center" vertical="center" wrapText="1"/>
    </xf>
    <xf numFmtId="3" fontId="60" fillId="0" borderId="14" xfId="1540" applyNumberFormat="1" applyFont="1" applyBorder="1" applyAlignment="1">
      <alignment horizontal="center" vertical="center" wrapText="1"/>
    </xf>
    <xf numFmtId="172" fontId="60" fillId="0" borderId="114" xfId="1540" applyNumberFormat="1" applyFont="1" applyBorder="1" applyAlignment="1">
      <alignment horizontal="center" vertical="center" wrapText="1"/>
    </xf>
    <xf numFmtId="0" fontId="60" fillId="0" borderId="116" xfId="1540" applyFont="1" applyBorder="1" applyAlignment="1">
      <alignment horizontal="center" vertical="center" wrapText="1"/>
    </xf>
    <xf numFmtId="10" fontId="60" fillId="0" borderId="116" xfId="1540" applyNumberFormat="1" applyFont="1" applyBorder="1" applyAlignment="1">
      <alignment horizontal="center" vertical="center" wrapText="1"/>
    </xf>
    <xf numFmtId="3" fontId="60" fillId="0" borderId="116" xfId="1540" applyNumberFormat="1" applyFont="1" applyBorder="1" applyAlignment="1">
      <alignment horizontal="center" vertical="center" wrapText="1"/>
    </xf>
    <xf numFmtId="3" fontId="60" fillId="0" borderId="115" xfId="1540" applyNumberFormat="1" applyFont="1" applyBorder="1" applyAlignment="1">
      <alignment horizontal="center" vertical="center" wrapText="1"/>
    </xf>
    <xf numFmtId="171" fontId="60" fillId="0" borderId="14" xfId="1540" applyNumberFormat="1" applyFont="1" applyBorder="1" applyAlignment="1">
      <alignment horizontal="center" vertical="center" wrapText="1"/>
    </xf>
    <xf numFmtId="0" fontId="9" fillId="92" borderId="114" xfId="0" applyFont="1" applyFill="1" applyBorder="1" applyAlignment="1" applyProtection="1">
      <alignment horizontal="center" wrapText="1"/>
      <protection locked="0"/>
    </xf>
    <xf numFmtId="0" fontId="9" fillId="92" borderId="118" xfId="0" applyFont="1" applyFill="1" applyBorder="1" applyAlignment="1" applyProtection="1">
      <alignment horizontal="center" wrapText="1"/>
      <protection locked="0"/>
    </xf>
    <xf numFmtId="0" fontId="7" fillId="86" borderId="126" xfId="1540" applyFont="1" applyFill="1" applyBorder="1" applyAlignment="1">
      <alignment horizontal="left" wrapText="1"/>
    </xf>
    <xf numFmtId="0" fontId="7" fillId="86" borderId="127" xfId="1540" applyFont="1" applyFill="1" applyBorder="1" applyAlignment="1">
      <alignment horizontal="left" wrapText="1"/>
    </xf>
    <xf numFmtId="1" fontId="7" fillId="86" borderId="14" xfId="1540" applyNumberFormat="1" applyFont="1" applyFill="1" applyBorder="1" applyAlignment="1">
      <alignment horizontal="center"/>
    </xf>
    <xf numFmtId="1" fontId="7" fillId="86" borderId="14" xfId="1077" applyNumberFormat="1" applyFont="1" applyFill="1" applyBorder="1" applyAlignment="1">
      <alignment horizontal="center"/>
    </xf>
    <xf numFmtId="4" fontId="7" fillId="86" borderId="60" xfId="1774" applyNumberFormat="1" applyFont="1" applyFill="1" applyBorder="1" applyAlignment="1" applyProtection="1">
      <alignment horizontal="right"/>
      <protection locked="0"/>
    </xf>
    <xf numFmtId="4" fontId="7" fillId="86" borderId="42" xfId="0" applyNumberFormat="1" applyFont="1" applyFill="1" applyBorder="1" applyProtection="1">
      <protection locked="0"/>
    </xf>
    <xf numFmtId="4" fontId="7" fillId="86" borderId="66" xfId="1774" applyNumberFormat="1" applyFont="1" applyFill="1" applyBorder="1" applyAlignment="1" applyProtection="1">
      <alignment horizontal="right"/>
      <protection locked="0"/>
    </xf>
    <xf numFmtId="4" fontId="7" fillId="86" borderId="107" xfId="0" applyNumberFormat="1" applyFont="1" applyFill="1" applyBorder="1" applyProtection="1">
      <protection locked="0"/>
    </xf>
    <xf numFmtId="4" fontId="7" fillId="86" borderId="134" xfId="0" applyNumberFormat="1" applyFont="1" applyFill="1" applyBorder="1" applyProtection="1">
      <protection locked="0"/>
    </xf>
    <xf numFmtId="2" fontId="7" fillId="86" borderId="14" xfId="1540" applyNumberFormat="1" applyFont="1" applyFill="1" applyBorder="1" applyAlignment="1">
      <alignment horizontal="center" vertical="center"/>
    </xf>
    <xf numFmtId="2" fontId="7" fillId="86" borderId="14" xfId="1077" applyNumberFormat="1" applyFont="1" applyFill="1" applyBorder="1" applyAlignment="1">
      <alignment horizontal="center"/>
    </xf>
    <xf numFmtId="0" fontId="38" fillId="86" borderId="0" xfId="1540" applyFont="1" applyFill="1" applyAlignment="1">
      <alignment horizontal="left"/>
    </xf>
    <xf numFmtId="0" fontId="7" fillId="86" borderId="0" xfId="1540" applyFont="1" applyFill="1" applyAlignment="1">
      <alignment horizontal="center"/>
    </xf>
    <xf numFmtId="0" fontId="7" fillId="86" borderId="0" xfId="1540" applyFont="1" applyFill="1" applyAlignment="1">
      <alignment horizontal="center" vertical="center"/>
    </xf>
    <xf numFmtId="0" fontId="7" fillId="86" borderId="0" xfId="1540" applyFont="1" applyFill="1" applyBorder="1" applyAlignment="1">
      <alignment horizontal="center"/>
    </xf>
    <xf numFmtId="0" fontId="7" fillId="86" borderId="0" xfId="1540" applyFont="1" applyFill="1" applyAlignment="1">
      <alignment horizontal="left"/>
    </xf>
    <xf numFmtId="3" fontId="180" fillId="0" borderId="14" xfId="1540" applyNumberFormat="1" applyFont="1" applyBorder="1" applyAlignment="1">
      <alignment horizontal="center" vertical="center" wrapText="1"/>
    </xf>
    <xf numFmtId="172" fontId="180" fillId="0" borderId="114" xfId="1540" applyNumberFormat="1" applyFont="1" applyBorder="1" applyAlignment="1">
      <alignment horizontal="center" vertical="center" wrapText="1"/>
    </xf>
    <xf numFmtId="171" fontId="180" fillId="0" borderId="14" xfId="1540" applyNumberFormat="1" applyFont="1" applyBorder="1" applyAlignment="1">
      <alignment horizontal="center" vertical="center" wrapText="1"/>
    </xf>
    <xf numFmtId="3" fontId="180" fillId="0" borderId="114" xfId="1540" applyNumberFormat="1" applyFont="1" applyBorder="1" applyAlignment="1">
      <alignment horizontal="center" vertical="center" wrapText="1"/>
    </xf>
    <xf numFmtId="10" fontId="180" fillId="0" borderId="14" xfId="1540" applyNumberFormat="1" applyFont="1" applyBorder="1" applyAlignment="1">
      <alignment horizontal="center" vertical="center" wrapText="1"/>
    </xf>
    <xf numFmtId="0" fontId="180" fillId="0" borderId="14" xfId="1540" applyFont="1" applyBorder="1" applyAlignment="1">
      <alignment horizontal="center" vertical="center" wrapText="1"/>
    </xf>
    <xf numFmtId="0" fontId="181" fillId="0" borderId="14" xfId="1540" applyFont="1" applyBorder="1" applyAlignment="1">
      <alignment horizontal="right" vertical="center" wrapText="1"/>
    </xf>
    <xf numFmtId="49" fontId="180" fillId="0" borderId="118" xfId="1540" applyNumberFormat="1" applyFont="1" applyBorder="1" applyAlignment="1">
      <alignment horizontal="center" vertical="center" wrapText="1"/>
    </xf>
    <xf numFmtId="0" fontId="180" fillId="0" borderId="118" xfId="1540" applyNumberFormat="1" applyFont="1" applyBorder="1" applyAlignment="1">
      <alignment horizontal="center" vertical="center" wrapText="1"/>
    </xf>
    <xf numFmtId="1" fontId="9" fillId="92" borderId="14" xfId="0" applyNumberFormat="1" applyFont="1" applyFill="1" applyBorder="1" applyAlignment="1" applyProtection="1">
      <alignment horizontal="center" wrapText="1"/>
      <protection locked="0"/>
    </xf>
    <xf numFmtId="3" fontId="7" fillId="0" borderId="14" xfId="1540" applyNumberFormat="1" applyFont="1" applyBorder="1" applyAlignment="1">
      <alignment horizontal="center" vertical="center" wrapText="1"/>
    </xf>
    <xf numFmtId="3" fontId="7" fillId="0" borderId="114" xfId="1540" applyNumberFormat="1" applyFont="1" applyBorder="1" applyAlignment="1">
      <alignment horizontal="center" vertical="center" wrapText="1"/>
    </xf>
    <xf numFmtId="49" fontId="7" fillId="0" borderId="118" xfId="1540" applyNumberFormat="1" applyFont="1" applyBorder="1" applyAlignment="1">
      <alignment horizontal="center" vertical="center" wrapText="1"/>
    </xf>
    <xf numFmtId="0" fontId="7" fillId="0" borderId="14" xfId="1540" applyFont="1" applyBorder="1" applyAlignment="1">
      <alignment horizontal="left" vertical="center"/>
    </xf>
    <xf numFmtId="0" fontId="7" fillId="0" borderId="14" xfId="1540" applyFont="1" applyBorder="1" applyAlignment="1">
      <alignment horizontal="left"/>
    </xf>
    <xf numFmtId="0" fontId="7" fillId="86" borderId="0" xfId="1540" applyFont="1" applyFill="1" applyAlignment="1">
      <alignment horizontal="left" wrapText="1"/>
    </xf>
    <xf numFmtId="176" fontId="7" fillId="86" borderId="14" xfId="1066" applyNumberFormat="1" applyFont="1" applyFill="1" applyBorder="1" applyAlignment="1">
      <alignment horizontal="center"/>
    </xf>
    <xf numFmtId="176" fontId="7" fillId="0" borderId="14" xfId="1066" applyNumberFormat="1" applyFont="1" applyBorder="1" applyAlignment="1">
      <alignment horizontal="center"/>
    </xf>
    <xf numFmtId="176" fontId="7" fillId="0" borderId="14" xfId="1066" applyNumberFormat="1" applyFont="1" applyFill="1" applyBorder="1" applyAlignment="1">
      <alignment horizontal="center"/>
    </xf>
    <xf numFmtId="176" fontId="7" fillId="0" borderId="0" xfId="1066" applyNumberFormat="1" applyFont="1" applyFill="1" applyBorder="1" applyAlignment="1">
      <alignment horizontal="center"/>
    </xf>
    <xf numFmtId="0" fontId="23" fillId="86" borderId="14" xfId="1540" applyFont="1" applyFill="1" applyBorder="1" applyAlignment="1" applyProtection="1">
      <alignment horizontal="left" vertical="center"/>
    </xf>
    <xf numFmtId="0" fontId="23" fillId="86" borderId="14" xfId="1164" applyNumberFormat="1" applyFont="1" applyFill="1" applyBorder="1" applyAlignment="1">
      <alignment horizontal="left"/>
    </xf>
    <xf numFmtId="0" fontId="7" fillId="0" borderId="14" xfId="1540" applyFont="1" applyFill="1" applyBorder="1"/>
    <xf numFmtId="0" fontId="7" fillId="0" borderId="14" xfId="1540" applyFont="1" applyFill="1" applyBorder="1" applyAlignment="1">
      <alignment horizontal="center" vertical="center"/>
    </xf>
    <xf numFmtId="3" fontId="180" fillId="0" borderId="14" xfId="1540" applyNumberFormat="1" applyFont="1" applyFill="1" applyBorder="1" applyAlignment="1">
      <alignment horizontal="center" vertical="center" wrapText="1"/>
    </xf>
    <xf numFmtId="3" fontId="34" fillId="0" borderId="14" xfId="1540" applyNumberFormat="1" applyFont="1" applyFill="1" applyBorder="1" applyAlignment="1">
      <alignment horizontal="center" vertical="center" wrapText="1"/>
    </xf>
    <xf numFmtId="0" fontId="7" fillId="0" borderId="116" xfId="1540" applyFont="1" applyFill="1" applyBorder="1"/>
    <xf numFmtId="176" fontId="182" fillId="0" borderId="0" xfId="1540" applyNumberFormat="1" applyFont="1" applyAlignment="1">
      <alignment horizontal="center" vertical="center"/>
    </xf>
    <xf numFmtId="0" fontId="2" fillId="0" borderId="0" xfId="1540" applyAlignment="1">
      <alignment horizontal="center" vertical="center"/>
    </xf>
    <xf numFmtId="169" fontId="7" fillId="0" borderId="14" xfId="1540" applyNumberFormat="1" applyFont="1" applyFill="1" applyBorder="1" applyAlignment="1">
      <alignment horizontal="center" vertical="center"/>
    </xf>
    <xf numFmtId="169" fontId="7" fillId="0" borderId="14" xfId="1540" applyNumberFormat="1" applyFont="1" applyBorder="1" applyAlignment="1">
      <alignment horizontal="center" vertical="center"/>
    </xf>
    <xf numFmtId="169" fontId="34" fillId="0" borderId="14" xfId="1540" applyNumberFormat="1" applyFont="1" applyBorder="1" applyAlignment="1">
      <alignment horizontal="center" vertical="center"/>
    </xf>
    <xf numFmtId="1" fontId="2" fillId="0" borderId="0" xfId="1540" applyNumberFormat="1" applyAlignment="1">
      <alignment horizontal="center" vertical="center"/>
    </xf>
    <xf numFmtId="1" fontId="7" fillId="0" borderId="14" xfId="1540" applyNumberFormat="1" applyFont="1" applyBorder="1" applyAlignment="1">
      <alignment horizontal="center" vertical="center"/>
    </xf>
    <xf numFmtId="0" fontId="29" fillId="94" borderId="124" xfId="0" applyFont="1" applyFill="1" applyBorder="1" applyAlignment="1">
      <alignment horizontal="center" vertical="center"/>
    </xf>
    <xf numFmtId="1" fontId="7" fillId="0" borderId="0" xfId="1540" applyNumberFormat="1" applyFont="1"/>
    <xf numFmtId="0" fontId="9" fillId="0" borderId="14" xfId="1540" applyFont="1" applyBorder="1" applyAlignment="1">
      <alignment horizontal="left" vertical="center" wrapText="1"/>
    </xf>
    <xf numFmtId="1" fontId="7" fillId="0" borderId="0" xfId="1540" applyNumberFormat="1" applyFont="1" applyAlignment="1">
      <alignment vertical="center"/>
    </xf>
    <xf numFmtId="49" fontId="9" fillId="0" borderId="14" xfId="1540" applyNumberFormat="1" applyFont="1" applyBorder="1" applyAlignment="1">
      <alignment horizontal="left" vertical="center" wrapText="1"/>
    </xf>
    <xf numFmtId="0" fontId="7" fillId="0" borderId="0" xfId="1540" applyFont="1" applyAlignment="1">
      <alignment horizontal="left" vertical="center"/>
    </xf>
    <xf numFmtId="0" fontId="53" fillId="0" borderId="0" xfId="1540" applyFont="1" applyAlignment="1">
      <alignment horizontal="left" vertical="center"/>
    </xf>
    <xf numFmtId="0" fontId="32" fillId="0" borderId="0" xfId="1540" applyFont="1" applyAlignment="1">
      <alignment horizontal="center"/>
    </xf>
    <xf numFmtId="0" fontId="32" fillId="0" borderId="0" xfId="1540" applyFont="1" applyAlignment="1">
      <alignment horizontal="left"/>
    </xf>
    <xf numFmtId="0" fontId="32" fillId="0" borderId="0" xfId="1540" applyFont="1" applyAlignment="1">
      <alignment horizontal="center" vertical="center"/>
    </xf>
    <xf numFmtId="0" fontId="11" fillId="0" borderId="0" xfId="1540" applyFont="1" applyAlignment="1">
      <alignment horizontal="left"/>
    </xf>
    <xf numFmtId="2" fontId="47" fillId="0" borderId="0" xfId="1540" applyNumberFormat="1" applyFont="1" applyAlignment="1">
      <alignment horizontal="center"/>
    </xf>
    <xf numFmtId="0" fontId="29" fillId="94" borderId="0" xfId="0" applyFont="1" applyFill="1" applyBorder="1" applyAlignment="1" applyProtection="1">
      <alignment horizontal="center" vertical="center" wrapText="1"/>
      <protection locked="0"/>
    </xf>
    <xf numFmtId="49" fontId="52" fillId="0" borderId="14" xfId="1540" applyNumberFormat="1" applyFont="1" applyBorder="1" applyAlignment="1">
      <alignment horizontal="center" vertical="center" wrapText="1"/>
    </xf>
    <xf numFmtId="3" fontId="54" fillId="0" borderId="14" xfId="1540" applyNumberFormat="1" applyFont="1" applyBorder="1" applyAlignment="1">
      <alignment horizontal="center" vertical="center" wrapText="1"/>
    </xf>
    <xf numFmtId="49" fontId="180" fillId="0" borderId="14" xfId="1540" applyNumberFormat="1" applyFont="1" applyBorder="1" applyAlignment="1">
      <alignment horizontal="center" vertical="center" wrapText="1"/>
    </xf>
    <xf numFmtId="0" fontId="55" fillId="0" borderId="14" xfId="1540" applyFont="1" applyBorder="1" applyAlignment="1">
      <alignment horizontal="center" vertical="center" wrapText="1"/>
    </xf>
    <xf numFmtId="0" fontId="59" fillId="0" borderId="14" xfId="1540" applyFont="1" applyBorder="1" applyAlignment="1">
      <alignment horizontal="center" vertical="center"/>
    </xf>
    <xf numFmtId="0" fontId="55" fillId="0" borderId="14" xfId="1540" applyFont="1" applyBorder="1" applyAlignment="1">
      <alignment horizontal="left" vertical="center" wrapText="1"/>
    </xf>
    <xf numFmtId="0" fontId="59" fillId="0" borderId="14" xfId="1540" applyFont="1" applyBorder="1" applyAlignment="1">
      <alignment horizontal="center" vertical="center" wrapText="1"/>
    </xf>
    <xf numFmtId="3" fontId="35" fillId="0" borderId="14" xfId="1540" applyNumberFormat="1" applyFont="1" applyBorder="1" applyAlignment="1">
      <alignment horizontal="center" vertical="center" wrapText="1"/>
    </xf>
    <xf numFmtId="171" fontId="34" fillId="0" borderId="114" xfId="1540" applyNumberFormat="1" applyFont="1" applyBorder="1" applyAlignment="1">
      <alignment horizontal="center" vertical="center" wrapText="1"/>
    </xf>
    <xf numFmtId="0" fontId="9" fillId="92" borderId="14" xfId="0" applyFont="1" applyFill="1" applyBorder="1" applyAlignment="1" applyProtection="1">
      <alignment horizontal="center" wrapText="1"/>
      <protection locked="0"/>
    </xf>
    <xf numFmtId="1" fontId="60" fillId="0" borderId="14" xfId="1540" applyNumberFormat="1" applyFont="1" applyBorder="1" applyAlignment="1">
      <alignment horizontal="center" vertical="center" wrapText="1"/>
    </xf>
    <xf numFmtId="10" fontId="55" fillId="0" borderId="14" xfId="1540" applyNumberFormat="1" applyFont="1" applyBorder="1" applyAlignment="1">
      <alignment horizontal="center" vertical="center" wrapText="1"/>
    </xf>
    <xf numFmtId="49" fontId="60" fillId="0" borderId="117" xfId="1540" applyNumberFormat="1" applyFont="1" applyBorder="1" applyAlignment="1">
      <alignment horizontal="center" vertical="center" wrapText="1"/>
    </xf>
    <xf numFmtId="0" fontId="9" fillId="92" borderId="118" xfId="0" applyFont="1" applyFill="1" applyBorder="1" applyAlignment="1" applyProtection="1">
      <alignment horizontal="center" vertical="center" wrapText="1"/>
      <protection locked="0"/>
    </xf>
    <xf numFmtId="0" fontId="9" fillId="92" borderId="14" xfId="0" applyFont="1" applyFill="1" applyBorder="1" applyAlignment="1" applyProtection="1">
      <alignment horizontal="center" vertical="center" wrapText="1"/>
      <protection locked="0"/>
    </xf>
    <xf numFmtId="0" fontId="9" fillId="92" borderId="114" xfId="0" applyFont="1" applyFill="1" applyBorder="1" applyAlignment="1" applyProtection="1">
      <alignment horizontal="center" vertical="center" wrapText="1"/>
      <protection locked="0"/>
    </xf>
    <xf numFmtId="49" fontId="55" fillId="128" borderId="118" xfId="1540" applyNumberFormat="1" applyFont="1" applyFill="1" applyBorder="1" applyAlignment="1">
      <alignment horizontal="center" vertical="center" wrapText="1"/>
    </xf>
    <xf numFmtId="3" fontId="55" fillId="128" borderId="14" xfId="1540" applyNumberFormat="1" applyFont="1" applyFill="1" applyBorder="1" applyAlignment="1">
      <alignment horizontal="center" vertical="center" wrapText="1"/>
    </xf>
    <xf numFmtId="171" fontId="55" fillId="128" borderId="14" xfId="1540" applyNumberFormat="1" applyFont="1" applyFill="1" applyBorder="1" applyAlignment="1">
      <alignment horizontal="center" vertical="center" wrapText="1"/>
    </xf>
    <xf numFmtId="172" fontId="55" fillId="128" borderId="114" xfId="1540" applyNumberFormat="1" applyFont="1" applyFill="1" applyBorder="1" applyAlignment="1">
      <alignment horizontal="center" vertical="center" wrapText="1"/>
    </xf>
    <xf numFmtId="3" fontId="7" fillId="128" borderId="14" xfId="1540" applyNumberFormat="1" applyFont="1" applyFill="1" applyBorder="1" applyAlignment="1">
      <alignment horizontal="center" vertical="center" wrapText="1"/>
    </xf>
    <xf numFmtId="171" fontId="7" fillId="128" borderId="14" xfId="1540" applyNumberFormat="1" applyFont="1" applyFill="1" applyBorder="1" applyAlignment="1">
      <alignment horizontal="center" vertical="center" wrapText="1"/>
    </xf>
    <xf numFmtId="172" fontId="7" fillId="128" borderId="114" xfId="1540" applyNumberFormat="1" applyFont="1" applyFill="1" applyBorder="1" applyAlignment="1">
      <alignment horizontal="center" vertical="center" wrapText="1"/>
    </xf>
    <xf numFmtId="178" fontId="7" fillId="0" borderId="14" xfId="1540" applyNumberFormat="1" applyFont="1" applyBorder="1"/>
    <xf numFmtId="3" fontId="7" fillId="0" borderId="14" xfId="1540" applyNumberFormat="1" applyFont="1" applyBorder="1"/>
    <xf numFmtId="2" fontId="17" fillId="0" borderId="54" xfId="0" applyNumberFormat="1" applyFont="1" applyFill="1" applyBorder="1" applyProtection="1">
      <protection locked="0"/>
    </xf>
    <xf numFmtId="1" fontId="7" fillId="0" borderId="0" xfId="1540" applyNumberFormat="1" applyFont="1" applyAlignment="1">
      <alignment horizontal="center"/>
    </xf>
    <xf numFmtId="1" fontId="6" fillId="92" borderId="14" xfId="0" applyNumberFormat="1" applyFont="1" applyFill="1" applyBorder="1" applyAlignment="1" applyProtection="1">
      <alignment horizontal="center" vertical="center" wrapText="1"/>
    </xf>
    <xf numFmtId="1" fontId="7" fillId="0" borderId="14" xfId="1077" applyNumberFormat="1" applyFont="1" applyFill="1" applyBorder="1" applyAlignment="1">
      <alignment horizontal="center"/>
    </xf>
    <xf numFmtId="1" fontId="7" fillId="86" borderId="0" xfId="1540" applyNumberFormat="1" applyFont="1" applyFill="1" applyAlignment="1">
      <alignment horizontal="center"/>
    </xf>
    <xf numFmtId="1" fontId="7" fillId="0" borderId="0" xfId="1540" applyNumberFormat="1" applyFont="1" applyFill="1" applyAlignment="1">
      <alignment horizontal="center"/>
    </xf>
    <xf numFmtId="176" fontId="7" fillId="0" borderId="0" xfId="1540" applyNumberFormat="1" applyFont="1" applyAlignment="1">
      <alignment horizontal="center" vertical="center"/>
    </xf>
    <xf numFmtId="176" fontId="6" fillId="92" borderId="14" xfId="0" applyNumberFormat="1" applyFont="1" applyFill="1" applyBorder="1" applyAlignment="1" applyProtection="1">
      <alignment horizontal="center" vertical="center" wrapText="1"/>
    </xf>
    <xf numFmtId="176" fontId="7" fillId="86" borderId="14" xfId="1066" applyNumberFormat="1" applyFont="1" applyFill="1" applyBorder="1" applyAlignment="1">
      <alignment horizontal="center" vertical="center"/>
    </xf>
    <xf numFmtId="176" fontId="7" fillId="86" borderId="0" xfId="1540" applyNumberFormat="1" applyFont="1" applyFill="1" applyAlignment="1">
      <alignment horizontal="center" vertical="center"/>
    </xf>
    <xf numFmtId="176" fontId="7" fillId="0" borderId="0" xfId="1540" applyNumberFormat="1" applyFont="1" applyFill="1" applyAlignment="1">
      <alignment horizontal="center" vertical="center"/>
    </xf>
    <xf numFmtId="3" fontId="7" fillId="0" borderId="14" xfId="1540" applyNumberFormat="1" applyFont="1" applyFill="1" applyBorder="1"/>
    <xf numFmtId="0" fontId="138" fillId="0" borderId="14" xfId="1540" applyFont="1" applyBorder="1" applyAlignment="1">
      <alignment vertical="center" wrapText="1"/>
    </xf>
    <xf numFmtId="0" fontId="35" fillId="0" borderId="14" xfId="1540" applyFont="1" applyBorder="1" applyAlignment="1">
      <alignment horizontal="center" vertical="center" wrapText="1"/>
    </xf>
    <xf numFmtId="180" fontId="52" fillId="0" borderId="14" xfId="1540" applyNumberFormat="1" applyFont="1" applyBorder="1" applyAlignment="1">
      <alignment horizontal="center" vertical="center" wrapText="1"/>
    </xf>
    <xf numFmtId="180" fontId="180" fillId="0" borderId="14" xfId="1540" applyNumberFormat="1" applyFont="1" applyFill="1" applyBorder="1" applyAlignment="1">
      <alignment horizontal="center" vertical="center" wrapText="1"/>
    </xf>
    <xf numFmtId="17" fontId="183" fillId="0" borderId="14" xfId="1540" applyNumberFormat="1" applyFont="1" applyBorder="1" applyAlignment="1">
      <alignment horizontal="left"/>
    </xf>
    <xf numFmtId="1" fontId="183" fillId="0" borderId="14" xfId="1077" applyNumberFormat="1" applyFont="1" applyFill="1" applyBorder="1" applyAlignment="1">
      <alignment horizontal="center"/>
    </xf>
    <xf numFmtId="176" fontId="183" fillId="86" borderId="14" xfId="1066" applyNumberFormat="1" applyFont="1" applyFill="1" applyBorder="1" applyAlignment="1">
      <alignment horizontal="center" vertical="center"/>
    </xf>
    <xf numFmtId="2" fontId="183" fillId="86" borderId="14" xfId="1540" applyNumberFormat="1" applyFont="1" applyFill="1" applyBorder="1" applyAlignment="1">
      <alignment horizontal="center" vertical="center"/>
    </xf>
    <xf numFmtId="2" fontId="183" fillId="0" borderId="0" xfId="1077" applyNumberFormat="1" applyFont="1" applyFill="1" applyBorder="1" applyAlignment="1">
      <alignment horizontal="center"/>
    </xf>
    <xf numFmtId="2" fontId="183" fillId="86" borderId="14" xfId="1077" applyNumberFormat="1" applyFont="1" applyFill="1" applyBorder="1" applyAlignment="1">
      <alignment horizontal="center"/>
    </xf>
    <xf numFmtId="1" fontId="183" fillId="86" borderId="14" xfId="1077" applyNumberFormat="1" applyFont="1" applyFill="1" applyBorder="1" applyAlignment="1">
      <alignment horizontal="center"/>
    </xf>
    <xf numFmtId="0" fontId="183" fillId="0" borderId="0" xfId="1540" applyFont="1"/>
    <xf numFmtId="0" fontId="184" fillId="0" borderId="0" xfId="0" applyFont="1"/>
    <xf numFmtId="49" fontId="7" fillId="86" borderId="126" xfId="1540" applyNumberFormat="1" applyFont="1" applyFill="1" applyBorder="1" applyAlignment="1">
      <alignment horizontal="left" wrapText="1"/>
    </xf>
    <xf numFmtId="49" fontId="7" fillId="86" borderId="127" xfId="1540" applyNumberFormat="1" applyFont="1" applyFill="1" applyBorder="1" applyAlignment="1">
      <alignment horizontal="left" wrapText="1"/>
    </xf>
    <xf numFmtId="17" fontId="7" fillId="129" borderId="14" xfId="1540" applyNumberFormat="1" applyFont="1" applyFill="1" applyBorder="1" applyAlignment="1">
      <alignment horizontal="left"/>
    </xf>
    <xf numFmtId="2" fontId="20" fillId="92" borderId="42" xfId="0" applyNumberFormat="1" applyFont="1" applyFill="1" applyBorder="1" applyProtection="1">
      <protection locked="0"/>
    </xf>
    <xf numFmtId="2" fontId="15" fillId="130" borderId="42" xfId="0" applyNumberFormat="1" applyFont="1" applyFill="1" applyBorder="1" applyProtection="1">
      <protection locked="0"/>
    </xf>
    <xf numFmtId="176" fontId="7" fillId="0" borderId="0" xfId="1066" applyNumberFormat="1" applyFont="1"/>
    <xf numFmtId="176" fontId="9" fillId="0" borderId="0" xfId="1066" applyNumberFormat="1" applyFont="1"/>
    <xf numFmtId="0" fontId="7" fillId="0" borderId="0" xfId="1540" applyFont="1" applyAlignment="1">
      <alignment horizontal="center" wrapText="1"/>
    </xf>
    <xf numFmtId="176" fontId="7" fillId="0" borderId="0" xfId="1540" applyNumberFormat="1" applyFont="1" applyAlignment="1">
      <alignment horizontal="center"/>
    </xf>
    <xf numFmtId="176" fontId="7" fillId="0" borderId="0" xfId="1540" applyNumberFormat="1" applyFont="1"/>
    <xf numFmtId="17" fontId="7" fillId="0" borderId="0" xfId="1540" applyNumberFormat="1" applyFont="1"/>
    <xf numFmtId="0" fontId="9" fillId="0" borderId="14" xfId="0" applyFont="1" applyBorder="1" applyAlignment="1">
      <alignment horizontal="center"/>
    </xf>
    <xf numFmtId="4" fontId="7" fillId="131" borderId="60" xfId="1774" applyNumberFormat="1" applyFont="1" applyFill="1" applyBorder="1" applyAlignment="1" applyProtection="1">
      <alignment horizontal="right"/>
      <protection locked="0"/>
    </xf>
    <xf numFmtId="4" fontId="7" fillId="131" borderId="42" xfId="0" applyNumberFormat="1" applyFont="1" applyFill="1" applyBorder="1" applyProtection="1">
      <protection locked="0"/>
    </xf>
    <xf numFmtId="4" fontId="7" fillId="131" borderId="42" xfId="0" quotePrefix="1" applyNumberFormat="1" applyFont="1" applyFill="1" applyBorder="1" applyProtection="1">
      <protection locked="0"/>
    </xf>
    <xf numFmtId="49" fontId="7" fillId="86" borderId="126" xfId="1540" applyNumberFormat="1" applyFont="1" applyFill="1" applyBorder="1" applyAlignment="1">
      <alignment wrapText="1"/>
    </xf>
    <xf numFmtId="49" fontId="7" fillId="86" borderId="127" xfId="1540" applyNumberFormat="1" applyFont="1" applyFill="1" applyBorder="1" applyAlignment="1">
      <alignment wrapText="1"/>
    </xf>
    <xf numFmtId="176" fontId="7" fillId="0" borderId="0" xfId="1540" applyNumberFormat="1" applyFont="1" applyFill="1" applyAlignment="1">
      <alignment horizontal="center"/>
    </xf>
    <xf numFmtId="0" fontId="180" fillId="0" borderId="118" xfId="1540" applyNumberFormat="1" applyFont="1" applyFill="1" applyBorder="1" applyAlignment="1">
      <alignment horizontal="center" vertical="center" wrapText="1"/>
    </xf>
    <xf numFmtId="49" fontId="35" fillId="0" borderId="118" xfId="1540" applyNumberFormat="1" applyFont="1" applyBorder="1" applyAlignment="1">
      <alignment horizontal="center" vertical="center" wrapText="1"/>
    </xf>
    <xf numFmtId="0" fontId="35" fillId="0" borderId="118" xfId="1540" applyNumberFormat="1" applyFont="1" applyBorder="1" applyAlignment="1">
      <alignment horizontal="center" vertical="center" wrapText="1"/>
    </xf>
    <xf numFmtId="0" fontId="55" fillId="0" borderId="118" xfId="1540" applyNumberFormat="1" applyFont="1" applyBorder="1" applyAlignment="1">
      <alignment horizontal="center" vertical="center" wrapText="1"/>
    </xf>
    <xf numFmtId="49" fontId="55" fillId="0" borderId="118" xfId="1540" applyNumberFormat="1" applyFont="1" applyFill="1" applyBorder="1" applyAlignment="1">
      <alignment horizontal="center" vertical="center" wrapText="1"/>
    </xf>
    <xf numFmtId="0" fontId="55" fillId="128" borderId="118" xfId="1540" applyNumberFormat="1" applyFont="1" applyFill="1" applyBorder="1" applyAlignment="1">
      <alignment horizontal="center" vertical="center" wrapText="1"/>
    </xf>
    <xf numFmtId="0" fontId="7" fillId="128" borderId="118" xfId="1540" applyNumberFormat="1" applyFont="1" applyFill="1" applyBorder="1" applyAlignment="1">
      <alignment horizontal="center" vertical="center" wrapText="1"/>
    </xf>
    <xf numFmtId="2" fontId="180" fillId="0" borderId="42" xfId="0" applyNumberFormat="1" applyFont="1" applyFill="1" applyBorder="1" applyProtection="1">
      <protection locked="0"/>
    </xf>
    <xf numFmtId="10" fontId="15" fillId="0" borderId="66" xfId="1931" applyNumberFormat="1" applyFont="1" applyFill="1" applyBorder="1" applyAlignment="1" applyProtection="1">
      <alignment horizontal="center"/>
    </xf>
    <xf numFmtId="10" fontId="17" fillId="0" borderId="73" xfId="1931" applyNumberFormat="1" applyFont="1" applyFill="1" applyBorder="1" applyAlignment="1" applyProtection="1">
      <alignment horizontal="right"/>
    </xf>
    <xf numFmtId="10" fontId="17" fillId="0" borderId="53" xfId="1931" applyNumberFormat="1" applyFont="1" applyFill="1" applyBorder="1" applyAlignment="1" applyProtection="1">
      <alignment horizontal="right"/>
    </xf>
    <xf numFmtId="10" fontId="17" fillId="0" borderId="59" xfId="1931" applyNumberFormat="1" applyFont="1" applyFill="1" applyBorder="1" applyAlignment="1" applyProtection="1">
      <alignment horizontal="right"/>
    </xf>
    <xf numFmtId="169" fontId="185" fillId="0" borderId="14" xfId="1540" applyNumberFormat="1" applyFont="1" applyBorder="1" applyAlignment="1">
      <alignment horizontal="center"/>
    </xf>
    <xf numFmtId="169" fontId="186" fillId="0" borderId="14" xfId="1540" applyNumberFormat="1" applyFont="1" applyFill="1" applyBorder="1" applyAlignment="1">
      <alignment horizontal="center"/>
    </xf>
    <xf numFmtId="176" fontId="186" fillId="86" borderId="14" xfId="1066" applyNumberFormat="1" applyFont="1" applyFill="1" applyBorder="1" applyAlignment="1">
      <alignment horizontal="center" vertical="center"/>
    </xf>
    <xf numFmtId="3" fontId="186" fillId="0" borderId="14" xfId="1540" applyNumberFormat="1" applyFont="1" applyBorder="1" applyAlignment="1">
      <alignment horizontal="center" vertical="center" wrapText="1"/>
    </xf>
    <xf numFmtId="3" fontId="186" fillId="0" borderId="14" xfId="1540" applyNumberFormat="1" applyFont="1" applyFill="1" applyBorder="1" applyAlignment="1">
      <alignment horizontal="center" vertical="center" wrapText="1"/>
    </xf>
    <xf numFmtId="172" fontId="186" fillId="0" borderId="114" xfId="1540" applyNumberFormat="1" applyFont="1" applyFill="1" applyBorder="1" applyAlignment="1">
      <alignment horizontal="center" vertical="center" wrapText="1"/>
    </xf>
    <xf numFmtId="3" fontId="186" fillId="127" borderId="14" xfId="1540" applyNumberFormat="1" applyFont="1" applyFill="1" applyBorder="1" applyAlignment="1">
      <alignment horizontal="center" vertical="center" wrapText="1"/>
    </xf>
    <xf numFmtId="0" fontId="186" fillId="0" borderId="14" xfId="1540" applyFont="1" applyBorder="1"/>
    <xf numFmtId="178" fontId="180" fillId="0" borderId="14" xfId="1077" applyNumberFormat="1" applyFont="1" applyFill="1" applyBorder="1" applyAlignment="1">
      <alignment horizontal="right"/>
    </xf>
    <xf numFmtId="1" fontId="180" fillId="86" borderId="14" xfId="1077" applyNumberFormat="1" applyFont="1" applyFill="1" applyBorder="1" applyAlignment="1">
      <alignment horizontal="center"/>
    </xf>
    <xf numFmtId="0" fontId="29" fillId="94" borderId="136" xfId="0" applyFont="1" applyFill="1" applyBorder="1" applyAlignment="1" applyProtection="1">
      <alignment horizontal="left" vertical="center" wrapText="1"/>
      <protection locked="0"/>
    </xf>
    <xf numFmtId="0" fontId="29" fillId="94" borderId="137" xfId="0" applyFont="1" applyFill="1" applyBorder="1" applyAlignment="1" applyProtection="1">
      <alignment horizontal="left" vertical="center" wrapText="1"/>
      <protection locked="0"/>
    </xf>
    <xf numFmtId="0" fontId="29" fillId="94" borderId="124" xfId="0" applyFont="1" applyFill="1" applyBorder="1" applyAlignment="1" applyProtection="1">
      <alignment horizontal="left" vertical="center"/>
    </xf>
    <xf numFmtId="0" fontId="29" fillId="94" borderId="125" xfId="0" applyFont="1" applyFill="1" applyBorder="1" applyAlignment="1" applyProtection="1">
      <alignment horizontal="left" vertical="center"/>
    </xf>
    <xf numFmtId="0" fontId="29" fillId="94" borderId="14" xfId="0" applyFont="1" applyFill="1" applyBorder="1" applyAlignment="1" applyProtection="1">
      <alignment horizontal="left" vertical="center"/>
    </xf>
    <xf numFmtId="0" fontId="7" fillId="0" borderId="0" xfId="1540" applyFont="1" applyAlignment="1">
      <alignment horizontal="center" wrapText="1"/>
    </xf>
    <xf numFmtId="0" fontId="7" fillId="0" borderId="0" xfId="1540" applyFont="1" applyAlignment="1">
      <alignment horizontal="center"/>
    </xf>
    <xf numFmtId="0" fontId="7" fillId="0" borderId="0" xfId="1540" applyFont="1" applyAlignment="1">
      <alignment horizontal="center" vertical="center" wrapText="1"/>
    </xf>
    <xf numFmtId="0" fontId="29" fillId="94" borderId="136" xfId="0" applyFont="1" applyFill="1" applyBorder="1" applyAlignment="1" applyProtection="1">
      <alignment horizontal="center" vertical="center" wrapText="1"/>
      <protection locked="0"/>
    </xf>
    <xf numFmtId="0" fontId="29" fillId="94" borderId="137" xfId="0" applyFont="1" applyFill="1" applyBorder="1" applyAlignment="1" applyProtection="1">
      <alignment horizontal="center" vertical="center" wrapText="1"/>
      <protection locked="0"/>
    </xf>
    <xf numFmtId="0" fontId="29" fillId="94" borderId="138" xfId="0" applyFont="1" applyFill="1" applyBorder="1" applyAlignment="1" applyProtection="1">
      <alignment horizontal="center" vertical="center" wrapText="1"/>
      <protection locked="0"/>
    </xf>
    <xf numFmtId="0" fontId="28" fillId="94" borderId="139" xfId="0" applyFont="1" applyFill="1" applyBorder="1" applyAlignment="1" applyProtection="1">
      <alignment horizontal="center" vertical="center" wrapText="1"/>
      <protection locked="0"/>
    </xf>
    <xf numFmtId="0" fontId="28" fillId="94" borderId="140" xfId="0" applyFont="1" applyFill="1" applyBorder="1" applyAlignment="1" applyProtection="1">
      <alignment horizontal="center" vertical="center" wrapText="1"/>
      <protection locked="0"/>
    </xf>
    <xf numFmtId="0" fontId="30" fillId="94" borderId="141" xfId="0" applyFont="1" applyFill="1" applyBorder="1" applyAlignment="1" applyProtection="1">
      <alignment horizontal="center" vertical="center" textRotation="90" wrapText="1"/>
    </xf>
    <xf numFmtId="0" fontId="30" fillId="94" borderId="135" xfId="0" applyFont="1" applyFill="1" applyBorder="1" applyAlignment="1" applyProtection="1">
      <alignment horizontal="center" vertical="center" textRotation="90" wrapText="1"/>
    </xf>
    <xf numFmtId="0" fontId="30" fillId="94" borderId="142" xfId="0" applyFont="1" applyFill="1" applyBorder="1" applyAlignment="1" applyProtection="1">
      <alignment horizontal="center" vertical="center" textRotation="90" wrapText="1"/>
    </xf>
    <xf numFmtId="0" fontId="6" fillId="92" borderId="76" xfId="0" applyFont="1" applyFill="1" applyBorder="1" applyAlignment="1" applyProtection="1">
      <alignment horizontal="center" wrapText="1"/>
    </xf>
    <xf numFmtId="0" fontId="6" fillId="92" borderId="80" xfId="0" applyFont="1" applyFill="1" applyBorder="1" applyAlignment="1" applyProtection="1">
      <alignment horizontal="center" wrapText="1"/>
    </xf>
    <xf numFmtId="0" fontId="29" fillId="94" borderId="143" xfId="0" applyFont="1" applyFill="1" applyBorder="1" applyAlignment="1" applyProtection="1">
      <alignment horizontal="left" vertical="center" indent="3"/>
    </xf>
    <xf numFmtId="0" fontId="29" fillId="94" borderId="144" xfId="0" applyFont="1" applyFill="1" applyBorder="1" applyAlignment="1" applyProtection="1">
      <alignment horizontal="left" vertical="center" indent="3"/>
    </xf>
    <xf numFmtId="0" fontId="6" fillId="92" borderId="74" xfId="0" applyFont="1" applyFill="1" applyBorder="1" applyAlignment="1" applyProtection="1">
      <alignment horizontal="center" wrapText="1"/>
    </xf>
    <xf numFmtId="0" fontId="6" fillId="92" borderId="78" xfId="0" applyFont="1" applyFill="1" applyBorder="1" applyAlignment="1" applyProtection="1">
      <alignment horizontal="center" wrapText="1"/>
    </xf>
    <xf numFmtId="0" fontId="29" fillId="94" borderId="46" xfId="0" applyFont="1" applyFill="1" applyBorder="1" applyAlignment="1" applyProtection="1">
      <alignment horizontal="center" vertical="center"/>
    </xf>
    <xf numFmtId="0" fontId="29" fillId="94" borderId="56" xfId="0" applyFont="1" applyFill="1" applyBorder="1" applyAlignment="1" applyProtection="1">
      <alignment horizontal="center" vertical="center"/>
    </xf>
    <xf numFmtId="0" fontId="29" fillId="94" borderId="57" xfId="0" applyFont="1" applyFill="1" applyBorder="1" applyAlignment="1" applyProtection="1">
      <alignment horizontal="center" vertical="center"/>
    </xf>
    <xf numFmtId="0" fontId="29" fillId="94" borderId="145" xfId="0" applyFont="1" applyFill="1" applyBorder="1" applyAlignment="1" applyProtection="1">
      <alignment horizontal="center" vertical="center"/>
    </xf>
    <xf numFmtId="0" fontId="11" fillId="0" borderId="146" xfId="0" applyFont="1" applyFill="1" applyBorder="1" applyAlignment="1" applyProtection="1">
      <alignment horizontal="left" wrapText="1"/>
    </xf>
    <xf numFmtId="0" fontId="11" fillId="0" borderId="50" xfId="0" applyFont="1" applyFill="1" applyBorder="1" applyAlignment="1" applyProtection="1">
      <alignment horizontal="left" wrapText="1"/>
    </xf>
    <xf numFmtId="0" fontId="11" fillId="0" borderId="135" xfId="0" applyFont="1" applyFill="1" applyBorder="1" applyAlignment="1" applyProtection="1">
      <alignment horizontal="left" wrapText="1"/>
    </xf>
    <xf numFmtId="0" fontId="11" fillId="0" borderId="0" xfId="0" applyFont="1" applyFill="1" applyBorder="1" applyAlignment="1" applyProtection="1">
      <alignment horizontal="left" wrapText="1"/>
    </xf>
    <xf numFmtId="0" fontId="29" fillId="94" borderId="147" xfId="0" applyFont="1" applyFill="1" applyBorder="1" applyAlignment="1" applyProtection="1">
      <alignment horizontal="center" vertical="center"/>
    </xf>
    <xf numFmtId="0" fontId="29" fillId="94" borderId="148" xfId="0" applyFont="1" applyFill="1" applyBorder="1" applyAlignment="1" applyProtection="1">
      <alignment horizontal="center" vertical="center"/>
    </xf>
    <xf numFmtId="0" fontId="29" fillId="94" borderId="149" xfId="0" applyFont="1" applyFill="1" applyBorder="1" applyAlignment="1" applyProtection="1">
      <alignment horizontal="center" vertical="center"/>
    </xf>
    <xf numFmtId="0" fontId="11" fillId="92" borderId="150" xfId="0" applyFont="1" applyFill="1" applyBorder="1" applyAlignment="1" applyProtection="1">
      <alignment horizontal="center" vertical="center" wrapText="1"/>
    </xf>
    <xf numFmtId="0" fontId="11" fillId="92" borderId="151" xfId="0" applyFont="1" applyFill="1" applyBorder="1" applyAlignment="1" applyProtection="1">
      <alignment horizontal="center" vertical="center" wrapText="1"/>
    </xf>
    <xf numFmtId="0" fontId="9" fillId="92" borderId="152" xfId="0" applyFont="1" applyFill="1" applyBorder="1" applyAlignment="1" applyProtection="1">
      <alignment horizontal="center" vertical="center"/>
    </xf>
    <xf numFmtId="0" fontId="9" fillId="92" borderId="88" xfId="0" applyFont="1" applyFill="1" applyBorder="1" applyAlignment="1" applyProtection="1">
      <alignment horizontal="center" vertical="center"/>
    </xf>
    <xf numFmtId="0" fontId="9" fillId="92" borderId="153" xfId="0" applyFont="1" applyFill="1" applyBorder="1" applyAlignment="1" applyProtection="1">
      <alignment horizontal="center" vertical="center"/>
    </xf>
    <xf numFmtId="0" fontId="9" fillId="92" borderId="154" xfId="0" applyFont="1" applyFill="1" applyBorder="1" applyAlignment="1" applyProtection="1">
      <alignment horizontal="center" vertical="center"/>
    </xf>
    <xf numFmtId="0" fontId="29" fillId="94" borderId="155" xfId="0" applyFont="1" applyFill="1" applyBorder="1" applyAlignment="1" applyProtection="1">
      <alignment horizontal="left" vertical="center"/>
    </xf>
    <xf numFmtId="0" fontId="29" fillId="94" borderId="156" xfId="0" applyFont="1" applyFill="1" applyBorder="1" applyAlignment="1" applyProtection="1">
      <alignment horizontal="left" vertical="center"/>
    </xf>
    <xf numFmtId="0" fontId="7" fillId="0" borderId="0" xfId="1540" applyFont="1" applyAlignment="1">
      <alignment horizontal="left" wrapText="1"/>
    </xf>
    <xf numFmtId="0" fontId="7" fillId="0" borderId="0" xfId="1540" applyFont="1" applyAlignment="1">
      <alignment horizontal="left"/>
    </xf>
    <xf numFmtId="0" fontId="29" fillId="94" borderId="157" xfId="0" applyFont="1" applyFill="1" applyBorder="1" applyAlignment="1" applyProtection="1">
      <alignment horizontal="center" vertical="center" wrapText="1"/>
      <protection locked="0"/>
    </xf>
    <xf numFmtId="0" fontId="29" fillId="94" borderId="158" xfId="0" applyFont="1" applyFill="1" applyBorder="1" applyAlignment="1" applyProtection="1">
      <alignment horizontal="center" vertical="center" wrapText="1"/>
      <protection locked="0"/>
    </xf>
    <xf numFmtId="0" fontId="29" fillId="94" borderId="119" xfId="0" applyFont="1" applyFill="1" applyBorder="1" applyAlignment="1" applyProtection="1">
      <alignment horizontal="center" vertical="center" wrapText="1"/>
      <protection locked="0"/>
    </xf>
    <xf numFmtId="0" fontId="29" fillId="94" borderId="120" xfId="0" applyFont="1" applyFill="1" applyBorder="1" applyAlignment="1" applyProtection="1">
      <alignment horizontal="center" vertical="center" wrapText="1"/>
      <protection locked="0"/>
    </xf>
    <xf numFmtId="0" fontId="29" fillId="94" borderId="121" xfId="0" applyFont="1" applyFill="1" applyBorder="1" applyAlignment="1" applyProtection="1">
      <alignment horizontal="center" vertical="center" wrapText="1"/>
      <protection locked="0"/>
    </xf>
    <xf numFmtId="0" fontId="29" fillId="94" borderId="159" xfId="0" applyFont="1" applyFill="1" applyBorder="1" applyAlignment="1" applyProtection="1">
      <alignment horizontal="center" vertical="center" wrapText="1"/>
      <protection locked="0"/>
    </xf>
    <xf numFmtId="0" fontId="58" fillId="92" borderId="26" xfId="1540" applyFont="1" applyFill="1" applyBorder="1" applyAlignment="1">
      <alignment horizontal="center" vertical="center"/>
    </xf>
    <xf numFmtId="0" fontId="58" fillId="92" borderId="0" xfId="1540" applyFont="1" applyFill="1" applyBorder="1" applyAlignment="1">
      <alignment horizontal="center" vertical="center"/>
    </xf>
    <xf numFmtId="0" fontId="58" fillId="92" borderId="123" xfId="1540" applyFont="1" applyFill="1" applyBorder="1" applyAlignment="1">
      <alignment horizontal="center" vertical="center"/>
    </xf>
    <xf numFmtId="0" fontId="7" fillId="0" borderId="0" xfId="1540" applyFont="1" applyFill="1" applyAlignment="1">
      <alignment horizontal="left" wrapText="1"/>
    </xf>
    <xf numFmtId="0" fontId="7" fillId="0" borderId="0" xfId="1540" applyFont="1" applyFill="1" applyAlignment="1">
      <alignment horizontal="left"/>
    </xf>
    <xf numFmtId="0" fontId="29" fillId="94" borderId="132" xfId="0" applyFont="1" applyFill="1" applyBorder="1" applyAlignment="1" applyProtection="1">
      <alignment horizontal="center" vertical="center" wrapText="1"/>
      <protection locked="0"/>
    </xf>
    <xf numFmtId="0" fontId="29" fillId="94" borderId="160" xfId="0" applyFont="1" applyFill="1" applyBorder="1" applyAlignment="1" applyProtection="1">
      <alignment horizontal="center" vertical="center" wrapText="1"/>
      <protection locked="0"/>
    </xf>
  </cellXfs>
  <cellStyles count="2144">
    <cellStyle name="$" xfId="1" xr:uid="{00000000-0005-0000-0000-000000000000}"/>
    <cellStyle name="$ 2" xfId="2" xr:uid="{00000000-0005-0000-0000-000001000000}"/>
    <cellStyle name="$ 2 2" xfId="3" xr:uid="{00000000-0005-0000-0000-000002000000}"/>
    <cellStyle name="$ 3" xfId="4" xr:uid="{00000000-0005-0000-0000-000003000000}"/>
    <cellStyle name="$.00" xfId="5" xr:uid="{00000000-0005-0000-0000-000004000000}"/>
    <cellStyle name="$.00 2" xfId="6" xr:uid="{00000000-0005-0000-0000-000005000000}"/>
    <cellStyle name="$.00 2 2" xfId="7" xr:uid="{00000000-0005-0000-0000-000006000000}"/>
    <cellStyle name="$.00 3" xfId="8" xr:uid="{00000000-0005-0000-0000-000007000000}"/>
    <cellStyle name="$_9. Rev2Cost_GDPIPI" xfId="9" xr:uid="{00000000-0005-0000-0000-000008000000}"/>
    <cellStyle name="$_9. Rev2Cost_GDPIPI 2" xfId="10" xr:uid="{00000000-0005-0000-0000-000009000000}"/>
    <cellStyle name="$_9. Rev2Cost_GDPIPI 2 2" xfId="11" xr:uid="{00000000-0005-0000-0000-00000A000000}"/>
    <cellStyle name="$_9. Rev2Cost_GDPIPI 3" xfId="12" xr:uid="{00000000-0005-0000-0000-00000B000000}"/>
    <cellStyle name="$_lists" xfId="13" xr:uid="{00000000-0005-0000-0000-00000C000000}"/>
    <cellStyle name="$_lists 2" xfId="14" xr:uid="{00000000-0005-0000-0000-00000D000000}"/>
    <cellStyle name="$_lists 2 2" xfId="15" xr:uid="{00000000-0005-0000-0000-00000E000000}"/>
    <cellStyle name="$_lists 3" xfId="16" xr:uid="{00000000-0005-0000-0000-00000F000000}"/>
    <cellStyle name="$_lists_4. Current Monthly Fixed Charge" xfId="17" xr:uid="{00000000-0005-0000-0000-000010000000}"/>
    <cellStyle name="$_lists_4. Current Monthly Fixed Charge 2" xfId="18" xr:uid="{00000000-0005-0000-0000-000011000000}"/>
    <cellStyle name="$_lists_4. Current Monthly Fixed Charge 2 2" xfId="19" xr:uid="{00000000-0005-0000-0000-000012000000}"/>
    <cellStyle name="$_lists_4. Current Monthly Fixed Charge 3" xfId="20" xr:uid="{00000000-0005-0000-0000-000013000000}"/>
    <cellStyle name="$_Sheet4" xfId="21" xr:uid="{00000000-0005-0000-0000-000014000000}"/>
    <cellStyle name="$_Sheet4 2" xfId="22" xr:uid="{00000000-0005-0000-0000-000015000000}"/>
    <cellStyle name="$_Sheet4 2 2" xfId="23" xr:uid="{00000000-0005-0000-0000-000016000000}"/>
    <cellStyle name="$_Sheet4 3" xfId="24" xr:uid="{00000000-0005-0000-0000-000017000000}"/>
    <cellStyle name="$M" xfId="25" xr:uid="{00000000-0005-0000-0000-000018000000}"/>
    <cellStyle name="$M 2" xfId="26" xr:uid="{00000000-0005-0000-0000-000019000000}"/>
    <cellStyle name="$M 2 2" xfId="27" xr:uid="{00000000-0005-0000-0000-00001A000000}"/>
    <cellStyle name="$M 2 3" xfId="28" xr:uid="{00000000-0005-0000-0000-00001B000000}"/>
    <cellStyle name="$M 3" xfId="29" xr:uid="{00000000-0005-0000-0000-00001C000000}"/>
    <cellStyle name="$M 3 2" xfId="30" xr:uid="{00000000-0005-0000-0000-00001D000000}"/>
    <cellStyle name="$M.00" xfId="31" xr:uid="{00000000-0005-0000-0000-00001E000000}"/>
    <cellStyle name="$M.00 2" xfId="32" xr:uid="{00000000-0005-0000-0000-00001F000000}"/>
    <cellStyle name="$M.00 2 2" xfId="33" xr:uid="{00000000-0005-0000-0000-000020000000}"/>
    <cellStyle name="$M.00 3" xfId="34" xr:uid="{00000000-0005-0000-0000-000021000000}"/>
    <cellStyle name="$M_9. Rev2Cost_GDPIPI" xfId="35" xr:uid="{00000000-0005-0000-0000-000022000000}"/>
    <cellStyle name="20% - Accent1 10" xfId="36" xr:uid="{00000000-0005-0000-0000-000023000000}"/>
    <cellStyle name="20% - Accent1 11" xfId="37" xr:uid="{00000000-0005-0000-0000-000024000000}"/>
    <cellStyle name="20% - Accent1 12" xfId="38" xr:uid="{00000000-0005-0000-0000-000025000000}"/>
    <cellStyle name="20% - Accent1 13" xfId="39" xr:uid="{00000000-0005-0000-0000-000026000000}"/>
    <cellStyle name="20% - Accent1 14" xfId="40" xr:uid="{00000000-0005-0000-0000-000027000000}"/>
    <cellStyle name="20% - Accent1 15" xfId="41" xr:uid="{00000000-0005-0000-0000-000028000000}"/>
    <cellStyle name="20% - Accent1 16" xfId="42" xr:uid="{00000000-0005-0000-0000-000029000000}"/>
    <cellStyle name="20% - Accent1 2" xfId="43" xr:uid="{00000000-0005-0000-0000-00002A000000}"/>
    <cellStyle name="20% - Accent1 2 10" xfId="44" xr:uid="{00000000-0005-0000-0000-00002B000000}"/>
    <cellStyle name="20% - Accent1 2 11" xfId="45" xr:uid="{00000000-0005-0000-0000-00002C000000}"/>
    <cellStyle name="20% - Accent1 2 2" xfId="46" xr:uid="{00000000-0005-0000-0000-00002D000000}"/>
    <cellStyle name="20% - Accent1 2 2 2" xfId="47" xr:uid="{00000000-0005-0000-0000-00002E000000}"/>
    <cellStyle name="20% - Accent1 2 3" xfId="48" xr:uid="{00000000-0005-0000-0000-00002F000000}"/>
    <cellStyle name="20% - Accent1 2 3 2" xfId="49" xr:uid="{00000000-0005-0000-0000-000030000000}"/>
    <cellStyle name="20% - Accent1 2 3 2 2" xfId="50" xr:uid="{00000000-0005-0000-0000-000031000000}"/>
    <cellStyle name="20% - Accent1 2 3 2 2 2" xfId="51" xr:uid="{00000000-0005-0000-0000-000032000000}"/>
    <cellStyle name="20% - Accent1 2 3 2 2 3" xfId="52" xr:uid="{00000000-0005-0000-0000-000033000000}"/>
    <cellStyle name="20% - Accent1 2 3 2 3" xfId="53" xr:uid="{00000000-0005-0000-0000-000034000000}"/>
    <cellStyle name="20% - Accent1 2 3 2 4" xfId="54" xr:uid="{00000000-0005-0000-0000-000035000000}"/>
    <cellStyle name="20% - Accent1 2 3 3" xfId="55" xr:uid="{00000000-0005-0000-0000-000036000000}"/>
    <cellStyle name="20% - Accent1 2 3 3 2" xfId="56" xr:uid="{00000000-0005-0000-0000-000037000000}"/>
    <cellStyle name="20% - Accent1 2 3 3 3" xfId="57" xr:uid="{00000000-0005-0000-0000-000038000000}"/>
    <cellStyle name="20% - Accent1 2 3 4" xfId="58" xr:uid="{00000000-0005-0000-0000-000039000000}"/>
    <cellStyle name="20% - Accent1 2 3 5" xfId="59" xr:uid="{00000000-0005-0000-0000-00003A000000}"/>
    <cellStyle name="20% - Accent1 2 4" xfId="60" xr:uid="{00000000-0005-0000-0000-00003B000000}"/>
    <cellStyle name="20% - Accent1 2 4 2" xfId="61" xr:uid="{00000000-0005-0000-0000-00003C000000}"/>
    <cellStyle name="20% - Accent1 2 4 2 2" xfId="62" xr:uid="{00000000-0005-0000-0000-00003D000000}"/>
    <cellStyle name="20% - Accent1 2 4 2 3" xfId="63" xr:uid="{00000000-0005-0000-0000-00003E000000}"/>
    <cellStyle name="20% - Accent1 2 4 3" xfId="64" xr:uid="{00000000-0005-0000-0000-00003F000000}"/>
    <cellStyle name="20% - Accent1 2 4 3 2" xfId="65" xr:uid="{00000000-0005-0000-0000-000040000000}"/>
    <cellStyle name="20% - Accent1 2 4 3 3" xfId="66" xr:uid="{00000000-0005-0000-0000-000041000000}"/>
    <cellStyle name="20% - Accent1 2 4 4" xfId="67" xr:uid="{00000000-0005-0000-0000-000042000000}"/>
    <cellStyle name="20% - Accent1 2 4 5" xfId="68" xr:uid="{00000000-0005-0000-0000-000043000000}"/>
    <cellStyle name="20% - Accent1 2 5" xfId="69" xr:uid="{00000000-0005-0000-0000-000044000000}"/>
    <cellStyle name="20% - Accent1 2 5 2" xfId="70" xr:uid="{00000000-0005-0000-0000-000045000000}"/>
    <cellStyle name="20% - Accent1 2 5 2 2" xfId="71" xr:uid="{00000000-0005-0000-0000-000046000000}"/>
    <cellStyle name="20% - Accent1 2 5 2 3" xfId="72" xr:uid="{00000000-0005-0000-0000-000047000000}"/>
    <cellStyle name="20% - Accent1 2 5 3" xfId="73" xr:uid="{00000000-0005-0000-0000-000048000000}"/>
    <cellStyle name="20% - Accent1 2 5 4" xfId="74" xr:uid="{00000000-0005-0000-0000-000049000000}"/>
    <cellStyle name="20% - Accent1 2 6" xfId="75" xr:uid="{00000000-0005-0000-0000-00004A000000}"/>
    <cellStyle name="20% - Accent1 2 6 2" xfId="76" xr:uid="{00000000-0005-0000-0000-00004B000000}"/>
    <cellStyle name="20% - Accent1 2 6 3" xfId="77" xr:uid="{00000000-0005-0000-0000-00004C000000}"/>
    <cellStyle name="20% - Accent1 2 7" xfId="78" xr:uid="{00000000-0005-0000-0000-00004D000000}"/>
    <cellStyle name="20% - Accent1 2 8" xfId="79" xr:uid="{00000000-0005-0000-0000-00004E000000}"/>
    <cellStyle name="20% - Accent1 2 9" xfId="80" xr:uid="{00000000-0005-0000-0000-00004F000000}"/>
    <cellStyle name="20% - Accent1 3" xfId="81" xr:uid="{00000000-0005-0000-0000-000050000000}"/>
    <cellStyle name="20% - Accent1 3 2" xfId="82" xr:uid="{00000000-0005-0000-0000-000051000000}"/>
    <cellStyle name="20% - Accent1 3 3" xfId="83" xr:uid="{00000000-0005-0000-0000-000052000000}"/>
    <cellStyle name="20% - Accent1 4" xfId="84" xr:uid="{00000000-0005-0000-0000-000053000000}"/>
    <cellStyle name="20% - Accent1 4 2" xfId="85" xr:uid="{00000000-0005-0000-0000-000054000000}"/>
    <cellStyle name="20% - Accent1 5" xfId="86" xr:uid="{00000000-0005-0000-0000-000055000000}"/>
    <cellStyle name="20% - Accent1 6" xfId="87" xr:uid="{00000000-0005-0000-0000-000056000000}"/>
    <cellStyle name="20% - Accent1 7" xfId="88" xr:uid="{00000000-0005-0000-0000-000057000000}"/>
    <cellStyle name="20% - Accent1 8" xfId="89" xr:uid="{00000000-0005-0000-0000-000058000000}"/>
    <cellStyle name="20% - Accent1 9" xfId="90" xr:uid="{00000000-0005-0000-0000-000059000000}"/>
    <cellStyle name="20% - Accent2 10" xfId="91" xr:uid="{00000000-0005-0000-0000-00005A000000}"/>
    <cellStyle name="20% - Accent2 11" xfId="92" xr:uid="{00000000-0005-0000-0000-00005B000000}"/>
    <cellStyle name="20% - Accent2 12" xfId="93" xr:uid="{00000000-0005-0000-0000-00005C000000}"/>
    <cellStyle name="20% - Accent2 13" xfId="94" xr:uid="{00000000-0005-0000-0000-00005D000000}"/>
    <cellStyle name="20% - Accent2 14" xfId="95" xr:uid="{00000000-0005-0000-0000-00005E000000}"/>
    <cellStyle name="20% - Accent2 15" xfId="96" xr:uid="{00000000-0005-0000-0000-00005F000000}"/>
    <cellStyle name="20% - Accent2 16" xfId="97" xr:uid="{00000000-0005-0000-0000-000060000000}"/>
    <cellStyle name="20% - Accent2 2" xfId="98" xr:uid="{00000000-0005-0000-0000-000061000000}"/>
    <cellStyle name="20% - Accent2 2 10" xfId="99" xr:uid="{00000000-0005-0000-0000-000062000000}"/>
    <cellStyle name="20% - Accent2 2 2" xfId="100" xr:uid="{00000000-0005-0000-0000-000063000000}"/>
    <cellStyle name="20% - Accent2 2 2 2" xfId="101" xr:uid="{00000000-0005-0000-0000-000064000000}"/>
    <cellStyle name="20% - Accent2 2 3" xfId="102" xr:uid="{00000000-0005-0000-0000-000065000000}"/>
    <cellStyle name="20% - Accent2 2 3 2" xfId="103" xr:uid="{00000000-0005-0000-0000-000066000000}"/>
    <cellStyle name="20% - Accent2 2 3 2 2" xfId="104" xr:uid="{00000000-0005-0000-0000-000067000000}"/>
    <cellStyle name="20% - Accent2 2 3 2 2 2" xfId="105" xr:uid="{00000000-0005-0000-0000-000068000000}"/>
    <cellStyle name="20% - Accent2 2 3 2 2 3" xfId="106" xr:uid="{00000000-0005-0000-0000-000069000000}"/>
    <cellStyle name="20% - Accent2 2 3 2 3" xfId="107" xr:uid="{00000000-0005-0000-0000-00006A000000}"/>
    <cellStyle name="20% - Accent2 2 3 2 4" xfId="108" xr:uid="{00000000-0005-0000-0000-00006B000000}"/>
    <cellStyle name="20% - Accent2 2 3 3" xfId="109" xr:uid="{00000000-0005-0000-0000-00006C000000}"/>
    <cellStyle name="20% - Accent2 2 3 3 2" xfId="110" xr:uid="{00000000-0005-0000-0000-00006D000000}"/>
    <cellStyle name="20% - Accent2 2 3 3 3" xfId="111" xr:uid="{00000000-0005-0000-0000-00006E000000}"/>
    <cellStyle name="20% - Accent2 2 3 4" xfId="112" xr:uid="{00000000-0005-0000-0000-00006F000000}"/>
    <cellStyle name="20% - Accent2 2 3 5" xfId="113" xr:uid="{00000000-0005-0000-0000-000070000000}"/>
    <cellStyle name="20% - Accent2 2 4" xfId="114" xr:uid="{00000000-0005-0000-0000-000071000000}"/>
    <cellStyle name="20% - Accent2 2 4 2" xfId="115" xr:uid="{00000000-0005-0000-0000-000072000000}"/>
    <cellStyle name="20% - Accent2 2 4 2 2" xfId="116" xr:uid="{00000000-0005-0000-0000-000073000000}"/>
    <cellStyle name="20% - Accent2 2 4 2 3" xfId="117" xr:uid="{00000000-0005-0000-0000-000074000000}"/>
    <cellStyle name="20% - Accent2 2 4 3" xfId="118" xr:uid="{00000000-0005-0000-0000-000075000000}"/>
    <cellStyle name="20% - Accent2 2 4 3 2" xfId="119" xr:uid="{00000000-0005-0000-0000-000076000000}"/>
    <cellStyle name="20% - Accent2 2 4 3 3" xfId="120" xr:uid="{00000000-0005-0000-0000-000077000000}"/>
    <cellStyle name="20% - Accent2 2 4 4" xfId="121" xr:uid="{00000000-0005-0000-0000-000078000000}"/>
    <cellStyle name="20% - Accent2 2 4 5" xfId="122" xr:uid="{00000000-0005-0000-0000-000079000000}"/>
    <cellStyle name="20% - Accent2 2 5" xfId="123" xr:uid="{00000000-0005-0000-0000-00007A000000}"/>
    <cellStyle name="20% - Accent2 2 5 2" xfId="124" xr:uid="{00000000-0005-0000-0000-00007B000000}"/>
    <cellStyle name="20% - Accent2 2 5 2 2" xfId="125" xr:uid="{00000000-0005-0000-0000-00007C000000}"/>
    <cellStyle name="20% - Accent2 2 5 2 3" xfId="126" xr:uid="{00000000-0005-0000-0000-00007D000000}"/>
    <cellStyle name="20% - Accent2 2 5 3" xfId="127" xr:uid="{00000000-0005-0000-0000-00007E000000}"/>
    <cellStyle name="20% - Accent2 2 5 4" xfId="128" xr:uid="{00000000-0005-0000-0000-00007F000000}"/>
    <cellStyle name="20% - Accent2 2 6" xfId="129" xr:uid="{00000000-0005-0000-0000-000080000000}"/>
    <cellStyle name="20% - Accent2 2 6 2" xfId="130" xr:uid="{00000000-0005-0000-0000-000081000000}"/>
    <cellStyle name="20% - Accent2 2 6 3" xfId="131" xr:uid="{00000000-0005-0000-0000-000082000000}"/>
    <cellStyle name="20% - Accent2 2 7" xfId="132" xr:uid="{00000000-0005-0000-0000-000083000000}"/>
    <cellStyle name="20% - Accent2 2 8" xfId="133" xr:uid="{00000000-0005-0000-0000-000084000000}"/>
    <cellStyle name="20% - Accent2 2 9" xfId="134" xr:uid="{00000000-0005-0000-0000-000085000000}"/>
    <cellStyle name="20% - Accent2 3" xfId="135" xr:uid="{00000000-0005-0000-0000-000086000000}"/>
    <cellStyle name="20% - Accent2 3 2" xfId="136" xr:uid="{00000000-0005-0000-0000-000087000000}"/>
    <cellStyle name="20% - Accent2 3 3" xfId="137" xr:uid="{00000000-0005-0000-0000-000088000000}"/>
    <cellStyle name="20% - Accent2 4" xfId="138" xr:uid="{00000000-0005-0000-0000-000089000000}"/>
    <cellStyle name="20% - Accent2 4 2" xfId="139" xr:uid="{00000000-0005-0000-0000-00008A000000}"/>
    <cellStyle name="20% - Accent2 5" xfId="140" xr:uid="{00000000-0005-0000-0000-00008B000000}"/>
    <cellStyle name="20% - Accent2 6" xfId="141" xr:uid="{00000000-0005-0000-0000-00008C000000}"/>
    <cellStyle name="20% - Accent2 7" xfId="142" xr:uid="{00000000-0005-0000-0000-00008D000000}"/>
    <cellStyle name="20% - Accent2 8" xfId="143" xr:uid="{00000000-0005-0000-0000-00008E000000}"/>
    <cellStyle name="20% - Accent2 9" xfId="144" xr:uid="{00000000-0005-0000-0000-00008F000000}"/>
    <cellStyle name="20% - Accent3 10" xfId="145" xr:uid="{00000000-0005-0000-0000-000090000000}"/>
    <cellStyle name="20% - Accent3 11" xfId="146" xr:uid="{00000000-0005-0000-0000-000091000000}"/>
    <cellStyle name="20% - Accent3 12" xfId="147" xr:uid="{00000000-0005-0000-0000-000092000000}"/>
    <cellStyle name="20% - Accent3 13" xfId="148" xr:uid="{00000000-0005-0000-0000-000093000000}"/>
    <cellStyle name="20% - Accent3 14" xfId="149" xr:uid="{00000000-0005-0000-0000-000094000000}"/>
    <cellStyle name="20% - Accent3 15" xfId="150" xr:uid="{00000000-0005-0000-0000-000095000000}"/>
    <cellStyle name="20% - Accent3 16" xfId="151" xr:uid="{00000000-0005-0000-0000-000096000000}"/>
    <cellStyle name="20% - Accent3 2" xfId="152" xr:uid="{00000000-0005-0000-0000-000097000000}"/>
    <cellStyle name="20% - Accent3 2 10" xfId="153" xr:uid="{00000000-0005-0000-0000-000098000000}"/>
    <cellStyle name="20% - Accent3 2 11" xfId="154" xr:uid="{00000000-0005-0000-0000-000099000000}"/>
    <cellStyle name="20% - Accent3 2 2" xfId="155" xr:uid="{00000000-0005-0000-0000-00009A000000}"/>
    <cellStyle name="20% - Accent3 2 2 2" xfId="156" xr:uid="{00000000-0005-0000-0000-00009B000000}"/>
    <cellStyle name="20% - Accent3 2 3" xfId="157" xr:uid="{00000000-0005-0000-0000-00009C000000}"/>
    <cellStyle name="20% - Accent3 2 3 2" xfId="158" xr:uid="{00000000-0005-0000-0000-00009D000000}"/>
    <cellStyle name="20% - Accent3 2 3 2 2" xfId="159" xr:uid="{00000000-0005-0000-0000-00009E000000}"/>
    <cellStyle name="20% - Accent3 2 3 2 2 2" xfId="160" xr:uid="{00000000-0005-0000-0000-00009F000000}"/>
    <cellStyle name="20% - Accent3 2 3 2 2 3" xfId="161" xr:uid="{00000000-0005-0000-0000-0000A0000000}"/>
    <cellStyle name="20% - Accent3 2 3 2 3" xfId="162" xr:uid="{00000000-0005-0000-0000-0000A1000000}"/>
    <cellStyle name="20% - Accent3 2 3 2 4" xfId="163" xr:uid="{00000000-0005-0000-0000-0000A2000000}"/>
    <cellStyle name="20% - Accent3 2 3 3" xfId="164" xr:uid="{00000000-0005-0000-0000-0000A3000000}"/>
    <cellStyle name="20% - Accent3 2 3 3 2" xfId="165" xr:uid="{00000000-0005-0000-0000-0000A4000000}"/>
    <cellStyle name="20% - Accent3 2 3 3 3" xfId="166" xr:uid="{00000000-0005-0000-0000-0000A5000000}"/>
    <cellStyle name="20% - Accent3 2 3 4" xfId="167" xr:uid="{00000000-0005-0000-0000-0000A6000000}"/>
    <cellStyle name="20% - Accent3 2 3 5" xfId="168" xr:uid="{00000000-0005-0000-0000-0000A7000000}"/>
    <cellStyle name="20% - Accent3 2 4" xfId="169" xr:uid="{00000000-0005-0000-0000-0000A8000000}"/>
    <cellStyle name="20% - Accent3 2 4 2" xfId="170" xr:uid="{00000000-0005-0000-0000-0000A9000000}"/>
    <cellStyle name="20% - Accent3 2 4 2 2" xfId="171" xr:uid="{00000000-0005-0000-0000-0000AA000000}"/>
    <cellStyle name="20% - Accent3 2 4 2 3" xfId="172" xr:uid="{00000000-0005-0000-0000-0000AB000000}"/>
    <cellStyle name="20% - Accent3 2 4 3" xfId="173" xr:uid="{00000000-0005-0000-0000-0000AC000000}"/>
    <cellStyle name="20% - Accent3 2 4 3 2" xfId="174" xr:uid="{00000000-0005-0000-0000-0000AD000000}"/>
    <cellStyle name="20% - Accent3 2 4 3 3" xfId="175" xr:uid="{00000000-0005-0000-0000-0000AE000000}"/>
    <cellStyle name="20% - Accent3 2 4 4" xfId="176" xr:uid="{00000000-0005-0000-0000-0000AF000000}"/>
    <cellStyle name="20% - Accent3 2 4 5" xfId="177" xr:uid="{00000000-0005-0000-0000-0000B0000000}"/>
    <cellStyle name="20% - Accent3 2 5" xfId="178" xr:uid="{00000000-0005-0000-0000-0000B1000000}"/>
    <cellStyle name="20% - Accent3 2 5 2" xfId="179" xr:uid="{00000000-0005-0000-0000-0000B2000000}"/>
    <cellStyle name="20% - Accent3 2 5 2 2" xfId="180" xr:uid="{00000000-0005-0000-0000-0000B3000000}"/>
    <cellStyle name="20% - Accent3 2 5 2 3" xfId="181" xr:uid="{00000000-0005-0000-0000-0000B4000000}"/>
    <cellStyle name="20% - Accent3 2 5 3" xfId="182" xr:uid="{00000000-0005-0000-0000-0000B5000000}"/>
    <cellStyle name="20% - Accent3 2 5 4" xfId="183" xr:uid="{00000000-0005-0000-0000-0000B6000000}"/>
    <cellStyle name="20% - Accent3 2 6" xfId="184" xr:uid="{00000000-0005-0000-0000-0000B7000000}"/>
    <cellStyle name="20% - Accent3 2 6 2" xfId="185" xr:uid="{00000000-0005-0000-0000-0000B8000000}"/>
    <cellStyle name="20% - Accent3 2 6 3" xfId="186" xr:uid="{00000000-0005-0000-0000-0000B9000000}"/>
    <cellStyle name="20% - Accent3 2 7" xfId="187" xr:uid="{00000000-0005-0000-0000-0000BA000000}"/>
    <cellStyle name="20% - Accent3 2 8" xfId="188" xr:uid="{00000000-0005-0000-0000-0000BB000000}"/>
    <cellStyle name="20% - Accent3 2 9" xfId="189" xr:uid="{00000000-0005-0000-0000-0000BC000000}"/>
    <cellStyle name="20% - Accent3 3" xfId="190" xr:uid="{00000000-0005-0000-0000-0000BD000000}"/>
    <cellStyle name="20% - Accent3 3 2" xfId="191" xr:uid="{00000000-0005-0000-0000-0000BE000000}"/>
    <cellStyle name="20% - Accent3 3 3" xfId="192" xr:uid="{00000000-0005-0000-0000-0000BF000000}"/>
    <cellStyle name="20% - Accent3 4" xfId="193" xr:uid="{00000000-0005-0000-0000-0000C0000000}"/>
    <cellStyle name="20% - Accent3 4 2" xfId="194" xr:uid="{00000000-0005-0000-0000-0000C1000000}"/>
    <cellStyle name="20% - Accent3 5" xfId="195" xr:uid="{00000000-0005-0000-0000-0000C2000000}"/>
    <cellStyle name="20% - Accent3 6" xfId="196" xr:uid="{00000000-0005-0000-0000-0000C3000000}"/>
    <cellStyle name="20% - Accent3 7" xfId="197" xr:uid="{00000000-0005-0000-0000-0000C4000000}"/>
    <cellStyle name="20% - Accent3 8" xfId="198" xr:uid="{00000000-0005-0000-0000-0000C5000000}"/>
    <cellStyle name="20% - Accent3 9" xfId="199" xr:uid="{00000000-0005-0000-0000-0000C6000000}"/>
    <cellStyle name="20% - Accent4 10" xfId="200" xr:uid="{00000000-0005-0000-0000-0000C7000000}"/>
    <cellStyle name="20% - Accent4 11" xfId="201" xr:uid="{00000000-0005-0000-0000-0000C8000000}"/>
    <cellStyle name="20% - Accent4 12" xfId="202" xr:uid="{00000000-0005-0000-0000-0000C9000000}"/>
    <cellStyle name="20% - Accent4 13" xfId="203" xr:uid="{00000000-0005-0000-0000-0000CA000000}"/>
    <cellStyle name="20% - Accent4 14" xfId="204" xr:uid="{00000000-0005-0000-0000-0000CB000000}"/>
    <cellStyle name="20% - Accent4 15" xfId="205" xr:uid="{00000000-0005-0000-0000-0000CC000000}"/>
    <cellStyle name="20% - Accent4 16" xfId="206" xr:uid="{00000000-0005-0000-0000-0000CD000000}"/>
    <cellStyle name="20% - Accent4 2" xfId="207" xr:uid="{00000000-0005-0000-0000-0000CE000000}"/>
    <cellStyle name="20% - Accent4 2 10" xfId="208" xr:uid="{00000000-0005-0000-0000-0000CF000000}"/>
    <cellStyle name="20% - Accent4 2 11" xfId="209" xr:uid="{00000000-0005-0000-0000-0000D0000000}"/>
    <cellStyle name="20% - Accent4 2 2" xfId="210" xr:uid="{00000000-0005-0000-0000-0000D1000000}"/>
    <cellStyle name="20% - Accent4 2 2 2" xfId="211" xr:uid="{00000000-0005-0000-0000-0000D2000000}"/>
    <cellStyle name="20% - Accent4 2 3" xfId="212" xr:uid="{00000000-0005-0000-0000-0000D3000000}"/>
    <cellStyle name="20% - Accent4 2 3 2" xfId="213" xr:uid="{00000000-0005-0000-0000-0000D4000000}"/>
    <cellStyle name="20% - Accent4 2 3 2 2" xfId="214" xr:uid="{00000000-0005-0000-0000-0000D5000000}"/>
    <cellStyle name="20% - Accent4 2 3 2 2 2" xfId="215" xr:uid="{00000000-0005-0000-0000-0000D6000000}"/>
    <cellStyle name="20% - Accent4 2 3 2 2 3" xfId="216" xr:uid="{00000000-0005-0000-0000-0000D7000000}"/>
    <cellStyle name="20% - Accent4 2 3 2 3" xfId="217" xr:uid="{00000000-0005-0000-0000-0000D8000000}"/>
    <cellStyle name="20% - Accent4 2 3 2 4" xfId="218" xr:uid="{00000000-0005-0000-0000-0000D9000000}"/>
    <cellStyle name="20% - Accent4 2 3 3" xfId="219" xr:uid="{00000000-0005-0000-0000-0000DA000000}"/>
    <cellStyle name="20% - Accent4 2 3 3 2" xfId="220" xr:uid="{00000000-0005-0000-0000-0000DB000000}"/>
    <cellStyle name="20% - Accent4 2 3 3 3" xfId="221" xr:uid="{00000000-0005-0000-0000-0000DC000000}"/>
    <cellStyle name="20% - Accent4 2 3 4" xfId="222" xr:uid="{00000000-0005-0000-0000-0000DD000000}"/>
    <cellStyle name="20% - Accent4 2 3 5" xfId="223" xr:uid="{00000000-0005-0000-0000-0000DE000000}"/>
    <cellStyle name="20% - Accent4 2 4" xfId="224" xr:uid="{00000000-0005-0000-0000-0000DF000000}"/>
    <cellStyle name="20% - Accent4 2 4 2" xfId="225" xr:uid="{00000000-0005-0000-0000-0000E0000000}"/>
    <cellStyle name="20% - Accent4 2 4 2 2" xfId="226" xr:uid="{00000000-0005-0000-0000-0000E1000000}"/>
    <cellStyle name="20% - Accent4 2 4 2 3" xfId="227" xr:uid="{00000000-0005-0000-0000-0000E2000000}"/>
    <cellStyle name="20% - Accent4 2 4 3" xfId="228" xr:uid="{00000000-0005-0000-0000-0000E3000000}"/>
    <cellStyle name="20% - Accent4 2 4 3 2" xfId="229" xr:uid="{00000000-0005-0000-0000-0000E4000000}"/>
    <cellStyle name="20% - Accent4 2 4 3 3" xfId="230" xr:uid="{00000000-0005-0000-0000-0000E5000000}"/>
    <cellStyle name="20% - Accent4 2 4 4" xfId="231" xr:uid="{00000000-0005-0000-0000-0000E6000000}"/>
    <cellStyle name="20% - Accent4 2 4 5" xfId="232" xr:uid="{00000000-0005-0000-0000-0000E7000000}"/>
    <cellStyle name="20% - Accent4 2 5" xfId="233" xr:uid="{00000000-0005-0000-0000-0000E8000000}"/>
    <cellStyle name="20% - Accent4 2 5 2" xfId="234" xr:uid="{00000000-0005-0000-0000-0000E9000000}"/>
    <cellStyle name="20% - Accent4 2 5 2 2" xfId="235" xr:uid="{00000000-0005-0000-0000-0000EA000000}"/>
    <cellStyle name="20% - Accent4 2 5 2 3" xfId="236" xr:uid="{00000000-0005-0000-0000-0000EB000000}"/>
    <cellStyle name="20% - Accent4 2 5 3" xfId="237" xr:uid="{00000000-0005-0000-0000-0000EC000000}"/>
    <cellStyle name="20% - Accent4 2 5 4" xfId="238" xr:uid="{00000000-0005-0000-0000-0000ED000000}"/>
    <cellStyle name="20% - Accent4 2 6" xfId="239" xr:uid="{00000000-0005-0000-0000-0000EE000000}"/>
    <cellStyle name="20% - Accent4 2 6 2" xfId="240" xr:uid="{00000000-0005-0000-0000-0000EF000000}"/>
    <cellStyle name="20% - Accent4 2 6 3" xfId="241" xr:uid="{00000000-0005-0000-0000-0000F0000000}"/>
    <cellStyle name="20% - Accent4 2 7" xfId="242" xr:uid="{00000000-0005-0000-0000-0000F1000000}"/>
    <cellStyle name="20% - Accent4 2 8" xfId="243" xr:uid="{00000000-0005-0000-0000-0000F2000000}"/>
    <cellStyle name="20% - Accent4 2 9" xfId="244" xr:uid="{00000000-0005-0000-0000-0000F3000000}"/>
    <cellStyle name="20% - Accent4 3" xfId="245" xr:uid="{00000000-0005-0000-0000-0000F4000000}"/>
    <cellStyle name="20% - Accent4 3 2" xfId="246" xr:uid="{00000000-0005-0000-0000-0000F5000000}"/>
    <cellStyle name="20% - Accent4 3 3" xfId="247" xr:uid="{00000000-0005-0000-0000-0000F6000000}"/>
    <cellStyle name="20% - Accent4 4" xfId="248" xr:uid="{00000000-0005-0000-0000-0000F7000000}"/>
    <cellStyle name="20% - Accent4 4 2" xfId="249" xr:uid="{00000000-0005-0000-0000-0000F8000000}"/>
    <cellStyle name="20% - Accent4 5" xfId="250" xr:uid="{00000000-0005-0000-0000-0000F9000000}"/>
    <cellStyle name="20% - Accent4 6" xfId="251" xr:uid="{00000000-0005-0000-0000-0000FA000000}"/>
    <cellStyle name="20% - Accent4 7" xfId="252" xr:uid="{00000000-0005-0000-0000-0000FB000000}"/>
    <cellStyle name="20% - Accent4 8" xfId="253" xr:uid="{00000000-0005-0000-0000-0000FC000000}"/>
    <cellStyle name="20% - Accent4 9" xfId="254" xr:uid="{00000000-0005-0000-0000-0000FD000000}"/>
    <cellStyle name="20% - Accent5" xfId="255" builtinId="46" customBuiltin="1"/>
    <cellStyle name="20% - Accent5 10" xfId="256" xr:uid="{00000000-0005-0000-0000-0000FF000000}"/>
    <cellStyle name="20% - Accent5 11" xfId="257" xr:uid="{00000000-0005-0000-0000-000000010000}"/>
    <cellStyle name="20% - Accent5 12" xfId="258" xr:uid="{00000000-0005-0000-0000-000001010000}"/>
    <cellStyle name="20% - Accent5 13" xfId="259" xr:uid="{00000000-0005-0000-0000-000002010000}"/>
    <cellStyle name="20% - Accent5 14" xfId="260" xr:uid="{00000000-0005-0000-0000-000003010000}"/>
    <cellStyle name="20% - Accent5 15" xfId="261" xr:uid="{00000000-0005-0000-0000-000004010000}"/>
    <cellStyle name="20% - Accent5 2" xfId="262" xr:uid="{00000000-0005-0000-0000-000005010000}"/>
    <cellStyle name="20% - Accent5 2 10" xfId="263" xr:uid="{00000000-0005-0000-0000-000006010000}"/>
    <cellStyle name="20% - Accent5 2 11" xfId="264" xr:uid="{00000000-0005-0000-0000-000007010000}"/>
    <cellStyle name="20% - Accent5 2 2" xfId="265" xr:uid="{00000000-0005-0000-0000-000008010000}"/>
    <cellStyle name="20% - Accent5 2 2 2" xfId="266" xr:uid="{00000000-0005-0000-0000-000009010000}"/>
    <cellStyle name="20% - Accent5 2 3" xfId="267" xr:uid="{00000000-0005-0000-0000-00000A010000}"/>
    <cellStyle name="20% - Accent5 2 3 2" xfId="268" xr:uid="{00000000-0005-0000-0000-00000B010000}"/>
    <cellStyle name="20% - Accent5 2 3 2 2" xfId="269" xr:uid="{00000000-0005-0000-0000-00000C010000}"/>
    <cellStyle name="20% - Accent5 2 3 2 2 2" xfId="270" xr:uid="{00000000-0005-0000-0000-00000D010000}"/>
    <cellStyle name="20% - Accent5 2 3 2 2 3" xfId="271" xr:uid="{00000000-0005-0000-0000-00000E010000}"/>
    <cellStyle name="20% - Accent5 2 3 2 3" xfId="272" xr:uid="{00000000-0005-0000-0000-00000F010000}"/>
    <cellStyle name="20% - Accent5 2 3 2 4" xfId="273" xr:uid="{00000000-0005-0000-0000-000010010000}"/>
    <cellStyle name="20% - Accent5 2 3 3" xfId="274" xr:uid="{00000000-0005-0000-0000-000011010000}"/>
    <cellStyle name="20% - Accent5 2 3 3 2" xfId="275" xr:uid="{00000000-0005-0000-0000-000012010000}"/>
    <cellStyle name="20% - Accent5 2 3 3 3" xfId="276" xr:uid="{00000000-0005-0000-0000-000013010000}"/>
    <cellStyle name="20% - Accent5 2 3 4" xfId="277" xr:uid="{00000000-0005-0000-0000-000014010000}"/>
    <cellStyle name="20% - Accent5 2 3 5" xfId="278" xr:uid="{00000000-0005-0000-0000-000015010000}"/>
    <cellStyle name="20% - Accent5 2 4" xfId="279" xr:uid="{00000000-0005-0000-0000-000016010000}"/>
    <cellStyle name="20% - Accent5 2 4 2" xfId="280" xr:uid="{00000000-0005-0000-0000-000017010000}"/>
    <cellStyle name="20% - Accent5 2 4 2 2" xfId="281" xr:uid="{00000000-0005-0000-0000-000018010000}"/>
    <cellStyle name="20% - Accent5 2 4 2 3" xfId="282" xr:uid="{00000000-0005-0000-0000-000019010000}"/>
    <cellStyle name="20% - Accent5 2 4 3" xfId="283" xr:uid="{00000000-0005-0000-0000-00001A010000}"/>
    <cellStyle name="20% - Accent5 2 4 3 2" xfId="284" xr:uid="{00000000-0005-0000-0000-00001B010000}"/>
    <cellStyle name="20% - Accent5 2 4 3 3" xfId="285" xr:uid="{00000000-0005-0000-0000-00001C010000}"/>
    <cellStyle name="20% - Accent5 2 4 4" xfId="286" xr:uid="{00000000-0005-0000-0000-00001D010000}"/>
    <cellStyle name="20% - Accent5 2 4 5" xfId="287" xr:uid="{00000000-0005-0000-0000-00001E010000}"/>
    <cellStyle name="20% - Accent5 2 5" xfId="288" xr:uid="{00000000-0005-0000-0000-00001F010000}"/>
    <cellStyle name="20% - Accent5 2 5 2" xfId="289" xr:uid="{00000000-0005-0000-0000-000020010000}"/>
    <cellStyle name="20% - Accent5 2 5 2 2" xfId="290" xr:uid="{00000000-0005-0000-0000-000021010000}"/>
    <cellStyle name="20% - Accent5 2 5 2 3" xfId="291" xr:uid="{00000000-0005-0000-0000-000022010000}"/>
    <cellStyle name="20% - Accent5 2 5 3" xfId="292" xr:uid="{00000000-0005-0000-0000-000023010000}"/>
    <cellStyle name="20% - Accent5 2 5 4" xfId="293" xr:uid="{00000000-0005-0000-0000-000024010000}"/>
    <cellStyle name="20% - Accent5 2 6" xfId="294" xr:uid="{00000000-0005-0000-0000-000025010000}"/>
    <cellStyle name="20% - Accent5 2 6 2" xfId="295" xr:uid="{00000000-0005-0000-0000-000026010000}"/>
    <cellStyle name="20% - Accent5 2 6 3" xfId="296" xr:uid="{00000000-0005-0000-0000-000027010000}"/>
    <cellStyle name="20% - Accent5 2 7" xfId="297" xr:uid="{00000000-0005-0000-0000-000028010000}"/>
    <cellStyle name="20% - Accent5 2 8" xfId="298" xr:uid="{00000000-0005-0000-0000-000029010000}"/>
    <cellStyle name="20% - Accent5 2 9" xfId="299" xr:uid="{00000000-0005-0000-0000-00002A010000}"/>
    <cellStyle name="20% - Accent5 3" xfId="300" xr:uid="{00000000-0005-0000-0000-00002B010000}"/>
    <cellStyle name="20% - Accent5 3 2" xfId="301" xr:uid="{00000000-0005-0000-0000-00002C010000}"/>
    <cellStyle name="20% - Accent5 3 3" xfId="302" xr:uid="{00000000-0005-0000-0000-00002D010000}"/>
    <cellStyle name="20% - Accent5 4" xfId="303" xr:uid="{00000000-0005-0000-0000-00002E010000}"/>
    <cellStyle name="20% - Accent5 4 2" xfId="304" xr:uid="{00000000-0005-0000-0000-00002F010000}"/>
    <cellStyle name="20% - Accent5 5" xfId="305" xr:uid="{00000000-0005-0000-0000-000030010000}"/>
    <cellStyle name="20% - Accent5 6" xfId="306" xr:uid="{00000000-0005-0000-0000-000031010000}"/>
    <cellStyle name="20% - Accent5 7" xfId="307" xr:uid="{00000000-0005-0000-0000-000032010000}"/>
    <cellStyle name="20% - Accent5 8" xfId="308" xr:uid="{00000000-0005-0000-0000-000033010000}"/>
    <cellStyle name="20% - Accent5 9" xfId="309" xr:uid="{00000000-0005-0000-0000-000034010000}"/>
    <cellStyle name="20% - Accent6 10" xfId="310" xr:uid="{00000000-0005-0000-0000-000035010000}"/>
    <cellStyle name="20% - Accent6 11" xfId="311" xr:uid="{00000000-0005-0000-0000-000036010000}"/>
    <cellStyle name="20% - Accent6 12" xfId="312" xr:uid="{00000000-0005-0000-0000-000037010000}"/>
    <cellStyle name="20% - Accent6 13" xfId="313" xr:uid="{00000000-0005-0000-0000-000038010000}"/>
    <cellStyle name="20% - Accent6 14" xfId="314" xr:uid="{00000000-0005-0000-0000-000039010000}"/>
    <cellStyle name="20% - Accent6 15" xfId="315" xr:uid="{00000000-0005-0000-0000-00003A010000}"/>
    <cellStyle name="20% - Accent6 16" xfId="316" xr:uid="{00000000-0005-0000-0000-00003B010000}"/>
    <cellStyle name="20% - Accent6 2" xfId="317" xr:uid="{00000000-0005-0000-0000-00003C010000}"/>
    <cellStyle name="20% - Accent6 2 10" xfId="318" xr:uid="{00000000-0005-0000-0000-00003D010000}"/>
    <cellStyle name="20% - Accent6 2 11" xfId="319" xr:uid="{00000000-0005-0000-0000-00003E010000}"/>
    <cellStyle name="20% - Accent6 2 2" xfId="320" xr:uid="{00000000-0005-0000-0000-00003F010000}"/>
    <cellStyle name="20% - Accent6 2 2 2" xfId="321" xr:uid="{00000000-0005-0000-0000-000040010000}"/>
    <cellStyle name="20% - Accent6 2 3" xfId="322" xr:uid="{00000000-0005-0000-0000-000041010000}"/>
    <cellStyle name="20% - Accent6 2 3 2" xfId="323" xr:uid="{00000000-0005-0000-0000-000042010000}"/>
    <cellStyle name="20% - Accent6 2 3 2 2" xfId="324" xr:uid="{00000000-0005-0000-0000-000043010000}"/>
    <cellStyle name="20% - Accent6 2 3 2 2 2" xfId="325" xr:uid="{00000000-0005-0000-0000-000044010000}"/>
    <cellStyle name="20% - Accent6 2 3 2 2 3" xfId="326" xr:uid="{00000000-0005-0000-0000-000045010000}"/>
    <cellStyle name="20% - Accent6 2 3 2 3" xfId="327" xr:uid="{00000000-0005-0000-0000-000046010000}"/>
    <cellStyle name="20% - Accent6 2 3 2 4" xfId="328" xr:uid="{00000000-0005-0000-0000-000047010000}"/>
    <cellStyle name="20% - Accent6 2 3 3" xfId="329" xr:uid="{00000000-0005-0000-0000-000048010000}"/>
    <cellStyle name="20% - Accent6 2 3 3 2" xfId="330" xr:uid="{00000000-0005-0000-0000-000049010000}"/>
    <cellStyle name="20% - Accent6 2 3 3 3" xfId="331" xr:uid="{00000000-0005-0000-0000-00004A010000}"/>
    <cellStyle name="20% - Accent6 2 3 4" xfId="332" xr:uid="{00000000-0005-0000-0000-00004B010000}"/>
    <cellStyle name="20% - Accent6 2 3 5" xfId="333" xr:uid="{00000000-0005-0000-0000-00004C010000}"/>
    <cellStyle name="20% - Accent6 2 4" xfId="334" xr:uid="{00000000-0005-0000-0000-00004D010000}"/>
    <cellStyle name="20% - Accent6 2 4 2" xfId="335" xr:uid="{00000000-0005-0000-0000-00004E010000}"/>
    <cellStyle name="20% - Accent6 2 4 2 2" xfId="336" xr:uid="{00000000-0005-0000-0000-00004F010000}"/>
    <cellStyle name="20% - Accent6 2 4 2 3" xfId="337" xr:uid="{00000000-0005-0000-0000-000050010000}"/>
    <cellStyle name="20% - Accent6 2 4 3" xfId="338" xr:uid="{00000000-0005-0000-0000-000051010000}"/>
    <cellStyle name="20% - Accent6 2 4 3 2" xfId="339" xr:uid="{00000000-0005-0000-0000-000052010000}"/>
    <cellStyle name="20% - Accent6 2 4 3 3" xfId="340" xr:uid="{00000000-0005-0000-0000-000053010000}"/>
    <cellStyle name="20% - Accent6 2 4 4" xfId="341" xr:uid="{00000000-0005-0000-0000-000054010000}"/>
    <cellStyle name="20% - Accent6 2 4 5" xfId="342" xr:uid="{00000000-0005-0000-0000-000055010000}"/>
    <cellStyle name="20% - Accent6 2 5" xfId="343" xr:uid="{00000000-0005-0000-0000-000056010000}"/>
    <cellStyle name="20% - Accent6 2 5 2" xfId="344" xr:uid="{00000000-0005-0000-0000-000057010000}"/>
    <cellStyle name="20% - Accent6 2 5 2 2" xfId="345" xr:uid="{00000000-0005-0000-0000-000058010000}"/>
    <cellStyle name="20% - Accent6 2 5 2 3" xfId="346" xr:uid="{00000000-0005-0000-0000-000059010000}"/>
    <cellStyle name="20% - Accent6 2 5 3" xfId="347" xr:uid="{00000000-0005-0000-0000-00005A010000}"/>
    <cellStyle name="20% - Accent6 2 5 4" xfId="348" xr:uid="{00000000-0005-0000-0000-00005B010000}"/>
    <cellStyle name="20% - Accent6 2 6" xfId="349" xr:uid="{00000000-0005-0000-0000-00005C010000}"/>
    <cellStyle name="20% - Accent6 2 6 2" xfId="350" xr:uid="{00000000-0005-0000-0000-00005D010000}"/>
    <cellStyle name="20% - Accent6 2 6 3" xfId="351" xr:uid="{00000000-0005-0000-0000-00005E010000}"/>
    <cellStyle name="20% - Accent6 2 7" xfId="352" xr:uid="{00000000-0005-0000-0000-00005F010000}"/>
    <cellStyle name="20% - Accent6 2 8" xfId="353" xr:uid="{00000000-0005-0000-0000-000060010000}"/>
    <cellStyle name="20% - Accent6 2 9" xfId="354" xr:uid="{00000000-0005-0000-0000-000061010000}"/>
    <cellStyle name="20% - Accent6 3" xfId="355" xr:uid="{00000000-0005-0000-0000-000062010000}"/>
    <cellStyle name="20% - Accent6 3 2" xfId="356" xr:uid="{00000000-0005-0000-0000-000063010000}"/>
    <cellStyle name="20% - Accent6 3 3" xfId="357" xr:uid="{00000000-0005-0000-0000-000064010000}"/>
    <cellStyle name="20% - Accent6 4" xfId="358" xr:uid="{00000000-0005-0000-0000-000065010000}"/>
    <cellStyle name="20% - Accent6 4 2" xfId="359" xr:uid="{00000000-0005-0000-0000-000066010000}"/>
    <cellStyle name="20% - Accent6 5" xfId="360" xr:uid="{00000000-0005-0000-0000-000067010000}"/>
    <cellStyle name="20% - Accent6 6" xfId="361" xr:uid="{00000000-0005-0000-0000-000068010000}"/>
    <cellStyle name="20% - Accent6 7" xfId="362" xr:uid="{00000000-0005-0000-0000-000069010000}"/>
    <cellStyle name="20% - Accent6 8" xfId="363" xr:uid="{00000000-0005-0000-0000-00006A010000}"/>
    <cellStyle name="20% - Accent6 9" xfId="364" xr:uid="{00000000-0005-0000-0000-00006B010000}"/>
    <cellStyle name="40% - Accent1 10" xfId="365" xr:uid="{00000000-0005-0000-0000-00006C010000}"/>
    <cellStyle name="40% - Accent1 11" xfId="366" xr:uid="{00000000-0005-0000-0000-00006D010000}"/>
    <cellStyle name="40% - Accent1 12" xfId="367" xr:uid="{00000000-0005-0000-0000-00006E010000}"/>
    <cellStyle name="40% - Accent1 13" xfId="368" xr:uid="{00000000-0005-0000-0000-00006F010000}"/>
    <cellStyle name="40% - Accent1 14" xfId="369" xr:uid="{00000000-0005-0000-0000-000070010000}"/>
    <cellStyle name="40% - Accent1 15" xfId="370" xr:uid="{00000000-0005-0000-0000-000071010000}"/>
    <cellStyle name="40% - Accent1 16" xfId="371" xr:uid="{00000000-0005-0000-0000-000072010000}"/>
    <cellStyle name="40% - Accent1 2" xfId="372" xr:uid="{00000000-0005-0000-0000-000073010000}"/>
    <cellStyle name="40% - Accent1 2 10" xfId="373" xr:uid="{00000000-0005-0000-0000-000074010000}"/>
    <cellStyle name="40% - Accent1 2 2" xfId="374" xr:uid="{00000000-0005-0000-0000-000075010000}"/>
    <cellStyle name="40% - Accent1 2 2 2" xfId="375" xr:uid="{00000000-0005-0000-0000-000076010000}"/>
    <cellStyle name="40% - Accent1 2 3" xfId="376" xr:uid="{00000000-0005-0000-0000-000077010000}"/>
    <cellStyle name="40% - Accent1 2 3 2" xfId="377" xr:uid="{00000000-0005-0000-0000-000078010000}"/>
    <cellStyle name="40% - Accent1 2 3 2 2" xfId="378" xr:uid="{00000000-0005-0000-0000-000079010000}"/>
    <cellStyle name="40% - Accent1 2 3 2 2 2" xfId="379" xr:uid="{00000000-0005-0000-0000-00007A010000}"/>
    <cellStyle name="40% - Accent1 2 3 2 2 3" xfId="380" xr:uid="{00000000-0005-0000-0000-00007B010000}"/>
    <cellStyle name="40% - Accent1 2 3 2 3" xfId="381" xr:uid="{00000000-0005-0000-0000-00007C010000}"/>
    <cellStyle name="40% - Accent1 2 3 2 4" xfId="382" xr:uid="{00000000-0005-0000-0000-00007D010000}"/>
    <cellStyle name="40% - Accent1 2 3 3" xfId="383" xr:uid="{00000000-0005-0000-0000-00007E010000}"/>
    <cellStyle name="40% - Accent1 2 3 3 2" xfId="384" xr:uid="{00000000-0005-0000-0000-00007F010000}"/>
    <cellStyle name="40% - Accent1 2 3 3 3" xfId="385" xr:uid="{00000000-0005-0000-0000-000080010000}"/>
    <cellStyle name="40% - Accent1 2 3 4" xfId="386" xr:uid="{00000000-0005-0000-0000-000081010000}"/>
    <cellStyle name="40% - Accent1 2 3 5" xfId="387" xr:uid="{00000000-0005-0000-0000-000082010000}"/>
    <cellStyle name="40% - Accent1 2 4" xfId="388" xr:uid="{00000000-0005-0000-0000-000083010000}"/>
    <cellStyle name="40% - Accent1 2 4 2" xfId="389" xr:uid="{00000000-0005-0000-0000-000084010000}"/>
    <cellStyle name="40% - Accent1 2 4 2 2" xfId="390" xr:uid="{00000000-0005-0000-0000-000085010000}"/>
    <cellStyle name="40% - Accent1 2 4 2 3" xfId="391" xr:uid="{00000000-0005-0000-0000-000086010000}"/>
    <cellStyle name="40% - Accent1 2 4 3" xfId="392" xr:uid="{00000000-0005-0000-0000-000087010000}"/>
    <cellStyle name="40% - Accent1 2 4 3 2" xfId="393" xr:uid="{00000000-0005-0000-0000-000088010000}"/>
    <cellStyle name="40% - Accent1 2 4 3 3" xfId="394" xr:uid="{00000000-0005-0000-0000-000089010000}"/>
    <cellStyle name="40% - Accent1 2 4 4" xfId="395" xr:uid="{00000000-0005-0000-0000-00008A010000}"/>
    <cellStyle name="40% - Accent1 2 4 5" xfId="396" xr:uid="{00000000-0005-0000-0000-00008B010000}"/>
    <cellStyle name="40% - Accent1 2 5" xfId="397" xr:uid="{00000000-0005-0000-0000-00008C010000}"/>
    <cellStyle name="40% - Accent1 2 5 2" xfId="398" xr:uid="{00000000-0005-0000-0000-00008D010000}"/>
    <cellStyle name="40% - Accent1 2 5 2 2" xfId="399" xr:uid="{00000000-0005-0000-0000-00008E010000}"/>
    <cellStyle name="40% - Accent1 2 5 2 3" xfId="400" xr:uid="{00000000-0005-0000-0000-00008F010000}"/>
    <cellStyle name="40% - Accent1 2 5 3" xfId="401" xr:uid="{00000000-0005-0000-0000-000090010000}"/>
    <cellStyle name="40% - Accent1 2 5 4" xfId="402" xr:uid="{00000000-0005-0000-0000-000091010000}"/>
    <cellStyle name="40% - Accent1 2 6" xfId="403" xr:uid="{00000000-0005-0000-0000-000092010000}"/>
    <cellStyle name="40% - Accent1 2 6 2" xfId="404" xr:uid="{00000000-0005-0000-0000-000093010000}"/>
    <cellStyle name="40% - Accent1 2 6 3" xfId="405" xr:uid="{00000000-0005-0000-0000-000094010000}"/>
    <cellStyle name="40% - Accent1 2 7" xfId="406" xr:uid="{00000000-0005-0000-0000-000095010000}"/>
    <cellStyle name="40% - Accent1 2 8" xfId="407" xr:uid="{00000000-0005-0000-0000-000096010000}"/>
    <cellStyle name="40% - Accent1 2 9" xfId="408" xr:uid="{00000000-0005-0000-0000-000097010000}"/>
    <cellStyle name="40% - Accent1 3" xfId="409" xr:uid="{00000000-0005-0000-0000-000098010000}"/>
    <cellStyle name="40% - Accent1 3 2" xfId="410" xr:uid="{00000000-0005-0000-0000-000099010000}"/>
    <cellStyle name="40% - Accent1 3 3" xfId="411" xr:uid="{00000000-0005-0000-0000-00009A010000}"/>
    <cellStyle name="40% - Accent1 4" xfId="412" xr:uid="{00000000-0005-0000-0000-00009B010000}"/>
    <cellStyle name="40% - Accent1 4 2" xfId="413" xr:uid="{00000000-0005-0000-0000-00009C010000}"/>
    <cellStyle name="40% - Accent1 5" xfId="414" xr:uid="{00000000-0005-0000-0000-00009D010000}"/>
    <cellStyle name="40% - Accent1 6" xfId="415" xr:uid="{00000000-0005-0000-0000-00009E010000}"/>
    <cellStyle name="40% - Accent1 7" xfId="416" xr:uid="{00000000-0005-0000-0000-00009F010000}"/>
    <cellStyle name="40% - Accent1 8" xfId="417" xr:uid="{00000000-0005-0000-0000-0000A0010000}"/>
    <cellStyle name="40% - Accent1 9" xfId="418" xr:uid="{00000000-0005-0000-0000-0000A1010000}"/>
    <cellStyle name="40% - Accent2" xfId="419" builtinId="35" customBuiltin="1"/>
    <cellStyle name="40% - Accent2 10" xfId="420" xr:uid="{00000000-0005-0000-0000-0000A3010000}"/>
    <cellStyle name="40% - Accent2 11" xfId="421" xr:uid="{00000000-0005-0000-0000-0000A4010000}"/>
    <cellStyle name="40% - Accent2 12" xfId="422" xr:uid="{00000000-0005-0000-0000-0000A5010000}"/>
    <cellStyle name="40% - Accent2 13" xfId="423" xr:uid="{00000000-0005-0000-0000-0000A6010000}"/>
    <cellStyle name="40% - Accent2 14" xfId="424" xr:uid="{00000000-0005-0000-0000-0000A7010000}"/>
    <cellStyle name="40% - Accent2 15" xfId="425" xr:uid="{00000000-0005-0000-0000-0000A8010000}"/>
    <cellStyle name="40% - Accent2 2" xfId="426" xr:uid="{00000000-0005-0000-0000-0000A9010000}"/>
    <cellStyle name="40% - Accent2 2 10" xfId="427" xr:uid="{00000000-0005-0000-0000-0000AA010000}"/>
    <cellStyle name="40% - Accent2 2 2" xfId="428" xr:uid="{00000000-0005-0000-0000-0000AB010000}"/>
    <cellStyle name="40% - Accent2 2 2 2" xfId="429" xr:uid="{00000000-0005-0000-0000-0000AC010000}"/>
    <cellStyle name="40% - Accent2 2 3" xfId="430" xr:uid="{00000000-0005-0000-0000-0000AD010000}"/>
    <cellStyle name="40% - Accent2 2 3 2" xfId="431" xr:uid="{00000000-0005-0000-0000-0000AE010000}"/>
    <cellStyle name="40% - Accent2 2 3 2 2" xfId="432" xr:uid="{00000000-0005-0000-0000-0000AF010000}"/>
    <cellStyle name="40% - Accent2 2 3 2 2 2" xfId="433" xr:uid="{00000000-0005-0000-0000-0000B0010000}"/>
    <cellStyle name="40% - Accent2 2 3 2 2 3" xfId="434" xr:uid="{00000000-0005-0000-0000-0000B1010000}"/>
    <cellStyle name="40% - Accent2 2 3 2 3" xfId="435" xr:uid="{00000000-0005-0000-0000-0000B2010000}"/>
    <cellStyle name="40% - Accent2 2 3 2 4" xfId="436" xr:uid="{00000000-0005-0000-0000-0000B3010000}"/>
    <cellStyle name="40% - Accent2 2 3 3" xfId="437" xr:uid="{00000000-0005-0000-0000-0000B4010000}"/>
    <cellStyle name="40% - Accent2 2 3 3 2" xfId="438" xr:uid="{00000000-0005-0000-0000-0000B5010000}"/>
    <cellStyle name="40% - Accent2 2 3 3 3" xfId="439" xr:uid="{00000000-0005-0000-0000-0000B6010000}"/>
    <cellStyle name="40% - Accent2 2 3 4" xfId="440" xr:uid="{00000000-0005-0000-0000-0000B7010000}"/>
    <cellStyle name="40% - Accent2 2 3 5" xfId="441" xr:uid="{00000000-0005-0000-0000-0000B8010000}"/>
    <cellStyle name="40% - Accent2 2 4" xfId="442" xr:uid="{00000000-0005-0000-0000-0000B9010000}"/>
    <cellStyle name="40% - Accent2 2 4 2" xfId="443" xr:uid="{00000000-0005-0000-0000-0000BA010000}"/>
    <cellStyle name="40% - Accent2 2 4 2 2" xfId="444" xr:uid="{00000000-0005-0000-0000-0000BB010000}"/>
    <cellStyle name="40% - Accent2 2 4 2 3" xfId="445" xr:uid="{00000000-0005-0000-0000-0000BC010000}"/>
    <cellStyle name="40% - Accent2 2 4 3" xfId="446" xr:uid="{00000000-0005-0000-0000-0000BD010000}"/>
    <cellStyle name="40% - Accent2 2 4 3 2" xfId="447" xr:uid="{00000000-0005-0000-0000-0000BE010000}"/>
    <cellStyle name="40% - Accent2 2 4 3 3" xfId="448" xr:uid="{00000000-0005-0000-0000-0000BF010000}"/>
    <cellStyle name="40% - Accent2 2 4 4" xfId="449" xr:uid="{00000000-0005-0000-0000-0000C0010000}"/>
    <cellStyle name="40% - Accent2 2 4 5" xfId="450" xr:uid="{00000000-0005-0000-0000-0000C1010000}"/>
    <cellStyle name="40% - Accent2 2 5" xfId="451" xr:uid="{00000000-0005-0000-0000-0000C2010000}"/>
    <cellStyle name="40% - Accent2 2 5 2" xfId="452" xr:uid="{00000000-0005-0000-0000-0000C3010000}"/>
    <cellStyle name="40% - Accent2 2 5 2 2" xfId="453" xr:uid="{00000000-0005-0000-0000-0000C4010000}"/>
    <cellStyle name="40% - Accent2 2 5 2 3" xfId="454" xr:uid="{00000000-0005-0000-0000-0000C5010000}"/>
    <cellStyle name="40% - Accent2 2 5 3" xfId="455" xr:uid="{00000000-0005-0000-0000-0000C6010000}"/>
    <cellStyle name="40% - Accent2 2 5 4" xfId="456" xr:uid="{00000000-0005-0000-0000-0000C7010000}"/>
    <cellStyle name="40% - Accent2 2 6" xfId="457" xr:uid="{00000000-0005-0000-0000-0000C8010000}"/>
    <cellStyle name="40% - Accent2 2 6 2" xfId="458" xr:uid="{00000000-0005-0000-0000-0000C9010000}"/>
    <cellStyle name="40% - Accent2 2 6 3" xfId="459" xr:uid="{00000000-0005-0000-0000-0000CA010000}"/>
    <cellStyle name="40% - Accent2 2 7" xfId="460" xr:uid="{00000000-0005-0000-0000-0000CB010000}"/>
    <cellStyle name="40% - Accent2 2 8" xfId="461" xr:uid="{00000000-0005-0000-0000-0000CC010000}"/>
    <cellStyle name="40% - Accent2 2 9" xfId="462" xr:uid="{00000000-0005-0000-0000-0000CD010000}"/>
    <cellStyle name="40% - Accent2 3" xfId="463" xr:uid="{00000000-0005-0000-0000-0000CE010000}"/>
    <cellStyle name="40% - Accent2 3 2" xfId="464" xr:uid="{00000000-0005-0000-0000-0000CF010000}"/>
    <cellStyle name="40% - Accent2 3 3" xfId="465" xr:uid="{00000000-0005-0000-0000-0000D0010000}"/>
    <cellStyle name="40% - Accent2 4" xfId="466" xr:uid="{00000000-0005-0000-0000-0000D1010000}"/>
    <cellStyle name="40% - Accent2 4 2" xfId="467" xr:uid="{00000000-0005-0000-0000-0000D2010000}"/>
    <cellStyle name="40% - Accent2 5" xfId="468" xr:uid="{00000000-0005-0000-0000-0000D3010000}"/>
    <cellStyle name="40% - Accent2 6" xfId="469" xr:uid="{00000000-0005-0000-0000-0000D4010000}"/>
    <cellStyle name="40% - Accent2 7" xfId="470" xr:uid="{00000000-0005-0000-0000-0000D5010000}"/>
    <cellStyle name="40% - Accent2 8" xfId="471" xr:uid="{00000000-0005-0000-0000-0000D6010000}"/>
    <cellStyle name="40% - Accent2 9" xfId="472" xr:uid="{00000000-0005-0000-0000-0000D7010000}"/>
    <cellStyle name="40% - Accent3 10" xfId="473" xr:uid="{00000000-0005-0000-0000-0000D8010000}"/>
    <cellStyle name="40% - Accent3 11" xfId="474" xr:uid="{00000000-0005-0000-0000-0000D9010000}"/>
    <cellStyle name="40% - Accent3 12" xfId="475" xr:uid="{00000000-0005-0000-0000-0000DA010000}"/>
    <cellStyle name="40% - Accent3 13" xfId="476" xr:uid="{00000000-0005-0000-0000-0000DB010000}"/>
    <cellStyle name="40% - Accent3 14" xfId="477" xr:uid="{00000000-0005-0000-0000-0000DC010000}"/>
    <cellStyle name="40% - Accent3 15" xfId="478" xr:uid="{00000000-0005-0000-0000-0000DD010000}"/>
    <cellStyle name="40% - Accent3 16" xfId="479" xr:uid="{00000000-0005-0000-0000-0000DE010000}"/>
    <cellStyle name="40% - Accent3 2" xfId="480" xr:uid="{00000000-0005-0000-0000-0000DF010000}"/>
    <cellStyle name="40% - Accent3 2 10" xfId="481" xr:uid="{00000000-0005-0000-0000-0000E0010000}"/>
    <cellStyle name="40% - Accent3 2 11" xfId="482" xr:uid="{00000000-0005-0000-0000-0000E1010000}"/>
    <cellStyle name="40% - Accent3 2 2" xfId="483" xr:uid="{00000000-0005-0000-0000-0000E2010000}"/>
    <cellStyle name="40% - Accent3 2 2 2" xfId="484" xr:uid="{00000000-0005-0000-0000-0000E3010000}"/>
    <cellStyle name="40% - Accent3 2 3" xfId="485" xr:uid="{00000000-0005-0000-0000-0000E4010000}"/>
    <cellStyle name="40% - Accent3 2 3 2" xfId="486" xr:uid="{00000000-0005-0000-0000-0000E5010000}"/>
    <cellStyle name="40% - Accent3 2 3 2 2" xfId="487" xr:uid="{00000000-0005-0000-0000-0000E6010000}"/>
    <cellStyle name="40% - Accent3 2 3 2 2 2" xfId="488" xr:uid="{00000000-0005-0000-0000-0000E7010000}"/>
    <cellStyle name="40% - Accent3 2 3 2 2 3" xfId="489" xr:uid="{00000000-0005-0000-0000-0000E8010000}"/>
    <cellStyle name="40% - Accent3 2 3 2 3" xfId="490" xr:uid="{00000000-0005-0000-0000-0000E9010000}"/>
    <cellStyle name="40% - Accent3 2 3 2 4" xfId="491" xr:uid="{00000000-0005-0000-0000-0000EA010000}"/>
    <cellStyle name="40% - Accent3 2 3 3" xfId="492" xr:uid="{00000000-0005-0000-0000-0000EB010000}"/>
    <cellStyle name="40% - Accent3 2 3 3 2" xfId="493" xr:uid="{00000000-0005-0000-0000-0000EC010000}"/>
    <cellStyle name="40% - Accent3 2 3 3 3" xfId="494" xr:uid="{00000000-0005-0000-0000-0000ED010000}"/>
    <cellStyle name="40% - Accent3 2 3 4" xfId="495" xr:uid="{00000000-0005-0000-0000-0000EE010000}"/>
    <cellStyle name="40% - Accent3 2 3 5" xfId="496" xr:uid="{00000000-0005-0000-0000-0000EF010000}"/>
    <cellStyle name="40% - Accent3 2 4" xfId="497" xr:uid="{00000000-0005-0000-0000-0000F0010000}"/>
    <cellStyle name="40% - Accent3 2 4 2" xfId="498" xr:uid="{00000000-0005-0000-0000-0000F1010000}"/>
    <cellStyle name="40% - Accent3 2 4 2 2" xfId="499" xr:uid="{00000000-0005-0000-0000-0000F2010000}"/>
    <cellStyle name="40% - Accent3 2 4 2 3" xfId="500" xr:uid="{00000000-0005-0000-0000-0000F3010000}"/>
    <cellStyle name="40% - Accent3 2 4 3" xfId="501" xr:uid="{00000000-0005-0000-0000-0000F4010000}"/>
    <cellStyle name="40% - Accent3 2 4 3 2" xfId="502" xr:uid="{00000000-0005-0000-0000-0000F5010000}"/>
    <cellStyle name="40% - Accent3 2 4 3 3" xfId="503" xr:uid="{00000000-0005-0000-0000-0000F6010000}"/>
    <cellStyle name="40% - Accent3 2 4 4" xfId="504" xr:uid="{00000000-0005-0000-0000-0000F7010000}"/>
    <cellStyle name="40% - Accent3 2 4 5" xfId="505" xr:uid="{00000000-0005-0000-0000-0000F8010000}"/>
    <cellStyle name="40% - Accent3 2 5" xfId="506" xr:uid="{00000000-0005-0000-0000-0000F9010000}"/>
    <cellStyle name="40% - Accent3 2 5 2" xfId="507" xr:uid="{00000000-0005-0000-0000-0000FA010000}"/>
    <cellStyle name="40% - Accent3 2 5 2 2" xfId="508" xr:uid="{00000000-0005-0000-0000-0000FB010000}"/>
    <cellStyle name="40% - Accent3 2 5 2 3" xfId="509" xr:uid="{00000000-0005-0000-0000-0000FC010000}"/>
    <cellStyle name="40% - Accent3 2 5 3" xfId="510" xr:uid="{00000000-0005-0000-0000-0000FD010000}"/>
    <cellStyle name="40% - Accent3 2 5 4" xfId="511" xr:uid="{00000000-0005-0000-0000-0000FE010000}"/>
    <cellStyle name="40% - Accent3 2 6" xfId="512" xr:uid="{00000000-0005-0000-0000-0000FF010000}"/>
    <cellStyle name="40% - Accent3 2 6 2" xfId="513" xr:uid="{00000000-0005-0000-0000-000000020000}"/>
    <cellStyle name="40% - Accent3 2 6 3" xfId="514" xr:uid="{00000000-0005-0000-0000-000001020000}"/>
    <cellStyle name="40% - Accent3 2 7" xfId="515" xr:uid="{00000000-0005-0000-0000-000002020000}"/>
    <cellStyle name="40% - Accent3 2 8" xfId="516" xr:uid="{00000000-0005-0000-0000-000003020000}"/>
    <cellStyle name="40% - Accent3 2 9" xfId="517" xr:uid="{00000000-0005-0000-0000-000004020000}"/>
    <cellStyle name="40% - Accent3 3" xfId="518" xr:uid="{00000000-0005-0000-0000-000005020000}"/>
    <cellStyle name="40% - Accent3 3 2" xfId="519" xr:uid="{00000000-0005-0000-0000-000006020000}"/>
    <cellStyle name="40% - Accent3 3 3" xfId="520" xr:uid="{00000000-0005-0000-0000-000007020000}"/>
    <cellStyle name="40% - Accent3 4" xfId="521" xr:uid="{00000000-0005-0000-0000-000008020000}"/>
    <cellStyle name="40% - Accent3 4 2" xfId="522" xr:uid="{00000000-0005-0000-0000-000009020000}"/>
    <cellStyle name="40% - Accent3 5" xfId="523" xr:uid="{00000000-0005-0000-0000-00000A020000}"/>
    <cellStyle name="40% - Accent3 6" xfId="524" xr:uid="{00000000-0005-0000-0000-00000B020000}"/>
    <cellStyle name="40% - Accent3 7" xfId="525" xr:uid="{00000000-0005-0000-0000-00000C020000}"/>
    <cellStyle name="40% - Accent3 8" xfId="526" xr:uid="{00000000-0005-0000-0000-00000D020000}"/>
    <cellStyle name="40% - Accent3 9" xfId="527" xr:uid="{00000000-0005-0000-0000-00000E020000}"/>
    <cellStyle name="40% - Accent4 10" xfId="528" xr:uid="{00000000-0005-0000-0000-00000F020000}"/>
    <cellStyle name="40% - Accent4 11" xfId="529" xr:uid="{00000000-0005-0000-0000-000010020000}"/>
    <cellStyle name="40% - Accent4 12" xfId="530" xr:uid="{00000000-0005-0000-0000-000011020000}"/>
    <cellStyle name="40% - Accent4 13" xfId="531" xr:uid="{00000000-0005-0000-0000-000012020000}"/>
    <cellStyle name="40% - Accent4 14" xfId="532" xr:uid="{00000000-0005-0000-0000-000013020000}"/>
    <cellStyle name="40% - Accent4 15" xfId="533" xr:uid="{00000000-0005-0000-0000-000014020000}"/>
    <cellStyle name="40% - Accent4 16" xfId="534" xr:uid="{00000000-0005-0000-0000-000015020000}"/>
    <cellStyle name="40% - Accent4 2" xfId="535" xr:uid="{00000000-0005-0000-0000-000016020000}"/>
    <cellStyle name="40% - Accent4 2 10" xfId="536" xr:uid="{00000000-0005-0000-0000-000017020000}"/>
    <cellStyle name="40% - Accent4 2 2" xfId="537" xr:uid="{00000000-0005-0000-0000-000018020000}"/>
    <cellStyle name="40% - Accent4 2 2 2" xfId="538" xr:uid="{00000000-0005-0000-0000-000019020000}"/>
    <cellStyle name="40% - Accent4 2 3" xfId="539" xr:uid="{00000000-0005-0000-0000-00001A020000}"/>
    <cellStyle name="40% - Accent4 2 3 2" xfId="540" xr:uid="{00000000-0005-0000-0000-00001B020000}"/>
    <cellStyle name="40% - Accent4 2 3 2 2" xfId="541" xr:uid="{00000000-0005-0000-0000-00001C020000}"/>
    <cellStyle name="40% - Accent4 2 3 2 2 2" xfId="542" xr:uid="{00000000-0005-0000-0000-00001D020000}"/>
    <cellStyle name="40% - Accent4 2 3 2 2 3" xfId="543" xr:uid="{00000000-0005-0000-0000-00001E020000}"/>
    <cellStyle name="40% - Accent4 2 3 2 3" xfId="544" xr:uid="{00000000-0005-0000-0000-00001F020000}"/>
    <cellStyle name="40% - Accent4 2 3 2 4" xfId="545" xr:uid="{00000000-0005-0000-0000-000020020000}"/>
    <cellStyle name="40% - Accent4 2 3 3" xfId="546" xr:uid="{00000000-0005-0000-0000-000021020000}"/>
    <cellStyle name="40% - Accent4 2 3 3 2" xfId="547" xr:uid="{00000000-0005-0000-0000-000022020000}"/>
    <cellStyle name="40% - Accent4 2 3 3 3" xfId="548" xr:uid="{00000000-0005-0000-0000-000023020000}"/>
    <cellStyle name="40% - Accent4 2 3 4" xfId="549" xr:uid="{00000000-0005-0000-0000-000024020000}"/>
    <cellStyle name="40% - Accent4 2 3 5" xfId="550" xr:uid="{00000000-0005-0000-0000-000025020000}"/>
    <cellStyle name="40% - Accent4 2 4" xfId="551" xr:uid="{00000000-0005-0000-0000-000026020000}"/>
    <cellStyle name="40% - Accent4 2 4 2" xfId="552" xr:uid="{00000000-0005-0000-0000-000027020000}"/>
    <cellStyle name="40% - Accent4 2 4 2 2" xfId="553" xr:uid="{00000000-0005-0000-0000-000028020000}"/>
    <cellStyle name="40% - Accent4 2 4 2 3" xfId="554" xr:uid="{00000000-0005-0000-0000-000029020000}"/>
    <cellStyle name="40% - Accent4 2 4 3" xfId="555" xr:uid="{00000000-0005-0000-0000-00002A020000}"/>
    <cellStyle name="40% - Accent4 2 4 3 2" xfId="556" xr:uid="{00000000-0005-0000-0000-00002B020000}"/>
    <cellStyle name="40% - Accent4 2 4 3 3" xfId="557" xr:uid="{00000000-0005-0000-0000-00002C020000}"/>
    <cellStyle name="40% - Accent4 2 4 4" xfId="558" xr:uid="{00000000-0005-0000-0000-00002D020000}"/>
    <cellStyle name="40% - Accent4 2 4 5" xfId="559" xr:uid="{00000000-0005-0000-0000-00002E020000}"/>
    <cellStyle name="40% - Accent4 2 5" xfId="560" xr:uid="{00000000-0005-0000-0000-00002F020000}"/>
    <cellStyle name="40% - Accent4 2 5 2" xfId="561" xr:uid="{00000000-0005-0000-0000-000030020000}"/>
    <cellStyle name="40% - Accent4 2 5 2 2" xfId="562" xr:uid="{00000000-0005-0000-0000-000031020000}"/>
    <cellStyle name="40% - Accent4 2 5 2 3" xfId="563" xr:uid="{00000000-0005-0000-0000-000032020000}"/>
    <cellStyle name="40% - Accent4 2 5 3" xfId="564" xr:uid="{00000000-0005-0000-0000-000033020000}"/>
    <cellStyle name="40% - Accent4 2 5 4" xfId="565" xr:uid="{00000000-0005-0000-0000-000034020000}"/>
    <cellStyle name="40% - Accent4 2 6" xfId="566" xr:uid="{00000000-0005-0000-0000-000035020000}"/>
    <cellStyle name="40% - Accent4 2 6 2" xfId="567" xr:uid="{00000000-0005-0000-0000-000036020000}"/>
    <cellStyle name="40% - Accent4 2 6 3" xfId="568" xr:uid="{00000000-0005-0000-0000-000037020000}"/>
    <cellStyle name="40% - Accent4 2 7" xfId="569" xr:uid="{00000000-0005-0000-0000-000038020000}"/>
    <cellStyle name="40% - Accent4 2 8" xfId="570" xr:uid="{00000000-0005-0000-0000-000039020000}"/>
    <cellStyle name="40% - Accent4 2 9" xfId="571" xr:uid="{00000000-0005-0000-0000-00003A020000}"/>
    <cellStyle name="40% - Accent4 3" xfId="572" xr:uid="{00000000-0005-0000-0000-00003B020000}"/>
    <cellStyle name="40% - Accent4 3 2" xfId="573" xr:uid="{00000000-0005-0000-0000-00003C020000}"/>
    <cellStyle name="40% - Accent4 3 3" xfId="574" xr:uid="{00000000-0005-0000-0000-00003D020000}"/>
    <cellStyle name="40% - Accent4 4" xfId="575" xr:uid="{00000000-0005-0000-0000-00003E020000}"/>
    <cellStyle name="40% - Accent4 4 2" xfId="576" xr:uid="{00000000-0005-0000-0000-00003F020000}"/>
    <cellStyle name="40% - Accent4 5" xfId="577" xr:uid="{00000000-0005-0000-0000-000040020000}"/>
    <cellStyle name="40% - Accent4 6" xfId="578" xr:uid="{00000000-0005-0000-0000-000041020000}"/>
    <cellStyle name="40% - Accent4 7" xfId="579" xr:uid="{00000000-0005-0000-0000-000042020000}"/>
    <cellStyle name="40% - Accent4 8" xfId="580" xr:uid="{00000000-0005-0000-0000-000043020000}"/>
    <cellStyle name="40% - Accent4 9" xfId="581" xr:uid="{00000000-0005-0000-0000-000044020000}"/>
    <cellStyle name="40% - Accent5 10" xfId="582" xr:uid="{00000000-0005-0000-0000-000045020000}"/>
    <cellStyle name="40% - Accent5 11" xfId="583" xr:uid="{00000000-0005-0000-0000-000046020000}"/>
    <cellStyle name="40% - Accent5 12" xfId="584" xr:uid="{00000000-0005-0000-0000-000047020000}"/>
    <cellStyle name="40% - Accent5 13" xfId="585" xr:uid="{00000000-0005-0000-0000-000048020000}"/>
    <cellStyle name="40% - Accent5 14" xfId="586" xr:uid="{00000000-0005-0000-0000-000049020000}"/>
    <cellStyle name="40% - Accent5 15" xfId="587" xr:uid="{00000000-0005-0000-0000-00004A020000}"/>
    <cellStyle name="40% - Accent5 2" xfId="588" xr:uid="{00000000-0005-0000-0000-00004B020000}"/>
    <cellStyle name="40% - Accent5 2 10" xfId="589" xr:uid="{00000000-0005-0000-0000-00004C020000}"/>
    <cellStyle name="40% - Accent5 2 2" xfId="590" xr:uid="{00000000-0005-0000-0000-00004D020000}"/>
    <cellStyle name="40% - Accent5 2 2 2" xfId="591" xr:uid="{00000000-0005-0000-0000-00004E020000}"/>
    <cellStyle name="40% - Accent5 2 3" xfId="592" xr:uid="{00000000-0005-0000-0000-00004F020000}"/>
    <cellStyle name="40% - Accent5 2 3 2" xfId="593" xr:uid="{00000000-0005-0000-0000-000050020000}"/>
    <cellStyle name="40% - Accent5 2 3 2 2" xfId="594" xr:uid="{00000000-0005-0000-0000-000051020000}"/>
    <cellStyle name="40% - Accent5 2 3 2 2 2" xfId="595" xr:uid="{00000000-0005-0000-0000-000052020000}"/>
    <cellStyle name="40% - Accent5 2 3 2 2 3" xfId="596" xr:uid="{00000000-0005-0000-0000-000053020000}"/>
    <cellStyle name="40% - Accent5 2 3 2 3" xfId="597" xr:uid="{00000000-0005-0000-0000-000054020000}"/>
    <cellStyle name="40% - Accent5 2 3 2 4" xfId="598" xr:uid="{00000000-0005-0000-0000-000055020000}"/>
    <cellStyle name="40% - Accent5 2 3 3" xfId="599" xr:uid="{00000000-0005-0000-0000-000056020000}"/>
    <cellStyle name="40% - Accent5 2 3 3 2" xfId="600" xr:uid="{00000000-0005-0000-0000-000057020000}"/>
    <cellStyle name="40% - Accent5 2 3 3 3" xfId="601" xr:uid="{00000000-0005-0000-0000-000058020000}"/>
    <cellStyle name="40% - Accent5 2 3 4" xfId="602" xr:uid="{00000000-0005-0000-0000-000059020000}"/>
    <cellStyle name="40% - Accent5 2 3 5" xfId="603" xr:uid="{00000000-0005-0000-0000-00005A020000}"/>
    <cellStyle name="40% - Accent5 2 4" xfId="604" xr:uid="{00000000-0005-0000-0000-00005B020000}"/>
    <cellStyle name="40% - Accent5 2 4 2" xfId="605" xr:uid="{00000000-0005-0000-0000-00005C020000}"/>
    <cellStyle name="40% - Accent5 2 4 2 2" xfId="606" xr:uid="{00000000-0005-0000-0000-00005D020000}"/>
    <cellStyle name="40% - Accent5 2 4 2 3" xfId="607" xr:uid="{00000000-0005-0000-0000-00005E020000}"/>
    <cellStyle name="40% - Accent5 2 4 3" xfId="608" xr:uid="{00000000-0005-0000-0000-00005F020000}"/>
    <cellStyle name="40% - Accent5 2 4 3 2" xfId="609" xr:uid="{00000000-0005-0000-0000-000060020000}"/>
    <cellStyle name="40% - Accent5 2 4 3 3" xfId="610" xr:uid="{00000000-0005-0000-0000-000061020000}"/>
    <cellStyle name="40% - Accent5 2 4 4" xfId="611" xr:uid="{00000000-0005-0000-0000-000062020000}"/>
    <cellStyle name="40% - Accent5 2 4 5" xfId="612" xr:uid="{00000000-0005-0000-0000-000063020000}"/>
    <cellStyle name="40% - Accent5 2 5" xfId="613" xr:uid="{00000000-0005-0000-0000-000064020000}"/>
    <cellStyle name="40% - Accent5 2 5 2" xfId="614" xr:uid="{00000000-0005-0000-0000-000065020000}"/>
    <cellStyle name="40% - Accent5 2 5 2 2" xfId="615" xr:uid="{00000000-0005-0000-0000-000066020000}"/>
    <cellStyle name="40% - Accent5 2 5 2 3" xfId="616" xr:uid="{00000000-0005-0000-0000-000067020000}"/>
    <cellStyle name="40% - Accent5 2 5 3" xfId="617" xr:uid="{00000000-0005-0000-0000-000068020000}"/>
    <cellStyle name="40% - Accent5 2 5 4" xfId="618" xr:uid="{00000000-0005-0000-0000-000069020000}"/>
    <cellStyle name="40% - Accent5 2 6" xfId="619" xr:uid="{00000000-0005-0000-0000-00006A020000}"/>
    <cellStyle name="40% - Accent5 2 6 2" xfId="620" xr:uid="{00000000-0005-0000-0000-00006B020000}"/>
    <cellStyle name="40% - Accent5 2 6 3" xfId="621" xr:uid="{00000000-0005-0000-0000-00006C020000}"/>
    <cellStyle name="40% - Accent5 2 7" xfId="622" xr:uid="{00000000-0005-0000-0000-00006D020000}"/>
    <cellStyle name="40% - Accent5 2 8" xfId="623" xr:uid="{00000000-0005-0000-0000-00006E020000}"/>
    <cellStyle name="40% - Accent5 2 9" xfId="624" xr:uid="{00000000-0005-0000-0000-00006F020000}"/>
    <cellStyle name="40% - Accent5 3" xfId="625" xr:uid="{00000000-0005-0000-0000-000070020000}"/>
    <cellStyle name="40% - Accent5 3 2" xfId="626" xr:uid="{00000000-0005-0000-0000-000071020000}"/>
    <cellStyle name="40% - Accent5 3 3" xfId="627" xr:uid="{00000000-0005-0000-0000-000072020000}"/>
    <cellStyle name="40% - Accent5 4" xfId="628" xr:uid="{00000000-0005-0000-0000-000073020000}"/>
    <cellStyle name="40% - Accent5 4 2" xfId="629" xr:uid="{00000000-0005-0000-0000-000074020000}"/>
    <cellStyle name="40% - Accent5 5" xfId="630" xr:uid="{00000000-0005-0000-0000-000075020000}"/>
    <cellStyle name="40% - Accent5 6" xfId="631" xr:uid="{00000000-0005-0000-0000-000076020000}"/>
    <cellStyle name="40% - Accent5 7" xfId="632" xr:uid="{00000000-0005-0000-0000-000077020000}"/>
    <cellStyle name="40% - Accent5 8" xfId="633" xr:uid="{00000000-0005-0000-0000-000078020000}"/>
    <cellStyle name="40% - Accent5 9" xfId="634" xr:uid="{00000000-0005-0000-0000-000079020000}"/>
    <cellStyle name="40% - Accent6 10" xfId="635" xr:uid="{00000000-0005-0000-0000-00007A020000}"/>
    <cellStyle name="40% - Accent6 11" xfId="636" xr:uid="{00000000-0005-0000-0000-00007B020000}"/>
    <cellStyle name="40% - Accent6 12" xfId="637" xr:uid="{00000000-0005-0000-0000-00007C020000}"/>
    <cellStyle name="40% - Accent6 13" xfId="638" xr:uid="{00000000-0005-0000-0000-00007D020000}"/>
    <cellStyle name="40% - Accent6 14" xfId="639" xr:uid="{00000000-0005-0000-0000-00007E020000}"/>
    <cellStyle name="40% - Accent6 15" xfId="640" xr:uid="{00000000-0005-0000-0000-00007F020000}"/>
    <cellStyle name="40% - Accent6 16" xfId="641" xr:uid="{00000000-0005-0000-0000-000080020000}"/>
    <cellStyle name="40% - Accent6 2" xfId="642" xr:uid="{00000000-0005-0000-0000-000081020000}"/>
    <cellStyle name="40% - Accent6 2 10" xfId="643" xr:uid="{00000000-0005-0000-0000-000082020000}"/>
    <cellStyle name="40% - Accent6 2 11" xfId="644" xr:uid="{00000000-0005-0000-0000-000083020000}"/>
    <cellStyle name="40% - Accent6 2 2" xfId="645" xr:uid="{00000000-0005-0000-0000-000084020000}"/>
    <cellStyle name="40% - Accent6 2 2 2" xfId="646" xr:uid="{00000000-0005-0000-0000-000085020000}"/>
    <cellStyle name="40% - Accent6 2 3" xfId="647" xr:uid="{00000000-0005-0000-0000-000086020000}"/>
    <cellStyle name="40% - Accent6 2 3 2" xfId="648" xr:uid="{00000000-0005-0000-0000-000087020000}"/>
    <cellStyle name="40% - Accent6 2 3 2 2" xfId="649" xr:uid="{00000000-0005-0000-0000-000088020000}"/>
    <cellStyle name="40% - Accent6 2 3 2 2 2" xfId="650" xr:uid="{00000000-0005-0000-0000-000089020000}"/>
    <cellStyle name="40% - Accent6 2 3 2 2 3" xfId="651" xr:uid="{00000000-0005-0000-0000-00008A020000}"/>
    <cellStyle name="40% - Accent6 2 3 2 3" xfId="652" xr:uid="{00000000-0005-0000-0000-00008B020000}"/>
    <cellStyle name="40% - Accent6 2 3 2 4" xfId="653" xr:uid="{00000000-0005-0000-0000-00008C020000}"/>
    <cellStyle name="40% - Accent6 2 3 3" xfId="654" xr:uid="{00000000-0005-0000-0000-00008D020000}"/>
    <cellStyle name="40% - Accent6 2 3 3 2" xfId="655" xr:uid="{00000000-0005-0000-0000-00008E020000}"/>
    <cellStyle name="40% - Accent6 2 3 3 3" xfId="656" xr:uid="{00000000-0005-0000-0000-00008F020000}"/>
    <cellStyle name="40% - Accent6 2 3 4" xfId="657" xr:uid="{00000000-0005-0000-0000-000090020000}"/>
    <cellStyle name="40% - Accent6 2 3 5" xfId="658" xr:uid="{00000000-0005-0000-0000-000091020000}"/>
    <cellStyle name="40% - Accent6 2 4" xfId="659" xr:uid="{00000000-0005-0000-0000-000092020000}"/>
    <cellStyle name="40% - Accent6 2 4 2" xfId="660" xr:uid="{00000000-0005-0000-0000-000093020000}"/>
    <cellStyle name="40% - Accent6 2 4 2 2" xfId="661" xr:uid="{00000000-0005-0000-0000-000094020000}"/>
    <cellStyle name="40% - Accent6 2 4 2 3" xfId="662" xr:uid="{00000000-0005-0000-0000-000095020000}"/>
    <cellStyle name="40% - Accent6 2 4 3" xfId="663" xr:uid="{00000000-0005-0000-0000-000096020000}"/>
    <cellStyle name="40% - Accent6 2 4 3 2" xfId="664" xr:uid="{00000000-0005-0000-0000-000097020000}"/>
    <cellStyle name="40% - Accent6 2 4 3 3" xfId="665" xr:uid="{00000000-0005-0000-0000-000098020000}"/>
    <cellStyle name="40% - Accent6 2 4 4" xfId="666" xr:uid="{00000000-0005-0000-0000-000099020000}"/>
    <cellStyle name="40% - Accent6 2 4 5" xfId="667" xr:uid="{00000000-0005-0000-0000-00009A020000}"/>
    <cellStyle name="40% - Accent6 2 5" xfId="668" xr:uid="{00000000-0005-0000-0000-00009B020000}"/>
    <cellStyle name="40% - Accent6 2 5 2" xfId="669" xr:uid="{00000000-0005-0000-0000-00009C020000}"/>
    <cellStyle name="40% - Accent6 2 5 2 2" xfId="670" xr:uid="{00000000-0005-0000-0000-00009D020000}"/>
    <cellStyle name="40% - Accent6 2 5 2 3" xfId="671" xr:uid="{00000000-0005-0000-0000-00009E020000}"/>
    <cellStyle name="40% - Accent6 2 5 3" xfId="672" xr:uid="{00000000-0005-0000-0000-00009F020000}"/>
    <cellStyle name="40% - Accent6 2 5 4" xfId="673" xr:uid="{00000000-0005-0000-0000-0000A0020000}"/>
    <cellStyle name="40% - Accent6 2 6" xfId="674" xr:uid="{00000000-0005-0000-0000-0000A1020000}"/>
    <cellStyle name="40% - Accent6 2 6 2" xfId="675" xr:uid="{00000000-0005-0000-0000-0000A2020000}"/>
    <cellStyle name="40% - Accent6 2 6 3" xfId="676" xr:uid="{00000000-0005-0000-0000-0000A3020000}"/>
    <cellStyle name="40% - Accent6 2 7" xfId="677" xr:uid="{00000000-0005-0000-0000-0000A4020000}"/>
    <cellStyle name="40% - Accent6 2 8" xfId="678" xr:uid="{00000000-0005-0000-0000-0000A5020000}"/>
    <cellStyle name="40% - Accent6 2 9" xfId="679" xr:uid="{00000000-0005-0000-0000-0000A6020000}"/>
    <cellStyle name="40% - Accent6 3" xfId="680" xr:uid="{00000000-0005-0000-0000-0000A7020000}"/>
    <cellStyle name="40% - Accent6 3 2" xfId="681" xr:uid="{00000000-0005-0000-0000-0000A8020000}"/>
    <cellStyle name="40% - Accent6 3 3" xfId="682" xr:uid="{00000000-0005-0000-0000-0000A9020000}"/>
    <cellStyle name="40% - Accent6 4" xfId="683" xr:uid="{00000000-0005-0000-0000-0000AA020000}"/>
    <cellStyle name="40% - Accent6 4 2" xfId="684" xr:uid="{00000000-0005-0000-0000-0000AB020000}"/>
    <cellStyle name="40% - Accent6 5" xfId="685" xr:uid="{00000000-0005-0000-0000-0000AC020000}"/>
    <cellStyle name="40% - Accent6 6" xfId="686" xr:uid="{00000000-0005-0000-0000-0000AD020000}"/>
    <cellStyle name="40% - Accent6 7" xfId="687" xr:uid="{00000000-0005-0000-0000-0000AE020000}"/>
    <cellStyle name="40% - Accent6 8" xfId="688" xr:uid="{00000000-0005-0000-0000-0000AF020000}"/>
    <cellStyle name="40% - Accent6 9" xfId="689" xr:uid="{00000000-0005-0000-0000-0000B0020000}"/>
    <cellStyle name="60% - Accent1 10" xfId="690" xr:uid="{00000000-0005-0000-0000-0000B1020000}"/>
    <cellStyle name="60% - Accent1 11" xfId="691" xr:uid="{00000000-0005-0000-0000-0000B2020000}"/>
    <cellStyle name="60% - Accent1 12" xfId="692" xr:uid="{00000000-0005-0000-0000-0000B3020000}"/>
    <cellStyle name="60% - Accent1 13" xfId="693" xr:uid="{00000000-0005-0000-0000-0000B4020000}"/>
    <cellStyle name="60% - Accent1 14" xfId="694" xr:uid="{00000000-0005-0000-0000-0000B5020000}"/>
    <cellStyle name="60% - Accent1 15" xfId="695" xr:uid="{00000000-0005-0000-0000-0000B6020000}"/>
    <cellStyle name="60% - Accent1 16" xfId="696" xr:uid="{00000000-0005-0000-0000-0000B7020000}"/>
    <cellStyle name="60% - Accent1 2" xfId="697" xr:uid="{00000000-0005-0000-0000-0000B8020000}"/>
    <cellStyle name="60% - Accent1 2 2" xfId="698" xr:uid="{00000000-0005-0000-0000-0000B9020000}"/>
    <cellStyle name="60% - Accent1 2 2 2" xfId="699" xr:uid="{00000000-0005-0000-0000-0000BA020000}"/>
    <cellStyle name="60% - Accent1 2 3" xfId="700" xr:uid="{00000000-0005-0000-0000-0000BB020000}"/>
    <cellStyle name="60% - Accent1 2 3 2" xfId="701" xr:uid="{00000000-0005-0000-0000-0000BC020000}"/>
    <cellStyle name="60% - Accent1 2 4" xfId="702" xr:uid="{00000000-0005-0000-0000-0000BD020000}"/>
    <cellStyle name="60% - Accent1 2 5" xfId="703" xr:uid="{00000000-0005-0000-0000-0000BE020000}"/>
    <cellStyle name="60% - Accent1 2 6" xfId="704" xr:uid="{00000000-0005-0000-0000-0000BF020000}"/>
    <cellStyle name="60% - Accent1 3" xfId="705" xr:uid="{00000000-0005-0000-0000-0000C0020000}"/>
    <cellStyle name="60% - Accent1 3 2" xfId="706" xr:uid="{00000000-0005-0000-0000-0000C1020000}"/>
    <cellStyle name="60% - Accent1 3 3" xfId="707" xr:uid="{00000000-0005-0000-0000-0000C2020000}"/>
    <cellStyle name="60% - Accent1 4" xfId="708" xr:uid="{00000000-0005-0000-0000-0000C3020000}"/>
    <cellStyle name="60% - Accent1 4 2" xfId="709" xr:uid="{00000000-0005-0000-0000-0000C4020000}"/>
    <cellStyle name="60% - Accent1 5" xfId="710" xr:uid="{00000000-0005-0000-0000-0000C5020000}"/>
    <cellStyle name="60% - Accent1 6" xfId="711" xr:uid="{00000000-0005-0000-0000-0000C6020000}"/>
    <cellStyle name="60% - Accent1 7" xfId="712" xr:uid="{00000000-0005-0000-0000-0000C7020000}"/>
    <cellStyle name="60% - Accent1 8" xfId="713" xr:uid="{00000000-0005-0000-0000-0000C8020000}"/>
    <cellStyle name="60% - Accent1 9" xfId="714" xr:uid="{00000000-0005-0000-0000-0000C9020000}"/>
    <cellStyle name="60% - Accent2 10" xfId="715" xr:uid="{00000000-0005-0000-0000-0000CA020000}"/>
    <cellStyle name="60% - Accent2 11" xfId="716" xr:uid="{00000000-0005-0000-0000-0000CB020000}"/>
    <cellStyle name="60% - Accent2 12" xfId="717" xr:uid="{00000000-0005-0000-0000-0000CC020000}"/>
    <cellStyle name="60% - Accent2 13" xfId="718" xr:uid="{00000000-0005-0000-0000-0000CD020000}"/>
    <cellStyle name="60% - Accent2 14" xfId="719" xr:uid="{00000000-0005-0000-0000-0000CE020000}"/>
    <cellStyle name="60% - Accent2 15" xfId="720" xr:uid="{00000000-0005-0000-0000-0000CF020000}"/>
    <cellStyle name="60% - Accent2 2" xfId="721" xr:uid="{00000000-0005-0000-0000-0000D0020000}"/>
    <cellStyle name="60% - Accent2 2 2" xfId="722" xr:uid="{00000000-0005-0000-0000-0000D1020000}"/>
    <cellStyle name="60% - Accent2 2 2 2" xfId="723" xr:uid="{00000000-0005-0000-0000-0000D2020000}"/>
    <cellStyle name="60% - Accent2 2 3" xfId="724" xr:uid="{00000000-0005-0000-0000-0000D3020000}"/>
    <cellStyle name="60% - Accent2 2 3 2" xfId="725" xr:uid="{00000000-0005-0000-0000-0000D4020000}"/>
    <cellStyle name="60% - Accent2 2 4" xfId="726" xr:uid="{00000000-0005-0000-0000-0000D5020000}"/>
    <cellStyle name="60% - Accent2 2 5" xfId="727" xr:uid="{00000000-0005-0000-0000-0000D6020000}"/>
    <cellStyle name="60% - Accent2 2 6" xfId="728" xr:uid="{00000000-0005-0000-0000-0000D7020000}"/>
    <cellStyle name="60% - Accent2 3" xfId="729" xr:uid="{00000000-0005-0000-0000-0000D8020000}"/>
    <cellStyle name="60% - Accent2 3 2" xfId="730" xr:uid="{00000000-0005-0000-0000-0000D9020000}"/>
    <cellStyle name="60% - Accent2 3 3" xfId="731" xr:uid="{00000000-0005-0000-0000-0000DA020000}"/>
    <cellStyle name="60% - Accent2 4" xfId="732" xr:uid="{00000000-0005-0000-0000-0000DB020000}"/>
    <cellStyle name="60% - Accent2 4 2" xfId="733" xr:uid="{00000000-0005-0000-0000-0000DC020000}"/>
    <cellStyle name="60% - Accent2 5" xfId="734" xr:uid="{00000000-0005-0000-0000-0000DD020000}"/>
    <cellStyle name="60% - Accent2 6" xfId="735" xr:uid="{00000000-0005-0000-0000-0000DE020000}"/>
    <cellStyle name="60% - Accent2 7" xfId="736" xr:uid="{00000000-0005-0000-0000-0000DF020000}"/>
    <cellStyle name="60% - Accent2 8" xfId="737" xr:uid="{00000000-0005-0000-0000-0000E0020000}"/>
    <cellStyle name="60% - Accent2 9" xfId="738" xr:uid="{00000000-0005-0000-0000-0000E1020000}"/>
    <cellStyle name="60% - Accent3 10" xfId="739" xr:uid="{00000000-0005-0000-0000-0000E2020000}"/>
    <cellStyle name="60% - Accent3 11" xfId="740" xr:uid="{00000000-0005-0000-0000-0000E3020000}"/>
    <cellStyle name="60% - Accent3 12" xfId="741" xr:uid="{00000000-0005-0000-0000-0000E4020000}"/>
    <cellStyle name="60% - Accent3 13" xfId="742" xr:uid="{00000000-0005-0000-0000-0000E5020000}"/>
    <cellStyle name="60% - Accent3 14" xfId="743" xr:uid="{00000000-0005-0000-0000-0000E6020000}"/>
    <cellStyle name="60% - Accent3 15" xfId="744" xr:uid="{00000000-0005-0000-0000-0000E7020000}"/>
    <cellStyle name="60% - Accent3 16" xfId="745" xr:uid="{00000000-0005-0000-0000-0000E8020000}"/>
    <cellStyle name="60% - Accent3 2" xfId="746" xr:uid="{00000000-0005-0000-0000-0000E9020000}"/>
    <cellStyle name="60% - Accent3 2 2" xfId="747" xr:uid="{00000000-0005-0000-0000-0000EA020000}"/>
    <cellStyle name="60% - Accent3 2 2 2" xfId="748" xr:uid="{00000000-0005-0000-0000-0000EB020000}"/>
    <cellStyle name="60% - Accent3 2 3" xfId="749" xr:uid="{00000000-0005-0000-0000-0000EC020000}"/>
    <cellStyle name="60% - Accent3 2 3 2" xfId="750" xr:uid="{00000000-0005-0000-0000-0000ED020000}"/>
    <cellStyle name="60% - Accent3 2 4" xfId="751" xr:uid="{00000000-0005-0000-0000-0000EE020000}"/>
    <cellStyle name="60% - Accent3 2 5" xfId="752" xr:uid="{00000000-0005-0000-0000-0000EF020000}"/>
    <cellStyle name="60% - Accent3 2 6" xfId="753" xr:uid="{00000000-0005-0000-0000-0000F0020000}"/>
    <cellStyle name="60% - Accent3 2 7" xfId="754" xr:uid="{00000000-0005-0000-0000-0000F1020000}"/>
    <cellStyle name="60% - Accent3 3" xfId="755" xr:uid="{00000000-0005-0000-0000-0000F2020000}"/>
    <cellStyle name="60% - Accent3 3 2" xfId="756" xr:uid="{00000000-0005-0000-0000-0000F3020000}"/>
    <cellStyle name="60% - Accent3 3 3" xfId="757" xr:uid="{00000000-0005-0000-0000-0000F4020000}"/>
    <cellStyle name="60% - Accent3 4" xfId="758" xr:uid="{00000000-0005-0000-0000-0000F5020000}"/>
    <cellStyle name="60% - Accent3 4 2" xfId="759" xr:uid="{00000000-0005-0000-0000-0000F6020000}"/>
    <cellStyle name="60% - Accent3 5" xfId="760" xr:uid="{00000000-0005-0000-0000-0000F7020000}"/>
    <cellStyle name="60% - Accent3 6" xfId="761" xr:uid="{00000000-0005-0000-0000-0000F8020000}"/>
    <cellStyle name="60% - Accent3 7" xfId="762" xr:uid="{00000000-0005-0000-0000-0000F9020000}"/>
    <cellStyle name="60% - Accent3 8" xfId="763" xr:uid="{00000000-0005-0000-0000-0000FA020000}"/>
    <cellStyle name="60% - Accent3 9" xfId="764" xr:uid="{00000000-0005-0000-0000-0000FB020000}"/>
    <cellStyle name="60% - Accent4 10" xfId="765" xr:uid="{00000000-0005-0000-0000-0000FC020000}"/>
    <cellStyle name="60% - Accent4 11" xfId="766" xr:uid="{00000000-0005-0000-0000-0000FD020000}"/>
    <cellStyle name="60% - Accent4 12" xfId="767" xr:uid="{00000000-0005-0000-0000-0000FE020000}"/>
    <cellStyle name="60% - Accent4 13" xfId="768" xr:uid="{00000000-0005-0000-0000-0000FF020000}"/>
    <cellStyle name="60% - Accent4 14" xfId="769" xr:uid="{00000000-0005-0000-0000-000000030000}"/>
    <cellStyle name="60% - Accent4 15" xfId="770" xr:uid="{00000000-0005-0000-0000-000001030000}"/>
    <cellStyle name="60% - Accent4 16" xfId="771" xr:uid="{00000000-0005-0000-0000-000002030000}"/>
    <cellStyle name="60% - Accent4 2" xfId="772" xr:uid="{00000000-0005-0000-0000-000003030000}"/>
    <cellStyle name="60% - Accent4 2 2" xfId="773" xr:uid="{00000000-0005-0000-0000-000004030000}"/>
    <cellStyle name="60% - Accent4 2 2 2" xfId="774" xr:uid="{00000000-0005-0000-0000-000005030000}"/>
    <cellStyle name="60% - Accent4 2 3" xfId="775" xr:uid="{00000000-0005-0000-0000-000006030000}"/>
    <cellStyle name="60% - Accent4 2 3 2" xfId="776" xr:uid="{00000000-0005-0000-0000-000007030000}"/>
    <cellStyle name="60% - Accent4 2 4" xfId="777" xr:uid="{00000000-0005-0000-0000-000008030000}"/>
    <cellStyle name="60% - Accent4 2 5" xfId="778" xr:uid="{00000000-0005-0000-0000-000009030000}"/>
    <cellStyle name="60% - Accent4 2 6" xfId="779" xr:uid="{00000000-0005-0000-0000-00000A030000}"/>
    <cellStyle name="60% - Accent4 2 7" xfId="780" xr:uid="{00000000-0005-0000-0000-00000B030000}"/>
    <cellStyle name="60% - Accent4 3" xfId="781" xr:uid="{00000000-0005-0000-0000-00000C030000}"/>
    <cellStyle name="60% - Accent4 3 2" xfId="782" xr:uid="{00000000-0005-0000-0000-00000D030000}"/>
    <cellStyle name="60% - Accent4 3 3" xfId="783" xr:uid="{00000000-0005-0000-0000-00000E030000}"/>
    <cellStyle name="60% - Accent4 4" xfId="784" xr:uid="{00000000-0005-0000-0000-00000F030000}"/>
    <cellStyle name="60% - Accent4 4 2" xfId="785" xr:uid="{00000000-0005-0000-0000-000010030000}"/>
    <cellStyle name="60% - Accent4 5" xfId="786" xr:uid="{00000000-0005-0000-0000-000011030000}"/>
    <cellStyle name="60% - Accent4 6" xfId="787" xr:uid="{00000000-0005-0000-0000-000012030000}"/>
    <cellStyle name="60% - Accent4 7" xfId="788" xr:uid="{00000000-0005-0000-0000-000013030000}"/>
    <cellStyle name="60% - Accent4 8" xfId="789" xr:uid="{00000000-0005-0000-0000-000014030000}"/>
    <cellStyle name="60% - Accent4 9" xfId="790" xr:uid="{00000000-0005-0000-0000-000015030000}"/>
    <cellStyle name="60% - Accent5 10" xfId="791" xr:uid="{00000000-0005-0000-0000-000016030000}"/>
    <cellStyle name="60% - Accent5 11" xfId="792" xr:uid="{00000000-0005-0000-0000-000017030000}"/>
    <cellStyle name="60% - Accent5 12" xfId="793" xr:uid="{00000000-0005-0000-0000-000018030000}"/>
    <cellStyle name="60% - Accent5 13" xfId="794" xr:uid="{00000000-0005-0000-0000-000019030000}"/>
    <cellStyle name="60% - Accent5 14" xfId="795" xr:uid="{00000000-0005-0000-0000-00001A030000}"/>
    <cellStyle name="60% - Accent5 15" xfId="796" xr:uid="{00000000-0005-0000-0000-00001B030000}"/>
    <cellStyle name="60% - Accent5 2" xfId="797" xr:uid="{00000000-0005-0000-0000-00001C030000}"/>
    <cellStyle name="60% - Accent5 2 2" xfId="798" xr:uid="{00000000-0005-0000-0000-00001D030000}"/>
    <cellStyle name="60% - Accent5 2 2 2" xfId="799" xr:uid="{00000000-0005-0000-0000-00001E030000}"/>
    <cellStyle name="60% - Accent5 2 3" xfId="800" xr:uid="{00000000-0005-0000-0000-00001F030000}"/>
    <cellStyle name="60% - Accent5 2 3 2" xfId="801" xr:uid="{00000000-0005-0000-0000-000020030000}"/>
    <cellStyle name="60% - Accent5 2 4" xfId="802" xr:uid="{00000000-0005-0000-0000-000021030000}"/>
    <cellStyle name="60% - Accent5 2 5" xfId="803" xr:uid="{00000000-0005-0000-0000-000022030000}"/>
    <cellStyle name="60% - Accent5 2 6" xfId="804" xr:uid="{00000000-0005-0000-0000-000023030000}"/>
    <cellStyle name="60% - Accent5 3" xfId="805" xr:uid="{00000000-0005-0000-0000-000024030000}"/>
    <cellStyle name="60% - Accent5 3 2" xfId="806" xr:uid="{00000000-0005-0000-0000-000025030000}"/>
    <cellStyle name="60% - Accent5 3 3" xfId="807" xr:uid="{00000000-0005-0000-0000-000026030000}"/>
    <cellStyle name="60% - Accent5 4" xfId="808" xr:uid="{00000000-0005-0000-0000-000027030000}"/>
    <cellStyle name="60% - Accent5 4 2" xfId="809" xr:uid="{00000000-0005-0000-0000-000028030000}"/>
    <cellStyle name="60% - Accent5 5" xfId="810" xr:uid="{00000000-0005-0000-0000-000029030000}"/>
    <cellStyle name="60% - Accent5 6" xfId="811" xr:uid="{00000000-0005-0000-0000-00002A030000}"/>
    <cellStyle name="60% - Accent5 7" xfId="812" xr:uid="{00000000-0005-0000-0000-00002B030000}"/>
    <cellStyle name="60% - Accent5 8" xfId="813" xr:uid="{00000000-0005-0000-0000-00002C030000}"/>
    <cellStyle name="60% - Accent5 9" xfId="814" xr:uid="{00000000-0005-0000-0000-00002D030000}"/>
    <cellStyle name="60% - Accent6 10" xfId="815" xr:uid="{00000000-0005-0000-0000-00002E030000}"/>
    <cellStyle name="60% - Accent6 11" xfId="816" xr:uid="{00000000-0005-0000-0000-00002F030000}"/>
    <cellStyle name="60% - Accent6 12" xfId="817" xr:uid="{00000000-0005-0000-0000-000030030000}"/>
    <cellStyle name="60% - Accent6 13" xfId="818" xr:uid="{00000000-0005-0000-0000-000031030000}"/>
    <cellStyle name="60% - Accent6 14" xfId="819" xr:uid="{00000000-0005-0000-0000-000032030000}"/>
    <cellStyle name="60% - Accent6 15" xfId="820" xr:uid="{00000000-0005-0000-0000-000033030000}"/>
    <cellStyle name="60% - Accent6 16" xfId="821" xr:uid="{00000000-0005-0000-0000-000034030000}"/>
    <cellStyle name="60% - Accent6 2" xfId="822" xr:uid="{00000000-0005-0000-0000-000035030000}"/>
    <cellStyle name="60% - Accent6 2 2" xfId="823" xr:uid="{00000000-0005-0000-0000-000036030000}"/>
    <cellStyle name="60% - Accent6 2 2 2" xfId="824" xr:uid="{00000000-0005-0000-0000-000037030000}"/>
    <cellStyle name="60% - Accent6 2 3" xfId="825" xr:uid="{00000000-0005-0000-0000-000038030000}"/>
    <cellStyle name="60% - Accent6 2 3 2" xfId="826" xr:uid="{00000000-0005-0000-0000-000039030000}"/>
    <cellStyle name="60% - Accent6 2 4" xfId="827" xr:uid="{00000000-0005-0000-0000-00003A030000}"/>
    <cellStyle name="60% - Accent6 2 5" xfId="828" xr:uid="{00000000-0005-0000-0000-00003B030000}"/>
    <cellStyle name="60% - Accent6 2 6" xfId="829" xr:uid="{00000000-0005-0000-0000-00003C030000}"/>
    <cellStyle name="60% - Accent6 3" xfId="830" xr:uid="{00000000-0005-0000-0000-00003D030000}"/>
    <cellStyle name="60% - Accent6 3 2" xfId="831" xr:uid="{00000000-0005-0000-0000-00003E030000}"/>
    <cellStyle name="60% - Accent6 3 3" xfId="832" xr:uid="{00000000-0005-0000-0000-00003F030000}"/>
    <cellStyle name="60% - Accent6 4" xfId="833" xr:uid="{00000000-0005-0000-0000-000040030000}"/>
    <cellStyle name="60% - Accent6 4 2" xfId="834" xr:uid="{00000000-0005-0000-0000-000041030000}"/>
    <cellStyle name="60% - Accent6 5" xfId="835" xr:uid="{00000000-0005-0000-0000-000042030000}"/>
    <cellStyle name="60% - Accent6 6" xfId="836" xr:uid="{00000000-0005-0000-0000-000043030000}"/>
    <cellStyle name="60% - Accent6 7" xfId="837" xr:uid="{00000000-0005-0000-0000-000044030000}"/>
    <cellStyle name="60% - Accent6 8" xfId="838" xr:uid="{00000000-0005-0000-0000-000045030000}"/>
    <cellStyle name="60% - Accent6 9" xfId="839" xr:uid="{00000000-0005-0000-0000-000046030000}"/>
    <cellStyle name="Accent1 10" xfId="840" xr:uid="{00000000-0005-0000-0000-000047030000}"/>
    <cellStyle name="Accent1 11" xfId="841" xr:uid="{00000000-0005-0000-0000-000048030000}"/>
    <cellStyle name="Accent1 12" xfId="842" xr:uid="{00000000-0005-0000-0000-000049030000}"/>
    <cellStyle name="Accent1 13" xfId="843" xr:uid="{00000000-0005-0000-0000-00004A030000}"/>
    <cellStyle name="Accent1 14" xfId="844" xr:uid="{00000000-0005-0000-0000-00004B030000}"/>
    <cellStyle name="Accent1 15" xfId="845" xr:uid="{00000000-0005-0000-0000-00004C030000}"/>
    <cellStyle name="Accent1 16" xfId="846" xr:uid="{00000000-0005-0000-0000-00004D030000}"/>
    <cellStyle name="Accent1 2" xfId="847" xr:uid="{00000000-0005-0000-0000-00004E030000}"/>
    <cellStyle name="Accent1 2 2" xfId="848" xr:uid="{00000000-0005-0000-0000-00004F030000}"/>
    <cellStyle name="Accent1 2 2 2" xfId="849" xr:uid="{00000000-0005-0000-0000-000050030000}"/>
    <cellStyle name="Accent1 2 3" xfId="850" xr:uid="{00000000-0005-0000-0000-000051030000}"/>
    <cellStyle name="Accent1 2 3 2" xfId="851" xr:uid="{00000000-0005-0000-0000-000052030000}"/>
    <cellStyle name="Accent1 2 4" xfId="852" xr:uid="{00000000-0005-0000-0000-000053030000}"/>
    <cellStyle name="Accent1 2 5" xfId="853" xr:uid="{00000000-0005-0000-0000-000054030000}"/>
    <cellStyle name="Accent1 2 6" xfId="854" xr:uid="{00000000-0005-0000-0000-000055030000}"/>
    <cellStyle name="Accent1 2 7" xfId="855" xr:uid="{00000000-0005-0000-0000-000056030000}"/>
    <cellStyle name="Accent1 3" xfId="856" xr:uid="{00000000-0005-0000-0000-000057030000}"/>
    <cellStyle name="Accent1 3 2" xfId="857" xr:uid="{00000000-0005-0000-0000-000058030000}"/>
    <cellStyle name="Accent1 3 3" xfId="858" xr:uid="{00000000-0005-0000-0000-000059030000}"/>
    <cellStyle name="Accent1 4" xfId="859" xr:uid="{00000000-0005-0000-0000-00005A030000}"/>
    <cellStyle name="Accent1 4 2" xfId="860" xr:uid="{00000000-0005-0000-0000-00005B030000}"/>
    <cellStyle name="Accent1 5" xfId="861" xr:uid="{00000000-0005-0000-0000-00005C030000}"/>
    <cellStyle name="Accent1 6" xfId="862" xr:uid="{00000000-0005-0000-0000-00005D030000}"/>
    <cellStyle name="Accent1 7" xfId="863" xr:uid="{00000000-0005-0000-0000-00005E030000}"/>
    <cellStyle name="Accent1 8" xfId="864" xr:uid="{00000000-0005-0000-0000-00005F030000}"/>
    <cellStyle name="Accent1 9" xfId="865" xr:uid="{00000000-0005-0000-0000-000060030000}"/>
    <cellStyle name="Accent2 10" xfId="866" xr:uid="{00000000-0005-0000-0000-000061030000}"/>
    <cellStyle name="Accent2 11" xfId="867" xr:uid="{00000000-0005-0000-0000-000062030000}"/>
    <cellStyle name="Accent2 12" xfId="868" xr:uid="{00000000-0005-0000-0000-000063030000}"/>
    <cellStyle name="Accent2 13" xfId="869" xr:uid="{00000000-0005-0000-0000-000064030000}"/>
    <cellStyle name="Accent2 14" xfId="870" xr:uid="{00000000-0005-0000-0000-000065030000}"/>
    <cellStyle name="Accent2 15" xfId="871" xr:uid="{00000000-0005-0000-0000-000066030000}"/>
    <cellStyle name="Accent2 2" xfId="872" xr:uid="{00000000-0005-0000-0000-000067030000}"/>
    <cellStyle name="Accent2 2 2" xfId="873" xr:uid="{00000000-0005-0000-0000-000068030000}"/>
    <cellStyle name="Accent2 2 2 2" xfId="874" xr:uid="{00000000-0005-0000-0000-000069030000}"/>
    <cellStyle name="Accent2 2 3" xfId="875" xr:uid="{00000000-0005-0000-0000-00006A030000}"/>
    <cellStyle name="Accent2 2 3 2" xfId="876" xr:uid="{00000000-0005-0000-0000-00006B030000}"/>
    <cellStyle name="Accent2 2 4" xfId="877" xr:uid="{00000000-0005-0000-0000-00006C030000}"/>
    <cellStyle name="Accent2 2 5" xfId="878" xr:uid="{00000000-0005-0000-0000-00006D030000}"/>
    <cellStyle name="Accent2 2 6" xfId="879" xr:uid="{00000000-0005-0000-0000-00006E030000}"/>
    <cellStyle name="Accent2 2 7" xfId="880" xr:uid="{00000000-0005-0000-0000-00006F030000}"/>
    <cellStyle name="Accent2 3" xfId="881" xr:uid="{00000000-0005-0000-0000-000070030000}"/>
    <cellStyle name="Accent2 3 2" xfId="882" xr:uid="{00000000-0005-0000-0000-000071030000}"/>
    <cellStyle name="Accent2 3 3" xfId="883" xr:uid="{00000000-0005-0000-0000-000072030000}"/>
    <cellStyle name="Accent2 4" xfId="884" xr:uid="{00000000-0005-0000-0000-000073030000}"/>
    <cellStyle name="Accent2 4 2" xfId="885" xr:uid="{00000000-0005-0000-0000-000074030000}"/>
    <cellStyle name="Accent2 5" xfId="886" xr:uid="{00000000-0005-0000-0000-000075030000}"/>
    <cellStyle name="Accent2 6" xfId="887" xr:uid="{00000000-0005-0000-0000-000076030000}"/>
    <cellStyle name="Accent2 7" xfId="888" xr:uid="{00000000-0005-0000-0000-000077030000}"/>
    <cellStyle name="Accent2 8" xfId="889" xr:uid="{00000000-0005-0000-0000-000078030000}"/>
    <cellStyle name="Accent2 9" xfId="890" xr:uid="{00000000-0005-0000-0000-000079030000}"/>
    <cellStyle name="Accent3 10" xfId="891" xr:uid="{00000000-0005-0000-0000-00007A030000}"/>
    <cellStyle name="Accent3 11" xfId="892" xr:uid="{00000000-0005-0000-0000-00007B030000}"/>
    <cellStyle name="Accent3 12" xfId="893" xr:uid="{00000000-0005-0000-0000-00007C030000}"/>
    <cellStyle name="Accent3 13" xfId="894" xr:uid="{00000000-0005-0000-0000-00007D030000}"/>
    <cellStyle name="Accent3 14" xfId="895" xr:uid="{00000000-0005-0000-0000-00007E030000}"/>
    <cellStyle name="Accent3 15" xfId="896" xr:uid="{00000000-0005-0000-0000-00007F030000}"/>
    <cellStyle name="Accent3 2" xfId="897" xr:uid="{00000000-0005-0000-0000-000080030000}"/>
    <cellStyle name="Accent3 2 2" xfId="898" xr:uid="{00000000-0005-0000-0000-000081030000}"/>
    <cellStyle name="Accent3 2 2 2" xfId="899" xr:uid="{00000000-0005-0000-0000-000082030000}"/>
    <cellStyle name="Accent3 2 3" xfId="900" xr:uid="{00000000-0005-0000-0000-000083030000}"/>
    <cellStyle name="Accent3 2 3 2" xfId="901" xr:uid="{00000000-0005-0000-0000-000084030000}"/>
    <cellStyle name="Accent3 2 4" xfId="902" xr:uid="{00000000-0005-0000-0000-000085030000}"/>
    <cellStyle name="Accent3 2 5" xfId="903" xr:uid="{00000000-0005-0000-0000-000086030000}"/>
    <cellStyle name="Accent3 2 6" xfId="904" xr:uid="{00000000-0005-0000-0000-000087030000}"/>
    <cellStyle name="Accent3 2 7" xfId="905" xr:uid="{00000000-0005-0000-0000-000088030000}"/>
    <cellStyle name="Accent3 3" xfId="906" xr:uid="{00000000-0005-0000-0000-000089030000}"/>
    <cellStyle name="Accent3 3 2" xfId="907" xr:uid="{00000000-0005-0000-0000-00008A030000}"/>
    <cellStyle name="Accent3 3 3" xfId="908" xr:uid="{00000000-0005-0000-0000-00008B030000}"/>
    <cellStyle name="Accent3 4" xfId="909" xr:uid="{00000000-0005-0000-0000-00008C030000}"/>
    <cellStyle name="Accent3 4 2" xfId="910" xr:uid="{00000000-0005-0000-0000-00008D030000}"/>
    <cellStyle name="Accent3 5" xfId="911" xr:uid="{00000000-0005-0000-0000-00008E030000}"/>
    <cellStyle name="Accent3 6" xfId="912" xr:uid="{00000000-0005-0000-0000-00008F030000}"/>
    <cellStyle name="Accent3 7" xfId="913" xr:uid="{00000000-0005-0000-0000-000090030000}"/>
    <cellStyle name="Accent3 8" xfId="914" xr:uid="{00000000-0005-0000-0000-000091030000}"/>
    <cellStyle name="Accent3 9" xfId="915" xr:uid="{00000000-0005-0000-0000-000092030000}"/>
    <cellStyle name="Accent4 10" xfId="916" xr:uid="{00000000-0005-0000-0000-000093030000}"/>
    <cellStyle name="Accent4 11" xfId="917" xr:uid="{00000000-0005-0000-0000-000094030000}"/>
    <cellStyle name="Accent4 12" xfId="918" xr:uid="{00000000-0005-0000-0000-000095030000}"/>
    <cellStyle name="Accent4 13" xfId="919" xr:uid="{00000000-0005-0000-0000-000096030000}"/>
    <cellStyle name="Accent4 14" xfId="920" xr:uid="{00000000-0005-0000-0000-000097030000}"/>
    <cellStyle name="Accent4 15" xfId="921" xr:uid="{00000000-0005-0000-0000-000098030000}"/>
    <cellStyle name="Accent4 16" xfId="922" xr:uid="{00000000-0005-0000-0000-000099030000}"/>
    <cellStyle name="Accent4 2" xfId="923" xr:uid="{00000000-0005-0000-0000-00009A030000}"/>
    <cellStyle name="Accent4 2 2" xfId="924" xr:uid="{00000000-0005-0000-0000-00009B030000}"/>
    <cellStyle name="Accent4 2 2 2" xfId="925" xr:uid="{00000000-0005-0000-0000-00009C030000}"/>
    <cellStyle name="Accent4 2 3" xfId="926" xr:uid="{00000000-0005-0000-0000-00009D030000}"/>
    <cellStyle name="Accent4 2 3 2" xfId="927" xr:uid="{00000000-0005-0000-0000-00009E030000}"/>
    <cellStyle name="Accent4 2 4" xfId="928" xr:uid="{00000000-0005-0000-0000-00009F030000}"/>
    <cellStyle name="Accent4 2 5" xfId="929" xr:uid="{00000000-0005-0000-0000-0000A0030000}"/>
    <cellStyle name="Accent4 2 6" xfId="930" xr:uid="{00000000-0005-0000-0000-0000A1030000}"/>
    <cellStyle name="Accent4 2 7" xfId="931" xr:uid="{00000000-0005-0000-0000-0000A2030000}"/>
    <cellStyle name="Accent4 3" xfId="932" xr:uid="{00000000-0005-0000-0000-0000A3030000}"/>
    <cellStyle name="Accent4 3 2" xfId="933" xr:uid="{00000000-0005-0000-0000-0000A4030000}"/>
    <cellStyle name="Accent4 3 3" xfId="934" xr:uid="{00000000-0005-0000-0000-0000A5030000}"/>
    <cellStyle name="Accent4 4" xfId="935" xr:uid="{00000000-0005-0000-0000-0000A6030000}"/>
    <cellStyle name="Accent4 4 2" xfId="936" xr:uid="{00000000-0005-0000-0000-0000A7030000}"/>
    <cellStyle name="Accent4 5" xfId="937" xr:uid="{00000000-0005-0000-0000-0000A8030000}"/>
    <cellStyle name="Accent4 6" xfId="938" xr:uid="{00000000-0005-0000-0000-0000A9030000}"/>
    <cellStyle name="Accent4 7" xfId="939" xr:uid="{00000000-0005-0000-0000-0000AA030000}"/>
    <cellStyle name="Accent4 8" xfId="940" xr:uid="{00000000-0005-0000-0000-0000AB030000}"/>
    <cellStyle name="Accent4 9" xfId="941" xr:uid="{00000000-0005-0000-0000-0000AC030000}"/>
    <cellStyle name="Accent5" xfId="942" builtinId="45" customBuiltin="1"/>
    <cellStyle name="Accent5 10" xfId="943" xr:uid="{00000000-0005-0000-0000-0000AE030000}"/>
    <cellStyle name="Accent5 11" xfId="944" xr:uid="{00000000-0005-0000-0000-0000AF030000}"/>
    <cellStyle name="Accent5 12" xfId="945" xr:uid="{00000000-0005-0000-0000-0000B0030000}"/>
    <cellStyle name="Accent5 13" xfId="946" xr:uid="{00000000-0005-0000-0000-0000B1030000}"/>
    <cellStyle name="Accent5 14" xfId="947" xr:uid="{00000000-0005-0000-0000-0000B2030000}"/>
    <cellStyle name="Accent5 15" xfId="948" xr:uid="{00000000-0005-0000-0000-0000B3030000}"/>
    <cellStyle name="Accent5 2" xfId="949" xr:uid="{00000000-0005-0000-0000-0000B4030000}"/>
    <cellStyle name="Accent5 2 2" xfId="950" xr:uid="{00000000-0005-0000-0000-0000B5030000}"/>
    <cellStyle name="Accent5 2 2 2" xfId="951" xr:uid="{00000000-0005-0000-0000-0000B6030000}"/>
    <cellStyle name="Accent5 2 3" xfId="952" xr:uid="{00000000-0005-0000-0000-0000B7030000}"/>
    <cellStyle name="Accent5 2 3 2" xfId="953" xr:uid="{00000000-0005-0000-0000-0000B8030000}"/>
    <cellStyle name="Accent5 2 4" xfId="954" xr:uid="{00000000-0005-0000-0000-0000B9030000}"/>
    <cellStyle name="Accent5 2 5" xfId="955" xr:uid="{00000000-0005-0000-0000-0000BA030000}"/>
    <cellStyle name="Accent5 2 6" xfId="956" xr:uid="{00000000-0005-0000-0000-0000BB030000}"/>
    <cellStyle name="Accent5 3" xfId="957" xr:uid="{00000000-0005-0000-0000-0000BC030000}"/>
    <cellStyle name="Accent5 3 2" xfId="958" xr:uid="{00000000-0005-0000-0000-0000BD030000}"/>
    <cellStyle name="Accent5 3 3" xfId="959" xr:uid="{00000000-0005-0000-0000-0000BE030000}"/>
    <cellStyle name="Accent5 4" xfId="960" xr:uid="{00000000-0005-0000-0000-0000BF030000}"/>
    <cellStyle name="Accent5 4 2" xfId="961" xr:uid="{00000000-0005-0000-0000-0000C0030000}"/>
    <cellStyle name="Accent5 5" xfId="962" xr:uid="{00000000-0005-0000-0000-0000C1030000}"/>
    <cellStyle name="Accent5 6" xfId="963" xr:uid="{00000000-0005-0000-0000-0000C2030000}"/>
    <cellStyle name="Accent5 7" xfId="964" xr:uid="{00000000-0005-0000-0000-0000C3030000}"/>
    <cellStyle name="Accent5 8" xfId="965" xr:uid="{00000000-0005-0000-0000-0000C4030000}"/>
    <cellStyle name="Accent5 9" xfId="966" xr:uid="{00000000-0005-0000-0000-0000C5030000}"/>
    <cellStyle name="Accent6 10" xfId="967" xr:uid="{00000000-0005-0000-0000-0000C6030000}"/>
    <cellStyle name="Accent6 11" xfId="968" xr:uid="{00000000-0005-0000-0000-0000C7030000}"/>
    <cellStyle name="Accent6 12" xfId="969" xr:uid="{00000000-0005-0000-0000-0000C8030000}"/>
    <cellStyle name="Accent6 13" xfId="970" xr:uid="{00000000-0005-0000-0000-0000C9030000}"/>
    <cellStyle name="Accent6 14" xfId="971" xr:uid="{00000000-0005-0000-0000-0000CA030000}"/>
    <cellStyle name="Accent6 15" xfId="972" xr:uid="{00000000-0005-0000-0000-0000CB030000}"/>
    <cellStyle name="Accent6 2" xfId="973" xr:uid="{00000000-0005-0000-0000-0000CC030000}"/>
    <cellStyle name="Accent6 2 2" xfId="974" xr:uid="{00000000-0005-0000-0000-0000CD030000}"/>
    <cellStyle name="Accent6 2 2 2" xfId="975" xr:uid="{00000000-0005-0000-0000-0000CE030000}"/>
    <cellStyle name="Accent6 2 3" xfId="976" xr:uid="{00000000-0005-0000-0000-0000CF030000}"/>
    <cellStyle name="Accent6 2 3 2" xfId="977" xr:uid="{00000000-0005-0000-0000-0000D0030000}"/>
    <cellStyle name="Accent6 2 4" xfId="978" xr:uid="{00000000-0005-0000-0000-0000D1030000}"/>
    <cellStyle name="Accent6 2 5" xfId="979" xr:uid="{00000000-0005-0000-0000-0000D2030000}"/>
    <cellStyle name="Accent6 2 6" xfId="980" xr:uid="{00000000-0005-0000-0000-0000D3030000}"/>
    <cellStyle name="Accent6 2 7" xfId="981" xr:uid="{00000000-0005-0000-0000-0000D4030000}"/>
    <cellStyle name="Accent6 3" xfId="982" xr:uid="{00000000-0005-0000-0000-0000D5030000}"/>
    <cellStyle name="Accent6 3 2" xfId="983" xr:uid="{00000000-0005-0000-0000-0000D6030000}"/>
    <cellStyle name="Accent6 3 3" xfId="984" xr:uid="{00000000-0005-0000-0000-0000D7030000}"/>
    <cellStyle name="Accent6 4" xfId="985" xr:uid="{00000000-0005-0000-0000-0000D8030000}"/>
    <cellStyle name="Accent6 4 2" xfId="986" xr:uid="{00000000-0005-0000-0000-0000D9030000}"/>
    <cellStyle name="Accent6 5" xfId="987" xr:uid="{00000000-0005-0000-0000-0000DA030000}"/>
    <cellStyle name="Accent6 6" xfId="988" xr:uid="{00000000-0005-0000-0000-0000DB030000}"/>
    <cellStyle name="Accent6 7" xfId="989" xr:uid="{00000000-0005-0000-0000-0000DC030000}"/>
    <cellStyle name="Accent6 8" xfId="990" xr:uid="{00000000-0005-0000-0000-0000DD030000}"/>
    <cellStyle name="Accent6 9" xfId="991" xr:uid="{00000000-0005-0000-0000-0000DE030000}"/>
    <cellStyle name="Bad 10" xfId="992" xr:uid="{00000000-0005-0000-0000-0000DF030000}"/>
    <cellStyle name="Bad 11" xfId="993" xr:uid="{00000000-0005-0000-0000-0000E0030000}"/>
    <cellStyle name="Bad 12" xfId="994" xr:uid="{00000000-0005-0000-0000-0000E1030000}"/>
    <cellStyle name="Bad 13" xfId="995" xr:uid="{00000000-0005-0000-0000-0000E2030000}"/>
    <cellStyle name="Bad 14" xfId="996" xr:uid="{00000000-0005-0000-0000-0000E3030000}"/>
    <cellStyle name="Bad 15" xfId="997" xr:uid="{00000000-0005-0000-0000-0000E4030000}"/>
    <cellStyle name="Bad 2" xfId="998" xr:uid="{00000000-0005-0000-0000-0000E5030000}"/>
    <cellStyle name="Bad 2 2" xfId="999" xr:uid="{00000000-0005-0000-0000-0000E6030000}"/>
    <cellStyle name="Bad 2 2 2" xfId="1000" xr:uid="{00000000-0005-0000-0000-0000E7030000}"/>
    <cellStyle name="Bad 2 3" xfId="1001" xr:uid="{00000000-0005-0000-0000-0000E8030000}"/>
    <cellStyle name="Bad 2 3 2" xfId="1002" xr:uid="{00000000-0005-0000-0000-0000E9030000}"/>
    <cellStyle name="Bad 2 4" xfId="1003" xr:uid="{00000000-0005-0000-0000-0000EA030000}"/>
    <cellStyle name="Bad 2 5" xfId="1004" xr:uid="{00000000-0005-0000-0000-0000EB030000}"/>
    <cellStyle name="Bad 2 6"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6" xfId="1012" xr:uid="{00000000-0005-0000-0000-0000F3030000}"/>
    <cellStyle name="Bad 7" xfId="1013" xr:uid="{00000000-0005-0000-0000-0000F4030000}"/>
    <cellStyle name="Bad 8" xfId="1014" xr:uid="{00000000-0005-0000-0000-0000F5030000}"/>
    <cellStyle name="Bad 9" xfId="1015" xr:uid="{00000000-0005-0000-0000-0000F6030000}"/>
    <cellStyle name="Calculation 10" xfId="1016" xr:uid="{00000000-0005-0000-0000-0000F7030000}"/>
    <cellStyle name="Calculation 11" xfId="1017" xr:uid="{00000000-0005-0000-0000-0000F8030000}"/>
    <cellStyle name="Calculation 12" xfId="1018" xr:uid="{00000000-0005-0000-0000-0000F9030000}"/>
    <cellStyle name="Calculation 13" xfId="1019" xr:uid="{00000000-0005-0000-0000-0000FA030000}"/>
    <cellStyle name="Calculation 14" xfId="1020" xr:uid="{00000000-0005-0000-0000-0000FB030000}"/>
    <cellStyle name="Calculation 15" xfId="1021" xr:uid="{00000000-0005-0000-0000-0000FC030000}"/>
    <cellStyle name="Calculation 16"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2 3 2" xfId="1027" xr:uid="{00000000-0005-0000-0000-000002040000}"/>
    <cellStyle name="Calculation 2 4" xfId="1028" xr:uid="{00000000-0005-0000-0000-000003040000}"/>
    <cellStyle name="Calculation 2 5" xfId="1029" xr:uid="{00000000-0005-0000-0000-000004040000}"/>
    <cellStyle name="Calculation 2 6" xfId="1030" xr:uid="{00000000-0005-0000-0000-000005040000}"/>
    <cellStyle name="Calculation 3" xfId="1031" xr:uid="{00000000-0005-0000-0000-000006040000}"/>
    <cellStyle name="Calculation 3 2" xfId="1032" xr:uid="{00000000-0005-0000-0000-000007040000}"/>
    <cellStyle name="Calculation 3 3" xfId="1033" xr:uid="{00000000-0005-0000-0000-000008040000}"/>
    <cellStyle name="Calculation 4" xfId="1034" xr:uid="{00000000-0005-0000-0000-000009040000}"/>
    <cellStyle name="Calculation 4 2" xfId="1035" xr:uid="{00000000-0005-0000-0000-00000A040000}"/>
    <cellStyle name="Calculation 5" xfId="1036" xr:uid="{00000000-0005-0000-0000-00000B040000}"/>
    <cellStyle name="Calculation 6" xfId="1037" xr:uid="{00000000-0005-0000-0000-00000C040000}"/>
    <cellStyle name="Calculation 7" xfId="1038" xr:uid="{00000000-0005-0000-0000-00000D040000}"/>
    <cellStyle name="Calculation 8" xfId="1039" xr:uid="{00000000-0005-0000-0000-00000E040000}"/>
    <cellStyle name="Calculation 9" xfId="1040" xr:uid="{00000000-0005-0000-0000-00000F040000}"/>
    <cellStyle name="Check Cell" xfId="1041" builtinId="23" customBuiltin="1"/>
    <cellStyle name="Check Cell 10" xfId="1042" xr:uid="{00000000-0005-0000-0000-000011040000}"/>
    <cellStyle name="Check Cell 11" xfId="1043" xr:uid="{00000000-0005-0000-0000-000012040000}"/>
    <cellStyle name="Check Cell 12" xfId="1044" xr:uid="{00000000-0005-0000-0000-000013040000}"/>
    <cellStyle name="Check Cell 13" xfId="1045" xr:uid="{00000000-0005-0000-0000-000014040000}"/>
    <cellStyle name="Check Cell 14" xfId="1046" xr:uid="{00000000-0005-0000-0000-000015040000}"/>
    <cellStyle name="Check Cell 15" xfId="1047" xr:uid="{00000000-0005-0000-0000-000016040000}"/>
    <cellStyle name="Check Cell 2" xfId="1048" xr:uid="{00000000-0005-0000-0000-000017040000}"/>
    <cellStyle name="Check Cell 2 2" xfId="1049" xr:uid="{00000000-0005-0000-0000-000018040000}"/>
    <cellStyle name="Check Cell 2 2 2" xfId="1050" xr:uid="{00000000-0005-0000-0000-000019040000}"/>
    <cellStyle name="Check Cell 2 3" xfId="1051" xr:uid="{00000000-0005-0000-0000-00001A040000}"/>
    <cellStyle name="Check Cell 2 3 2" xfId="1052" xr:uid="{00000000-0005-0000-0000-00001B040000}"/>
    <cellStyle name="Check Cell 2 4" xfId="1053" xr:uid="{00000000-0005-0000-0000-00001C040000}"/>
    <cellStyle name="Check Cell 2 5" xfId="1054" xr:uid="{00000000-0005-0000-0000-00001D040000}"/>
    <cellStyle name="Check Cell 2 6" xfId="1055" xr:uid="{00000000-0005-0000-0000-00001E040000}"/>
    <cellStyle name="Check Cell 3" xfId="1056" xr:uid="{00000000-0005-0000-0000-00001F040000}"/>
    <cellStyle name="Check Cell 3 2" xfId="1057" xr:uid="{00000000-0005-0000-0000-000020040000}"/>
    <cellStyle name="Check Cell 3 3" xfId="1058" xr:uid="{00000000-0005-0000-0000-000021040000}"/>
    <cellStyle name="Check Cell 4" xfId="1059" xr:uid="{00000000-0005-0000-0000-000022040000}"/>
    <cellStyle name="Check Cell 4 2" xfId="1060" xr:uid="{00000000-0005-0000-0000-000023040000}"/>
    <cellStyle name="Check Cell 5" xfId="1061" xr:uid="{00000000-0005-0000-0000-000024040000}"/>
    <cellStyle name="Check Cell 6" xfId="1062" xr:uid="{00000000-0005-0000-0000-000025040000}"/>
    <cellStyle name="Check Cell 7" xfId="1063" xr:uid="{00000000-0005-0000-0000-000026040000}"/>
    <cellStyle name="Check Cell 8" xfId="1064" xr:uid="{00000000-0005-0000-0000-000027040000}"/>
    <cellStyle name="Check Cell 9" xfId="1065" xr:uid="{00000000-0005-0000-0000-000028040000}"/>
    <cellStyle name="Comma" xfId="1066" builtinId="3"/>
    <cellStyle name="Comma 10" xfId="1067" xr:uid="{00000000-0005-0000-0000-00002A040000}"/>
    <cellStyle name="Comma 11" xfId="1068" xr:uid="{00000000-0005-0000-0000-00002B040000}"/>
    <cellStyle name="Comma 12" xfId="1069" xr:uid="{00000000-0005-0000-0000-00002C040000}"/>
    <cellStyle name="Comma 13" xfId="1070" xr:uid="{00000000-0005-0000-0000-00002D040000}"/>
    <cellStyle name="Comma 14" xfId="1071" xr:uid="{00000000-0005-0000-0000-00002E040000}"/>
    <cellStyle name="Comma 15" xfId="1072" xr:uid="{00000000-0005-0000-0000-00002F040000}"/>
    <cellStyle name="Comma 16" xfId="1073" xr:uid="{00000000-0005-0000-0000-000030040000}"/>
    <cellStyle name="Comma 17" xfId="1074" xr:uid="{00000000-0005-0000-0000-000031040000}"/>
    <cellStyle name="Comma 18" xfId="1075" xr:uid="{00000000-0005-0000-0000-000032040000}"/>
    <cellStyle name="Comma 19" xfId="1076" xr:uid="{00000000-0005-0000-0000-000033040000}"/>
    <cellStyle name="Comma 2" xfId="1077" xr:uid="{00000000-0005-0000-0000-000034040000}"/>
    <cellStyle name="Comma 2 10" xfId="1078" xr:uid="{00000000-0005-0000-0000-000035040000}"/>
    <cellStyle name="Comma 2 2" xfId="1079" xr:uid="{00000000-0005-0000-0000-000036040000}"/>
    <cellStyle name="Comma 2 2 2" xfId="1080" xr:uid="{00000000-0005-0000-0000-000037040000}"/>
    <cellStyle name="Comma 2 2 3" xfId="1081" xr:uid="{00000000-0005-0000-0000-000038040000}"/>
    <cellStyle name="Comma 2 3" xfId="1082" xr:uid="{00000000-0005-0000-0000-000039040000}"/>
    <cellStyle name="Comma 2 3 2" xfId="1083" xr:uid="{00000000-0005-0000-0000-00003A040000}"/>
    <cellStyle name="Comma 2 3 3" xfId="1084" xr:uid="{00000000-0005-0000-0000-00003B040000}"/>
    <cellStyle name="Comma 2 4" xfId="1085" xr:uid="{00000000-0005-0000-0000-00003C040000}"/>
    <cellStyle name="Comma 2 4 2" xfId="1086" xr:uid="{00000000-0005-0000-0000-00003D040000}"/>
    <cellStyle name="Comma 2 5" xfId="1087" xr:uid="{00000000-0005-0000-0000-00003E040000}"/>
    <cellStyle name="Comma 2 5 2" xfId="1088" xr:uid="{00000000-0005-0000-0000-00003F040000}"/>
    <cellStyle name="Comma 2 6" xfId="1089" xr:uid="{00000000-0005-0000-0000-000040040000}"/>
    <cellStyle name="Comma 2 6 2" xfId="1090" xr:uid="{00000000-0005-0000-0000-000041040000}"/>
    <cellStyle name="Comma 2 7" xfId="1091" xr:uid="{00000000-0005-0000-0000-000042040000}"/>
    <cellStyle name="Comma 2 8" xfId="1092" xr:uid="{00000000-0005-0000-0000-000043040000}"/>
    <cellStyle name="Comma 2 9" xfId="1093" xr:uid="{00000000-0005-0000-0000-000044040000}"/>
    <cellStyle name="Comma 3" xfId="1094" xr:uid="{00000000-0005-0000-0000-000045040000}"/>
    <cellStyle name="Comma 3 2" xfId="1095" xr:uid="{00000000-0005-0000-0000-000046040000}"/>
    <cellStyle name="Comma 3 2 2" xfId="1096" xr:uid="{00000000-0005-0000-0000-000047040000}"/>
    <cellStyle name="Comma 3 2 2 2" xfId="1097" xr:uid="{00000000-0005-0000-0000-000048040000}"/>
    <cellStyle name="Comma 3 2 2 3" xfId="1098" xr:uid="{00000000-0005-0000-0000-000049040000}"/>
    <cellStyle name="Comma 3 2 3" xfId="1099" xr:uid="{00000000-0005-0000-0000-00004A040000}"/>
    <cellStyle name="Comma 3 3" xfId="1100" xr:uid="{00000000-0005-0000-0000-00004B040000}"/>
    <cellStyle name="Comma 3 3 2" xfId="1101" xr:uid="{00000000-0005-0000-0000-00004C040000}"/>
    <cellStyle name="Comma 3 3 3" xfId="1102" xr:uid="{00000000-0005-0000-0000-00004D040000}"/>
    <cellStyle name="Comma 3 4" xfId="1103" xr:uid="{00000000-0005-0000-0000-00004E040000}"/>
    <cellStyle name="Comma 3 4 2" xfId="1104" xr:uid="{00000000-0005-0000-0000-00004F040000}"/>
    <cellStyle name="Comma 3 5" xfId="1105" xr:uid="{00000000-0005-0000-0000-000050040000}"/>
    <cellStyle name="Comma 3 6" xfId="1106" xr:uid="{00000000-0005-0000-0000-000051040000}"/>
    <cellStyle name="Comma 3 7" xfId="1107" xr:uid="{00000000-0005-0000-0000-000052040000}"/>
    <cellStyle name="Comma 4" xfId="1108" xr:uid="{00000000-0005-0000-0000-000053040000}"/>
    <cellStyle name="Comma 4 2" xfId="1109" xr:uid="{00000000-0005-0000-0000-000054040000}"/>
    <cellStyle name="Comma 4 2 2" xfId="1110" xr:uid="{00000000-0005-0000-0000-000055040000}"/>
    <cellStyle name="Comma 4 3" xfId="1111" xr:uid="{00000000-0005-0000-0000-000056040000}"/>
    <cellStyle name="Comma 4 3 2" xfId="1112" xr:uid="{00000000-0005-0000-0000-000057040000}"/>
    <cellStyle name="Comma 4 4" xfId="1113" xr:uid="{00000000-0005-0000-0000-000058040000}"/>
    <cellStyle name="Comma 4 5" xfId="1114" xr:uid="{00000000-0005-0000-0000-000059040000}"/>
    <cellStyle name="Comma 4 6" xfId="1115" xr:uid="{00000000-0005-0000-0000-00005A040000}"/>
    <cellStyle name="Comma 5" xfId="1116" xr:uid="{00000000-0005-0000-0000-00005B040000}"/>
    <cellStyle name="Comma 5 2" xfId="1117" xr:uid="{00000000-0005-0000-0000-00005C040000}"/>
    <cellStyle name="Comma 5 3" xfId="1118" xr:uid="{00000000-0005-0000-0000-00005D040000}"/>
    <cellStyle name="Comma 6" xfId="1119" xr:uid="{00000000-0005-0000-0000-00005E040000}"/>
    <cellStyle name="Comma 6 2" xfId="1120" xr:uid="{00000000-0005-0000-0000-00005F040000}"/>
    <cellStyle name="Comma 7" xfId="1121" xr:uid="{00000000-0005-0000-0000-000060040000}"/>
    <cellStyle name="Comma 7 2" xfId="1122" xr:uid="{00000000-0005-0000-0000-000061040000}"/>
    <cellStyle name="Comma 7 2 2" xfId="1123" xr:uid="{00000000-0005-0000-0000-000062040000}"/>
    <cellStyle name="Comma 7 2 3" xfId="1124" xr:uid="{00000000-0005-0000-0000-000063040000}"/>
    <cellStyle name="Comma 7 3" xfId="1125" xr:uid="{00000000-0005-0000-0000-000064040000}"/>
    <cellStyle name="Comma 7 3 2" xfId="1126" xr:uid="{00000000-0005-0000-0000-000065040000}"/>
    <cellStyle name="Comma 7 4" xfId="1127" xr:uid="{00000000-0005-0000-0000-000066040000}"/>
    <cellStyle name="Comma 7 5" xfId="1128" xr:uid="{00000000-0005-0000-0000-000067040000}"/>
    <cellStyle name="Comma 7 6" xfId="1129" xr:uid="{00000000-0005-0000-0000-000068040000}"/>
    <cellStyle name="Comma 8" xfId="1130" xr:uid="{00000000-0005-0000-0000-000069040000}"/>
    <cellStyle name="Comma 8 2" xfId="1131" xr:uid="{00000000-0005-0000-0000-00006A040000}"/>
    <cellStyle name="Comma 9" xfId="1132" xr:uid="{00000000-0005-0000-0000-00006B040000}"/>
    <cellStyle name="Comma0" xfId="1133" xr:uid="{00000000-0005-0000-0000-00006C040000}"/>
    <cellStyle name="Comma0 2" xfId="1134" xr:uid="{00000000-0005-0000-0000-00006D040000}"/>
    <cellStyle name="Comma0 2 2" xfId="1135" xr:uid="{00000000-0005-0000-0000-00006E040000}"/>
    <cellStyle name="Comma0 3" xfId="1136" xr:uid="{00000000-0005-0000-0000-00006F040000}"/>
    <cellStyle name="Comma0 3 2" xfId="1137" xr:uid="{00000000-0005-0000-0000-000070040000}"/>
    <cellStyle name="Comma0 4" xfId="1138" xr:uid="{00000000-0005-0000-0000-000071040000}"/>
    <cellStyle name="Currency 10" xfId="1139" xr:uid="{00000000-0005-0000-0000-000072040000}"/>
    <cellStyle name="Currency 11" xfId="1140" xr:uid="{00000000-0005-0000-0000-000073040000}"/>
    <cellStyle name="Currency 12" xfId="1141" xr:uid="{00000000-0005-0000-0000-000074040000}"/>
    <cellStyle name="Currency 2" xfId="1142" xr:uid="{00000000-0005-0000-0000-000075040000}"/>
    <cellStyle name="Currency 2 2" xfId="1143" xr:uid="{00000000-0005-0000-0000-000076040000}"/>
    <cellStyle name="Currency 2 2 2" xfId="1144" xr:uid="{00000000-0005-0000-0000-000077040000}"/>
    <cellStyle name="Currency 2 2 3" xfId="1145" xr:uid="{00000000-0005-0000-0000-000078040000}"/>
    <cellStyle name="Currency 2 3" xfId="1146" xr:uid="{00000000-0005-0000-0000-000079040000}"/>
    <cellStyle name="Currency 2 3 2" xfId="1147" xr:uid="{00000000-0005-0000-0000-00007A040000}"/>
    <cellStyle name="Currency 2 3 3" xfId="1148" xr:uid="{00000000-0005-0000-0000-00007B040000}"/>
    <cellStyle name="Currency 2 4" xfId="1149" xr:uid="{00000000-0005-0000-0000-00007C040000}"/>
    <cellStyle name="Currency 2 4 2" xfId="1150" xr:uid="{00000000-0005-0000-0000-00007D040000}"/>
    <cellStyle name="Currency 2 5" xfId="1151" xr:uid="{00000000-0005-0000-0000-00007E040000}"/>
    <cellStyle name="Currency 2 5 2" xfId="1152" xr:uid="{00000000-0005-0000-0000-00007F040000}"/>
    <cellStyle name="Currency 2 6" xfId="1153" xr:uid="{00000000-0005-0000-0000-000080040000}"/>
    <cellStyle name="Currency 2 6 2" xfId="1154" xr:uid="{00000000-0005-0000-0000-000081040000}"/>
    <cellStyle name="Currency 2 7" xfId="1155" xr:uid="{00000000-0005-0000-0000-000082040000}"/>
    <cellStyle name="Currency 2 8" xfId="1156" xr:uid="{00000000-0005-0000-0000-000083040000}"/>
    <cellStyle name="Currency 2 9" xfId="1157" xr:uid="{00000000-0005-0000-0000-000084040000}"/>
    <cellStyle name="Currency 3" xfId="1158" xr:uid="{00000000-0005-0000-0000-000085040000}"/>
    <cellStyle name="Currency 3 2" xfId="1159" xr:uid="{00000000-0005-0000-0000-000086040000}"/>
    <cellStyle name="Currency 3 2 2" xfId="1160" xr:uid="{00000000-0005-0000-0000-000087040000}"/>
    <cellStyle name="Currency 3 3" xfId="1161" xr:uid="{00000000-0005-0000-0000-000088040000}"/>
    <cellStyle name="Currency 4" xfId="1162" xr:uid="{00000000-0005-0000-0000-000089040000}"/>
    <cellStyle name="Currency 4 2" xfId="1163" xr:uid="{00000000-0005-0000-0000-00008A040000}"/>
    <cellStyle name="Currency 5" xfId="1164" xr:uid="{00000000-0005-0000-0000-00008B040000}"/>
    <cellStyle name="Currency 5 2" xfId="1165" xr:uid="{00000000-0005-0000-0000-00008C040000}"/>
    <cellStyle name="Currency 5 2 2" xfId="1166" xr:uid="{00000000-0005-0000-0000-00008D040000}"/>
    <cellStyle name="Currency 5 3" xfId="1167" xr:uid="{00000000-0005-0000-0000-00008E040000}"/>
    <cellStyle name="Currency 5 4" xfId="1168" xr:uid="{00000000-0005-0000-0000-00008F040000}"/>
    <cellStyle name="Currency 5 5" xfId="1169" xr:uid="{00000000-0005-0000-0000-000090040000}"/>
    <cellStyle name="Currency 5 6" xfId="1170" xr:uid="{00000000-0005-0000-0000-000091040000}"/>
    <cellStyle name="Currency 6" xfId="1171" xr:uid="{00000000-0005-0000-0000-000092040000}"/>
    <cellStyle name="Currency 6 2" xfId="1172" xr:uid="{00000000-0005-0000-0000-000093040000}"/>
    <cellStyle name="Currency 7" xfId="1173" xr:uid="{00000000-0005-0000-0000-000094040000}"/>
    <cellStyle name="Currency 8" xfId="1174" xr:uid="{00000000-0005-0000-0000-000095040000}"/>
    <cellStyle name="Currency 9" xfId="1175" xr:uid="{00000000-0005-0000-0000-000096040000}"/>
    <cellStyle name="Currency0" xfId="1176" xr:uid="{00000000-0005-0000-0000-000097040000}"/>
    <cellStyle name="Currency0 2" xfId="1177" xr:uid="{00000000-0005-0000-0000-000098040000}"/>
    <cellStyle name="Currency0 2 2" xfId="1178" xr:uid="{00000000-0005-0000-0000-000099040000}"/>
    <cellStyle name="Currency0 3" xfId="1179" xr:uid="{00000000-0005-0000-0000-00009A040000}"/>
    <cellStyle name="Currency0 3 2" xfId="1180" xr:uid="{00000000-0005-0000-0000-00009B040000}"/>
    <cellStyle name="Currency0 4" xfId="1181" xr:uid="{00000000-0005-0000-0000-00009C040000}"/>
    <cellStyle name="Date" xfId="1182" xr:uid="{00000000-0005-0000-0000-00009D040000}"/>
    <cellStyle name="Date 2" xfId="1183" xr:uid="{00000000-0005-0000-0000-00009E040000}"/>
    <cellStyle name="Date 2 2" xfId="1184" xr:uid="{00000000-0005-0000-0000-00009F040000}"/>
    <cellStyle name="Date 3" xfId="1185" xr:uid="{00000000-0005-0000-0000-0000A0040000}"/>
    <cellStyle name="Date 3 2" xfId="1186" xr:uid="{00000000-0005-0000-0000-0000A1040000}"/>
    <cellStyle name="Date 4" xfId="1187" xr:uid="{00000000-0005-0000-0000-0000A2040000}"/>
    <cellStyle name="Excel Built-in Good" xfId="1188" xr:uid="{00000000-0005-0000-0000-0000A3040000}"/>
    <cellStyle name="Excel Built-in Good 2" xfId="1189" xr:uid="{00000000-0005-0000-0000-0000A4040000}"/>
    <cellStyle name="Excel Built-in Normal" xfId="1190" xr:uid="{00000000-0005-0000-0000-0000A5040000}"/>
    <cellStyle name="Explanatory Text" xfId="1191" builtinId="53" customBuiltin="1"/>
    <cellStyle name="Explanatory Text 10" xfId="1192" xr:uid="{00000000-0005-0000-0000-0000A7040000}"/>
    <cellStyle name="Explanatory Text 11" xfId="1193" xr:uid="{00000000-0005-0000-0000-0000A8040000}"/>
    <cellStyle name="Explanatory Text 12" xfId="1194" xr:uid="{00000000-0005-0000-0000-0000A9040000}"/>
    <cellStyle name="Explanatory Text 13" xfId="1195" xr:uid="{00000000-0005-0000-0000-0000AA040000}"/>
    <cellStyle name="Explanatory Text 14" xfId="1196" xr:uid="{00000000-0005-0000-0000-0000AB040000}"/>
    <cellStyle name="Explanatory Text 15" xfId="1197" xr:uid="{00000000-0005-0000-0000-0000AC040000}"/>
    <cellStyle name="Explanatory Text 2" xfId="1198" xr:uid="{00000000-0005-0000-0000-0000AD040000}"/>
    <cellStyle name="Explanatory Text 2 2" xfId="1199" xr:uid="{00000000-0005-0000-0000-0000AE040000}"/>
    <cellStyle name="Explanatory Text 2 2 2" xfId="1200" xr:uid="{00000000-0005-0000-0000-0000AF040000}"/>
    <cellStyle name="Explanatory Text 2 3" xfId="1201" xr:uid="{00000000-0005-0000-0000-0000B0040000}"/>
    <cellStyle name="Explanatory Text 2 3 2" xfId="1202" xr:uid="{00000000-0005-0000-0000-0000B1040000}"/>
    <cellStyle name="Explanatory Text 2 4" xfId="1203" xr:uid="{00000000-0005-0000-0000-0000B2040000}"/>
    <cellStyle name="Explanatory Text 2 5" xfId="1204" xr:uid="{00000000-0005-0000-0000-0000B3040000}"/>
    <cellStyle name="Explanatory Text 2 6" xfId="1205" xr:uid="{00000000-0005-0000-0000-0000B4040000}"/>
    <cellStyle name="Explanatory Text 3" xfId="1206" xr:uid="{00000000-0005-0000-0000-0000B5040000}"/>
    <cellStyle name="Explanatory Text 3 2" xfId="1207" xr:uid="{00000000-0005-0000-0000-0000B6040000}"/>
    <cellStyle name="Explanatory Text 3 3" xfId="1208" xr:uid="{00000000-0005-0000-0000-0000B7040000}"/>
    <cellStyle name="Explanatory Text 4" xfId="1209" xr:uid="{00000000-0005-0000-0000-0000B8040000}"/>
    <cellStyle name="Explanatory Text 4 2" xfId="1210" xr:uid="{00000000-0005-0000-0000-0000B9040000}"/>
    <cellStyle name="Explanatory Text 5" xfId="1211" xr:uid="{00000000-0005-0000-0000-0000BA040000}"/>
    <cellStyle name="Explanatory Text 6" xfId="1212" xr:uid="{00000000-0005-0000-0000-0000BB040000}"/>
    <cellStyle name="Explanatory Text 7" xfId="1213" xr:uid="{00000000-0005-0000-0000-0000BC040000}"/>
    <cellStyle name="Explanatory Text 8" xfId="1214" xr:uid="{00000000-0005-0000-0000-0000BD040000}"/>
    <cellStyle name="Explanatory Text 9" xfId="1215" xr:uid="{00000000-0005-0000-0000-0000BE040000}"/>
    <cellStyle name="fitness_general" xfId="1216" xr:uid="{00000000-0005-0000-0000-0000BF040000}"/>
    <cellStyle name="Fitness-header" xfId="1217" xr:uid="{00000000-0005-0000-0000-0000C0040000}"/>
    <cellStyle name="Fixed" xfId="1218" xr:uid="{00000000-0005-0000-0000-0000C1040000}"/>
    <cellStyle name="Fixed 2" xfId="1219" xr:uid="{00000000-0005-0000-0000-0000C2040000}"/>
    <cellStyle name="Fixed 2 2" xfId="1220" xr:uid="{00000000-0005-0000-0000-0000C3040000}"/>
    <cellStyle name="Fixed 3" xfId="1221" xr:uid="{00000000-0005-0000-0000-0000C4040000}"/>
    <cellStyle name="Fixed 3 2" xfId="1222" xr:uid="{00000000-0005-0000-0000-0000C5040000}"/>
    <cellStyle name="Fixed 4" xfId="1223" xr:uid="{00000000-0005-0000-0000-0000C6040000}"/>
    <cellStyle name="Followed Hyperlink 2" xfId="1224" xr:uid="{00000000-0005-0000-0000-0000C7040000}"/>
    <cellStyle name="Good 10" xfId="1225" xr:uid="{00000000-0005-0000-0000-0000C8040000}"/>
    <cellStyle name="Good 11" xfId="1226" xr:uid="{00000000-0005-0000-0000-0000C9040000}"/>
    <cellStyle name="Good 12" xfId="1227" xr:uid="{00000000-0005-0000-0000-0000CA040000}"/>
    <cellStyle name="Good 13" xfId="1228" xr:uid="{00000000-0005-0000-0000-0000CB040000}"/>
    <cellStyle name="Good 14" xfId="1229" xr:uid="{00000000-0005-0000-0000-0000CC040000}"/>
    <cellStyle name="Good 15" xfId="1230" xr:uid="{00000000-0005-0000-0000-0000CD040000}"/>
    <cellStyle name="Good 2" xfId="1231" xr:uid="{00000000-0005-0000-0000-0000CE040000}"/>
    <cellStyle name="Good 2 2" xfId="1232" xr:uid="{00000000-0005-0000-0000-0000CF040000}"/>
    <cellStyle name="Good 2 2 2" xfId="1233" xr:uid="{00000000-0005-0000-0000-0000D0040000}"/>
    <cellStyle name="Good 2 3" xfId="1234" xr:uid="{00000000-0005-0000-0000-0000D1040000}"/>
    <cellStyle name="Good 2 3 2" xfId="1235" xr:uid="{00000000-0005-0000-0000-0000D2040000}"/>
    <cellStyle name="Good 2 4" xfId="1236" xr:uid="{00000000-0005-0000-0000-0000D3040000}"/>
    <cellStyle name="Good 2 5" xfId="1237" xr:uid="{00000000-0005-0000-0000-0000D4040000}"/>
    <cellStyle name="Good 2 6" xfId="1238" xr:uid="{00000000-0005-0000-0000-0000D5040000}"/>
    <cellStyle name="Good 3" xfId="1239" xr:uid="{00000000-0005-0000-0000-0000D6040000}"/>
    <cellStyle name="Good 3 2" xfId="1240" xr:uid="{00000000-0005-0000-0000-0000D7040000}"/>
    <cellStyle name="Good 3 3" xfId="1241" xr:uid="{00000000-0005-0000-0000-0000D8040000}"/>
    <cellStyle name="Good 4" xfId="1242" xr:uid="{00000000-0005-0000-0000-0000D9040000}"/>
    <cellStyle name="Good 4 2" xfId="1243" xr:uid="{00000000-0005-0000-0000-0000DA040000}"/>
    <cellStyle name="Good 5" xfId="1244" xr:uid="{00000000-0005-0000-0000-0000DB040000}"/>
    <cellStyle name="Good 6" xfId="1245" xr:uid="{00000000-0005-0000-0000-0000DC040000}"/>
    <cellStyle name="Good 7" xfId="1246" xr:uid="{00000000-0005-0000-0000-0000DD040000}"/>
    <cellStyle name="Good 8" xfId="1247" xr:uid="{00000000-0005-0000-0000-0000DE040000}"/>
    <cellStyle name="Good 9" xfId="1248" xr:uid="{00000000-0005-0000-0000-0000DF040000}"/>
    <cellStyle name="Grey" xfId="1249" xr:uid="{00000000-0005-0000-0000-0000E0040000}"/>
    <cellStyle name="Grey 2" xfId="1250" xr:uid="{00000000-0005-0000-0000-0000E1040000}"/>
    <cellStyle name="Grey 2 2" xfId="1251" xr:uid="{00000000-0005-0000-0000-0000E2040000}"/>
    <cellStyle name="Grey 3" xfId="1252" xr:uid="{00000000-0005-0000-0000-0000E3040000}"/>
    <cellStyle name="Grey 4" xfId="1253" xr:uid="{00000000-0005-0000-0000-0000E4040000}"/>
    <cellStyle name="Heading 1 10" xfId="1254" xr:uid="{00000000-0005-0000-0000-0000E5040000}"/>
    <cellStyle name="Heading 1 11" xfId="1255" xr:uid="{00000000-0005-0000-0000-0000E6040000}"/>
    <cellStyle name="Heading 1 12" xfId="1256" xr:uid="{00000000-0005-0000-0000-0000E7040000}"/>
    <cellStyle name="Heading 1 13" xfId="1257" xr:uid="{00000000-0005-0000-0000-0000E8040000}"/>
    <cellStyle name="Heading 1 14" xfId="1258" xr:uid="{00000000-0005-0000-0000-0000E9040000}"/>
    <cellStyle name="Heading 1 15" xfId="1259" xr:uid="{00000000-0005-0000-0000-0000EA040000}"/>
    <cellStyle name="Heading 1 16" xfId="1260" xr:uid="{00000000-0005-0000-0000-0000EB040000}"/>
    <cellStyle name="Heading 1 2" xfId="1261" xr:uid="{00000000-0005-0000-0000-0000EC040000}"/>
    <cellStyle name="Heading 1 2 2" xfId="1262" xr:uid="{00000000-0005-0000-0000-0000ED040000}"/>
    <cellStyle name="Heading 1 2 2 2" xfId="1263" xr:uid="{00000000-0005-0000-0000-0000EE040000}"/>
    <cellStyle name="Heading 1 2 3" xfId="1264" xr:uid="{00000000-0005-0000-0000-0000EF040000}"/>
    <cellStyle name="Heading 1 2 3 2" xfId="1265" xr:uid="{00000000-0005-0000-0000-0000F0040000}"/>
    <cellStyle name="Heading 1 2 4" xfId="1266" xr:uid="{00000000-0005-0000-0000-0000F1040000}"/>
    <cellStyle name="Heading 1 2 5" xfId="1267" xr:uid="{00000000-0005-0000-0000-0000F2040000}"/>
    <cellStyle name="Heading 1 3" xfId="1268" xr:uid="{00000000-0005-0000-0000-0000F3040000}"/>
    <cellStyle name="Heading 1 3 2" xfId="1269" xr:uid="{00000000-0005-0000-0000-0000F4040000}"/>
    <cellStyle name="Heading 1 4" xfId="1270" xr:uid="{00000000-0005-0000-0000-0000F5040000}"/>
    <cellStyle name="Heading 1 4 2" xfId="1271" xr:uid="{00000000-0005-0000-0000-0000F6040000}"/>
    <cellStyle name="Heading 1 4 3" xfId="1272" xr:uid="{00000000-0005-0000-0000-0000F7040000}"/>
    <cellStyle name="Heading 1 5" xfId="1273" xr:uid="{00000000-0005-0000-0000-0000F8040000}"/>
    <cellStyle name="Heading 1 6" xfId="1274" xr:uid="{00000000-0005-0000-0000-0000F9040000}"/>
    <cellStyle name="Heading 1 7" xfId="1275" xr:uid="{00000000-0005-0000-0000-0000FA040000}"/>
    <cellStyle name="Heading 1 8" xfId="1276" xr:uid="{00000000-0005-0000-0000-0000FB040000}"/>
    <cellStyle name="Heading 1 9" xfId="1277" xr:uid="{00000000-0005-0000-0000-0000FC040000}"/>
    <cellStyle name="Heading 2 10" xfId="1278" xr:uid="{00000000-0005-0000-0000-0000FD040000}"/>
    <cellStyle name="Heading 2 11" xfId="1279" xr:uid="{00000000-0005-0000-0000-0000FE040000}"/>
    <cellStyle name="Heading 2 12" xfId="1280" xr:uid="{00000000-0005-0000-0000-0000FF040000}"/>
    <cellStyle name="Heading 2 13" xfId="1281" xr:uid="{00000000-0005-0000-0000-000000050000}"/>
    <cellStyle name="Heading 2 14" xfId="1282" xr:uid="{00000000-0005-0000-0000-000001050000}"/>
    <cellStyle name="Heading 2 15" xfId="1283" xr:uid="{00000000-0005-0000-0000-000002050000}"/>
    <cellStyle name="Heading 2 16" xfId="1284" xr:uid="{00000000-0005-0000-0000-000003050000}"/>
    <cellStyle name="Heading 2 2" xfId="1285" xr:uid="{00000000-0005-0000-0000-000004050000}"/>
    <cellStyle name="Heading 2 2 2" xfId="1286" xr:uid="{00000000-0005-0000-0000-000005050000}"/>
    <cellStyle name="Heading 2 2 2 2" xfId="1287" xr:uid="{00000000-0005-0000-0000-000006050000}"/>
    <cellStyle name="Heading 2 2 3" xfId="1288" xr:uid="{00000000-0005-0000-0000-000007050000}"/>
    <cellStyle name="Heading 2 2 3 2" xfId="1289" xr:uid="{00000000-0005-0000-0000-000008050000}"/>
    <cellStyle name="Heading 2 2 4" xfId="1290" xr:uid="{00000000-0005-0000-0000-000009050000}"/>
    <cellStyle name="Heading 2 2 5" xfId="1291" xr:uid="{00000000-0005-0000-0000-00000A050000}"/>
    <cellStyle name="Heading 2 3" xfId="1292" xr:uid="{00000000-0005-0000-0000-00000B050000}"/>
    <cellStyle name="Heading 2 3 2" xfId="1293" xr:uid="{00000000-0005-0000-0000-00000C050000}"/>
    <cellStyle name="Heading 2 4" xfId="1294" xr:uid="{00000000-0005-0000-0000-00000D050000}"/>
    <cellStyle name="Heading 2 4 2" xfId="1295" xr:uid="{00000000-0005-0000-0000-00000E050000}"/>
    <cellStyle name="Heading 2 4 3" xfId="1296" xr:uid="{00000000-0005-0000-0000-00000F050000}"/>
    <cellStyle name="Heading 2 5" xfId="1297" xr:uid="{00000000-0005-0000-0000-000010050000}"/>
    <cellStyle name="Heading 2 6" xfId="1298" xr:uid="{00000000-0005-0000-0000-000011050000}"/>
    <cellStyle name="Heading 2 7" xfId="1299" xr:uid="{00000000-0005-0000-0000-000012050000}"/>
    <cellStyle name="Heading 2 8" xfId="1300" xr:uid="{00000000-0005-0000-0000-000013050000}"/>
    <cellStyle name="Heading 2 9" xfId="1301" xr:uid="{00000000-0005-0000-0000-000014050000}"/>
    <cellStyle name="Heading 3 10" xfId="1302" xr:uid="{00000000-0005-0000-0000-000015050000}"/>
    <cellStyle name="Heading 3 11" xfId="1303" xr:uid="{00000000-0005-0000-0000-000016050000}"/>
    <cellStyle name="Heading 3 12" xfId="1304" xr:uid="{00000000-0005-0000-0000-000017050000}"/>
    <cellStyle name="Heading 3 13" xfId="1305" xr:uid="{00000000-0005-0000-0000-000018050000}"/>
    <cellStyle name="Heading 3 14" xfId="1306" xr:uid="{00000000-0005-0000-0000-000019050000}"/>
    <cellStyle name="Heading 3 15" xfId="1307" xr:uid="{00000000-0005-0000-0000-00001A050000}"/>
    <cellStyle name="Heading 3 16" xfId="1308" xr:uid="{00000000-0005-0000-0000-00001B050000}"/>
    <cellStyle name="Heading 3 2" xfId="1309" xr:uid="{00000000-0005-0000-0000-00001C050000}"/>
    <cellStyle name="Heading 3 2 2" xfId="1310" xr:uid="{00000000-0005-0000-0000-00001D050000}"/>
    <cellStyle name="Heading 3 2 2 2" xfId="1311" xr:uid="{00000000-0005-0000-0000-00001E050000}"/>
    <cellStyle name="Heading 3 2 3" xfId="1312" xr:uid="{00000000-0005-0000-0000-00001F050000}"/>
    <cellStyle name="Heading 3 2 3 2" xfId="1313" xr:uid="{00000000-0005-0000-0000-000020050000}"/>
    <cellStyle name="Heading 3 2 4" xfId="1314" xr:uid="{00000000-0005-0000-0000-000021050000}"/>
    <cellStyle name="Heading 3 2 5" xfId="1315" xr:uid="{00000000-0005-0000-0000-000022050000}"/>
    <cellStyle name="Heading 3 3" xfId="1316" xr:uid="{00000000-0005-0000-0000-000023050000}"/>
    <cellStyle name="Heading 3 3 2" xfId="1317" xr:uid="{00000000-0005-0000-0000-000024050000}"/>
    <cellStyle name="Heading 3 3 3" xfId="1318" xr:uid="{00000000-0005-0000-0000-000025050000}"/>
    <cellStyle name="Heading 3 4" xfId="1319" xr:uid="{00000000-0005-0000-0000-000026050000}"/>
    <cellStyle name="Heading 3 4 2" xfId="1320" xr:uid="{00000000-0005-0000-0000-000027050000}"/>
    <cellStyle name="Heading 3 5" xfId="1321" xr:uid="{00000000-0005-0000-0000-000028050000}"/>
    <cellStyle name="Heading 3 6" xfId="1322" xr:uid="{00000000-0005-0000-0000-000029050000}"/>
    <cellStyle name="Heading 3 7" xfId="1323" xr:uid="{00000000-0005-0000-0000-00002A050000}"/>
    <cellStyle name="Heading 3 8" xfId="1324" xr:uid="{00000000-0005-0000-0000-00002B050000}"/>
    <cellStyle name="Heading 3 9" xfId="1325" xr:uid="{00000000-0005-0000-0000-00002C050000}"/>
    <cellStyle name="Heading 4 10" xfId="1326" xr:uid="{00000000-0005-0000-0000-00002D050000}"/>
    <cellStyle name="Heading 4 11" xfId="1327" xr:uid="{00000000-0005-0000-0000-00002E050000}"/>
    <cellStyle name="Heading 4 12" xfId="1328" xr:uid="{00000000-0005-0000-0000-00002F050000}"/>
    <cellStyle name="Heading 4 13" xfId="1329" xr:uid="{00000000-0005-0000-0000-000030050000}"/>
    <cellStyle name="Heading 4 14" xfId="1330" xr:uid="{00000000-0005-0000-0000-000031050000}"/>
    <cellStyle name="Heading 4 15" xfId="1331" xr:uid="{00000000-0005-0000-0000-000032050000}"/>
    <cellStyle name="Heading 4 16" xfId="1332" xr:uid="{00000000-0005-0000-0000-000033050000}"/>
    <cellStyle name="Heading 4 2" xfId="1333" xr:uid="{00000000-0005-0000-0000-000034050000}"/>
    <cellStyle name="Heading 4 2 2" xfId="1334" xr:uid="{00000000-0005-0000-0000-000035050000}"/>
    <cellStyle name="Heading 4 2 2 2" xfId="1335" xr:uid="{00000000-0005-0000-0000-000036050000}"/>
    <cellStyle name="Heading 4 2 3" xfId="1336" xr:uid="{00000000-0005-0000-0000-000037050000}"/>
    <cellStyle name="Heading 4 2 3 2" xfId="1337" xr:uid="{00000000-0005-0000-0000-000038050000}"/>
    <cellStyle name="Heading 4 2 4" xfId="1338" xr:uid="{00000000-0005-0000-0000-000039050000}"/>
    <cellStyle name="Heading 4 2 5" xfId="1339" xr:uid="{00000000-0005-0000-0000-00003A050000}"/>
    <cellStyle name="Heading 4 3" xfId="1340" xr:uid="{00000000-0005-0000-0000-00003B050000}"/>
    <cellStyle name="Heading 4 3 2" xfId="1341" xr:uid="{00000000-0005-0000-0000-00003C050000}"/>
    <cellStyle name="Heading 4 3 3" xfId="1342" xr:uid="{00000000-0005-0000-0000-00003D050000}"/>
    <cellStyle name="Heading 4 4" xfId="1343" xr:uid="{00000000-0005-0000-0000-00003E050000}"/>
    <cellStyle name="Heading 4 4 2" xfId="1344" xr:uid="{00000000-0005-0000-0000-00003F050000}"/>
    <cellStyle name="Heading 4 5" xfId="1345" xr:uid="{00000000-0005-0000-0000-000040050000}"/>
    <cellStyle name="Heading 4 6" xfId="1346" xr:uid="{00000000-0005-0000-0000-000041050000}"/>
    <cellStyle name="Heading 4 7" xfId="1347" xr:uid="{00000000-0005-0000-0000-000042050000}"/>
    <cellStyle name="Heading 4 8" xfId="1348" xr:uid="{00000000-0005-0000-0000-000043050000}"/>
    <cellStyle name="Heading 4 9" xfId="1349" xr:uid="{00000000-0005-0000-0000-000044050000}"/>
    <cellStyle name="Hyperlink 2" xfId="1350" xr:uid="{00000000-0005-0000-0000-000045050000}"/>
    <cellStyle name="Hyperlink 2 2" xfId="1351" xr:uid="{00000000-0005-0000-0000-000046050000}"/>
    <cellStyle name="Hyperlink 2 3" xfId="1352" xr:uid="{00000000-0005-0000-0000-000047050000}"/>
    <cellStyle name="Hyperlink 3" xfId="1353" xr:uid="{00000000-0005-0000-0000-000048050000}"/>
    <cellStyle name="Hyperlink 3 2" xfId="1354" xr:uid="{00000000-0005-0000-0000-000049050000}"/>
    <cellStyle name="Hyperlink 4" xfId="1355" xr:uid="{00000000-0005-0000-0000-00004A050000}"/>
    <cellStyle name="Hyperlink 5" xfId="1356" xr:uid="{00000000-0005-0000-0000-00004B050000}"/>
    <cellStyle name="Hyperlink 6" xfId="1357" xr:uid="{00000000-0005-0000-0000-00004C050000}"/>
    <cellStyle name="Input [yellow]" xfId="1358" xr:uid="{00000000-0005-0000-0000-00004D050000}"/>
    <cellStyle name="Input [yellow] 2" xfId="1359" xr:uid="{00000000-0005-0000-0000-00004E050000}"/>
    <cellStyle name="Input [yellow] 2 2" xfId="1360" xr:uid="{00000000-0005-0000-0000-00004F050000}"/>
    <cellStyle name="Input [yellow] 3" xfId="1361" xr:uid="{00000000-0005-0000-0000-000050050000}"/>
    <cellStyle name="Input 10" xfId="1362" xr:uid="{00000000-0005-0000-0000-000051050000}"/>
    <cellStyle name="Input 10 2" xfId="1363" xr:uid="{00000000-0005-0000-0000-000052050000}"/>
    <cellStyle name="Input 11" xfId="1364" xr:uid="{00000000-0005-0000-0000-000053050000}"/>
    <cellStyle name="Input 11 2" xfId="1365" xr:uid="{00000000-0005-0000-0000-000054050000}"/>
    <cellStyle name="Input 12" xfId="1366" xr:uid="{00000000-0005-0000-0000-000055050000}"/>
    <cellStyle name="Input 12 2" xfId="1367" xr:uid="{00000000-0005-0000-0000-000056050000}"/>
    <cellStyle name="Input 13" xfId="1368" xr:uid="{00000000-0005-0000-0000-000057050000}"/>
    <cellStyle name="Input 13 2" xfId="1369" xr:uid="{00000000-0005-0000-0000-000058050000}"/>
    <cellStyle name="Input 14" xfId="1370" xr:uid="{00000000-0005-0000-0000-000059050000}"/>
    <cellStyle name="Input 14 2" xfId="1371" xr:uid="{00000000-0005-0000-0000-00005A050000}"/>
    <cellStyle name="Input 15" xfId="1372" xr:uid="{00000000-0005-0000-0000-00005B050000}"/>
    <cellStyle name="Input 15 2" xfId="1373" xr:uid="{00000000-0005-0000-0000-00005C050000}"/>
    <cellStyle name="Input 16" xfId="1374" xr:uid="{00000000-0005-0000-0000-00005D050000}"/>
    <cellStyle name="Input 16 2" xfId="1375" xr:uid="{00000000-0005-0000-0000-00005E050000}"/>
    <cellStyle name="Input 17" xfId="1376" xr:uid="{00000000-0005-0000-0000-00005F050000}"/>
    <cellStyle name="Input 17 2" xfId="1377" xr:uid="{00000000-0005-0000-0000-000060050000}"/>
    <cellStyle name="Input 18" xfId="1378" xr:uid="{00000000-0005-0000-0000-000061050000}"/>
    <cellStyle name="Input 18 2" xfId="1379" xr:uid="{00000000-0005-0000-0000-000062050000}"/>
    <cellStyle name="Input 19" xfId="1380" xr:uid="{00000000-0005-0000-0000-000063050000}"/>
    <cellStyle name="Input 19 2" xfId="1381" xr:uid="{00000000-0005-0000-0000-000064050000}"/>
    <cellStyle name="Input 2" xfId="1382" xr:uid="{00000000-0005-0000-0000-000065050000}"/>
    <cellStyle name="Input 2 2" xfId="1383" xr:uid="{00000000-0005-0000-0000-000066050000}"/>
    <cellStyle name="Input 2 2 2" xfId="1384" xr:uid="{00000000-0005-0000-0000-000067050000}"/>
    <cellStyle name="Input 2 3" xfId="1385" xr:uid="{00000000-0005-0000-0000-000068050000}"/>
    <cellStyle name="Input 2 3 2" xfId="1386" xr:uid="{00000000-0005-0000-0000-000069050000}"/>
    <cellStyle name="Input 2 4" xfId="1387" xr:uid="{00000000-0005-0000-0000-00006A050000}"/>
    <cellStyle name="Input 2 5" xfId="1388" xr:uid="{00000000-0005-0000-0000-00006B050000}"/>
    <cellStyle name="Input 2 6" xfId="1389" xr:uid="{00000000-0005-0000-0000-00006C050000}"/>
    <cellStyle name="Input 20" xfId="1390" xr:uid="{00000000-0005-0000-0000-00006D050000}"/>
    <cellStyle name="Input 20 2" xfId="1391" xr:uid="{00000000-0005-0000-0000-00006E050000}"/>
    <cellStyle name="Input 21" xfId="1392" xr:uid="{00000000-0005-0000-0000-00006F050000}"/>
    <cellStyle name="Input 21 2" xfId="1393" xr:uid="{00000000-0005-0000-0000-000070050000}"/>
    <cellStyle name="Input 22" xfId="1394" xr:uid="{00000000-0005-0000-0000-000071050000}"/>
    <cellStyle name="Input 22 2" xfId="1395" xr:uid="{00000000-0005-0000-0000-000072050000}"/>
    <cellStyle name="Input 23" xfId="1396" xr:uid="{00000000-0005-0000-0000-000073050000}"/>
    <cellStyle name="Input 23 2" xfId="1397" xr:uid="{00000000-0005-0000-0000-000074050000}"/>
    <cellStyle name="Input 24" xfId="1398" xr:uid="{00000000-0005-0000-0000-000075050000}"/>
    <cellStyle name="Input 24 2" xfId="1399" xr:uid="{00000000-0005-0000-0000-000076050000}"/>
    <cellStyle name="Input 25" xfId="1400" xr:uid="{00000000-0005-0000-0000-000077050000}"/>
    <cellStyle name="Input 25 2" xfId="1401" xr:uid="{00000000-0005-0000-0000-000078050000}"/>
    <cellStyle name="Input 26" xfId="1402" xr:uid="{00000000-0005-0000-0000-000079050000}"/>
    <cellStyle name="Input 26 2" xfId="1403" xr:uid="{00000000-0005-0000-0000-00007A050000}"/>
    <cellStyle name="Input 27" xfId="1404" xr:uid="{00000000-0005-0000-0000-00007B050000}"/>
    <cellStyle name="Input 27 2" xfId="1405" xr:uid="{00000000-0005-0000-0000-00007C050000}"/>
    <cellStyle name="Input 28" xfId="1406" xr:uid="{00000000-0005-0000-0000-00007D050000}"/>
    <cellStyle name="Input 28 2" xfId="1407" xr:uid="{00000000-0005-0000-0000-00007E050000}"/>
    <cellStyle name="Input 29" xfId="1408" xr:uid="{00000000-0005-0000-0000-00007F050000}"/>
    <cellStyle name="Input 29 2" xfId="1409" xr:uid="{00000000-0005-0000-0000-000080050000}"/>
    <cellStyle name="Input 3" xfId="1410" xr:uid="{00000000-0005-0000-0000-000081050000}"/>
    <cellStyle name="Input 3 2" xfId="1411" xr:uid="{00000000-0005-0000-0000-000082050000}"/>
    <cellStyle name="Input 3 3" xfId="1412" xr:uid="{00000000-0005-0000-0000-000083050000}"/>
    <cellStyle name="Input 30" xfId="1413" xr:uid="{00000000-0005-0000-0000-000084050000}"/>
    <cellStyle name="Input 31" xfId="1414" xr:uid="{00000000-0005-0000-0000-000085050000}"/>
    <cellStyle name="Input 32" xfId="1415" xr:uid="{00000000-0005-0000-0000-000086050000}"/>
    <cellStyle name="Input 33" xfId="1416" xr:uid="{00000000-0005-0000-0000-000087050000}"/>
    <cellStyle name="Input 34" xfId="1417" xr:uid="{00000000-0005-0000-0000-000088050000}"/>
    <cellStyle name="Input 35" xfId="1418" xr:uid="{00000000-0005-0000-0000-000089050000}"/>
    <cellStyle name="Input 36" xfId="1419" xr:uid="{00000000-0005-0000-0000-00008A050000}"/>
    <cellStyle name="Input 37" xfId="1420" xr:uid="{00000000-0005-0000-0000-00008B050000}"/>
    <cellStyle name="Input 38" xfId="1421" xr:uid="{00000000-0005-0000-0000-00008C050000}"/>
    <cellStyle name="Input 39" xfId="1422" xr:uid="{00000000-0005-0000-0000-00008D050000}"/>
    <cellStyle name="Input 4" xfId="1423" xr:uid="{00000000-0005-0000-0000-00008E050000}"/>
    <cellStyle name="Input 4 2" xfId="1424" xr:uid="{00000000-0005-0000-0000-00008F050000}"/>
    <cellStyle name="Input 4 3" xfId="1425" xr:uid="{00000000-0005-0000-0000-000090050000}"/>
    <cellStyle name="Input 40" xfId="1426" xr:uid="{00000000-0005-0000-0000-000091050000}"/>
    <cellStyle name="Input 5" xfId="1427" xr:uid="{00000000-0005-0000-0000-000092050000}"/>
    <cellStyle name="Input 5 2" xfId="1428" xr:uid="{00000000-0005-0000-0000-000093050000}"/>
    <cellStyle name="Input 5 3" xfId="1429" xr:uid="{00000000-0005-0000-0000-000094050000}"/>
    <cellStyle name="Input 6" xfId="1430" xr:uid="{00000000-0005-0000-0000-000095050000}"/>
    <cellStyle name="Input 6 2" xfId="1431" xr:uid="{00000000-0005-0000-0000-000096050000}"/>
    <cellStyle name="Input 7" xfId="1432" xr:uid="{00000000-0005-0000-0000-000097050000}"/>
    <cellStyle name="Input 7 2" xfId="1433" xr:uid="{00000000-0005-0000-0000-000098050000}"/>
    <cellStyle name="Input 8" xfId="1434" xr:uid="{00000000-0005-0000-0000-000099050000}"/>
    <cellStyle name="Input 8 2" xfId="1435" xr:uid="{00000000-0005-0000-0000-00009A050000}"/>
    <cellStyle name="Input 9" xfId="1436" xr:uid="{00000000-0005-0000-0000-00009B050000}"/>
    <cellStyle name="Input 9 2" xfId="1437" xr:uid="{00000000-0005-0000-0000-00009C050000}"/>
    <cellStyle name="Linked Cell 10" xfId="1438" xr:uid="{00000000-0005-0000-0000-00009D050000}"/>
    <cellStyle name="Linked Cell 11" xfId="1439" xr:uid="{00000000-0005-0000-0000-00009E050000}"/>
    <cellStyle name="Linked Cell 12" xfId="1440" xr:uid="{00000000-0005-0000-0000-00009F050000}"/>
    <cellStyle name="Linked Cell 13" xfId="1441" xr:uid="{00000000-0005-0000-0000-0000A0050000}"/>
    <cellStyle name="Linked Cell 14" xfId="1442" xr:uid="{00000000-0005-0000-0000-0000A1050000}"/>
    <cellStyle name="Linked Cell 15" xfId="1443" xr:uid="{00000000-0005-0000-0000-0000A2050000}"/>
    <cellStyle name="Linked Cell 2" xfId="1444" xr:uid="{00000000-0005-0000-0000-0000A3050000}"/>
    <cellStyle name="Linked Cell 2 2" xfId="1445" xr:uid="{00000000-0005-0000-0000-0000A4050000}"/>
    <cellStyle name="Linked Cell 2 2 2" xfId="1446" xr:uid="{00000000-0005-0000-0000-0000A5050000}"/>
    <cellStyle name="Linked Cell 2 3" xfId="1447" xr:uid="{00000000-0005-0000-0000-0000A6050000}"/>
    <cellStyle name="Linked Cell 2 3 2" xfId="1448" xr:uid="{00000000-0005-0000-0000-0000A7050000}"/>
    <cellStyle name="Linked Cell 2 4" xfId="1449" xr:uid="{00000000-0005-0000-0000-0000A8050000}"/>
    <cellStyle name="Linked Cell 2 5" xfId="1450" xr:uid="{00000000-0005-0000-0000-0000A9050000}"/>
    <cellStyle name="Linked Cell 2 6" xfId="1451" xr:uid="{00000000-0005-0000-0000-0000AA050000}"/>
    <cellStyle name="Linked Cell 3" xfId="1452" xr:uid="{00000000-0005-0000-0000-0000AB050000}"/>
    <cellStyle name="Linked Cell 3 2" xfId="1453" xr:uid="{00000000-0005-0000-0000-0000AC050000}"/>
    <cellStyle name="Linked Cell 3 3" xfId="1454" xr:uid="{00000000-0005-0000-0000-0000AD050000}"/>
    <cellStyle name="Linked Cell 4" xfId="1455" xr:uid="{00000000-0005-0000-0000-0000AE050000}"/>
    <cellStyle name="Linked Cell 4 2" xfId="1456" xr:uid="{00000000-0005-0000-0000-0000AF050000}"/>
    <cellStyle name="Linked Cell 5" xfId="1457" xr:uid="{00000000-0005-0000-0000-0000B0050000}"/>
    <cellStyle name="Linked Cell 6" xfId="1458" xr:uid="{00000000-0005-0000-0000-0000B1050000}"/>
    <cellStyle name="Linked Cell 7" xfId="1459" xr:uid="{00000000-0005-0000-0000-0000B2050000}"/>
    <cellStyle name="Linked Cell 8" xfId="1460" xr:uid="{00000000-0005-0000-0000-0000B3050000}"/>
    <cellStyle name="Linked Cell 9" xfId="1461" xr:uid="{00000000-0005-0000-0000-0000B4050000}"/>
    <cellStyle name="M" xfId="1462" xr:uid="{00000000-0005-0000-0000-0000B5050000}"/>
    <cellStyle name="M 2" xfId="1463" xr:uid="{00000000-0005-0000-0000-0000B6050000}"/>
    <cellStyle name="M 2 2" xfId="1464" xr:uid="{00000000-0005-0000-0000-0000B7050000}"/>
    <cellStyle name="M 3" xfId="1465" xr:uid="{00000000-0005-0000-0000-0000B8050000}"/>
    <cellStyle name="M.00" xfId="1466" xr:uid="{00000000-0005-0000-0000-0000B9050000}"/>
    <cellStyle name="M.00 2" xfId="1467" xr:uid="{00000000-0005-0000-0000-0000BA050000}"/>
    <cellStyle name="M.00 2 2" xfId="1468" xr:uid="{00000000-0005-0000-0000-0000BB050000}"/>
    <cellStyle name="M.00 3" xfId="1469" xr:uid="{00000000-0005-0000-0000-0000BC050000}"/>
    <cellStyle name="M_9. Rev2Cost_GDPIPI" xfId="1470" xr:uid="{00000000-0005-0000-0000-0000BD050000}"/>
    <cellStyle name="M_9. Rev2Cost_GDPIPI 2" xfId="1471" xr:uid="{00000000-0005-0000-0000-0000BE050000}"/>
    <cellStyle name="M_9. Rev2Cost_GDPIPI 2 2" xfId="1472" xr:uid="{00000000-0005-0000-0000-0000BF050000}"/>
    <cellStyle name="M_9. Rev2Cost_GDPIPI 3" xfId="1473" xr:uid="{00000000-0005-0000-0000-0000C0050000}"/>
    <cellStyle name="M_lists" xfId="1474" xr:uid="{00000000-0005-0000-0000-0000C1050000}"/>
    <cellStyle name="M_lists 2" xfId="1475" xr:uid="{00000000-0005-0000-0000-0000C2050000}"/>
    <cellStyle name="M_lists 2 2" xfId="1476" xr:uid="{00000000-0005-0000-0000-0000C3050000}"/>
    <cellStyle name="M_lists 3" xfId="1477" xr:uid="{00000000-0005-0000-0000-0000C4050000}"/>
    <cellStyle name="M_lists_4. Current Monthly Fixed Charge" xfId="1478" xr:uid="{00000000-0005-0000-0000-0000C5050000}"/>
    <cellStyle name="M_lists_4. Current Monthly Fixed Charge 2" xfId="1479" xr:uid="{00000000-0005-0000-0000-0000C6050000}"/>
    <cellStyle name="M_lists_4. Current Monthly Fixed Charge 2 2" xfId="1480" xr:uid="{00000000-0005-0000-0000-0000C7050000}"/>
    <cellStyle name="M_lists_4. Current Monthly Fixed Charge 3" xfId="1481" xr:uid="{00000000-0005-0000-0000-0000C8050000}"/>
    <cellStyle name="M_Sheet4" xfId="1482" xr:uid="{00000000-0005-0000-0000-0000C9050000}"/>
    <cellStyle name="M_Sheet4 2" xfId="1483" xr:uid="{00000000-0005-0000-0000-0000CA050000}"/>
    <cellStyle name="M_Sheet4 2 2" xfId="1484" xr:uid="{00000000-0005-0000-0000-0000CB050000}"/>
    <cellStyle name="M_Sheet4 3" xfId="1485" xr:uid="{00000000-0005-0000-0000-0000CC050000}"/>
    <cellStyle name="Neutral 10" xfId="1486" xr:uid="{00000000-0005-0000-0000-0000CD050000}"/>
    <cellStyle name="Neutral 11" xfId="1487" xr:uid="{00000000-0005-0000-0000-0000CE050000}"/>
    <cellStyle name="Neutral 12" xfId="1488" xr:uid="{00000000-0005-0000-0000-0000CF050000}"/>
    <cellStyle name="Neutral 13" xfId="1489" xr:uid="{00000000-0005-0000-0000-0000D0050000}"/>
    <cellStyle name="Neutral 14" xfId="1490" xr:uid="{00000000-0005-0000-0000-0000D1050000}"/>
    <cellStyle name="Neutral 15" xfId="1491" xr:uid="{00000000-0005-0000-0000-0000D2050000}"/>
    <cellStyle name="Neutral 2" xfId="1492" xr:uid="{00000000-0005-0000-0000-0000D3050000}"/>
    <cellStyle name="Neutral 2 2" xfId="1493" xr:uid="{00000000-0005-0000-0000-0000D4050000}"/>
    <cellStyle name="Neutral 2 2 2" xfId="1494" xr:uid="{00000000-0005-0000-0000-0000D5050000}"/>
    <cellStyle name="Neutral 2 3" xfId="1495" xr:uid="{00000000-0005-0000-0000-0000D6050000}"/>
    <cellStyle name="Neutral 2 3 2" xfId="1496" xr:uid="{00000000-0005-0000-0000-0000D7050000}"/>
    <cellStyle name="Neutral 2 4" xfId="1497" xr:uid="{00000000-0005-0000-0000-0000D8050000}"/>
    <cellStyle name="Neutral 2 5" xfId="1498" xr:uid="{00000000-0005-0000-0000-0000D9050000}"/>
    <cellStyle name="Neutral 2 6" xfId="1499" xr:uid="{00000000-0005-0000-0000-0000DA050000}"/>
    <cellStyle name="Neutral 3" xfId="1500" xr:uid="{00000000-0005-0000-0000-0000DB050000}"/>
    <cellStyle name="Neutral 3 2" xfId="1501" xr:uid="{00000000-0005-0000-0000-0000DC050000}"/>
    <cellStyle name="Neutral 3 3" xfId="1502" xr:uid="{00000000-0005-0000-0000-0000DD050000}"/>
    <cellStyle name="Neutral 4" xfId="1503" xr:uid="{00000000-0005-0000-0000-0000DE050000}"/>
    <cellStyle name="Neutral 4 2" xfId="1504" xr:uid="{00000000-0005-0000-0000-0000DF050000}"/>
    <cellStyle name="Neutral 5" xfId="1505" xr:uid="{00000000-0005-0000-0000-0000E0050000}"/>
    <cellStyle name="Neutral 6" xfId="1506" xr:uid="{00000000-0005-0000-0000-0000E1050000}"/>
    <cellStyle name="Neutral 7" xfId="1507" xr:uid="{00000000-0005-0000-0000-0000E2050000}"/>
    <cellStyle name="Neutral 8" xfId="1508" xr:uid="{00000000-0005-0000-0000-0000E3050000}"/>
    <cellStyle name="Neutral 9" xfId="1509" xr:uid="{00000000-0005-0000-0000-0000E4050000}"/>
    <cellStyle name="Normal" xfId="0" builtinId="0"/>
    <cellStyle name="Normal - Style1" xfId="1510" xr:uid="{00000000-0005-0000-0000-0000E6050000}"/>
    <cellStyle name="Normal - Style1 2" xfId="1511" xr:uid="{00000000-0005-0000-0000-0000E7050000}"/>
    <cellStyle name="Normal - Style1 2 2" xfId="1512" xr:uid="{00000000-0005-0000-0000-0000E8050000}"/>
    <cellStyle name="Normal - Style1 3" xfId="1513" xr:uid="{00000000-0005-0000-0000-0000E9050000}"/>
    <cellStyle name="Normal 10" xfId="1514" xr:uid="{00000000-0005-0000-0000-0000EA050000}"/>
    <cellStyle name="Normal 10 2" xfId="1515" xr:uid="{00000000-0005-0000-0000-0000EB050000}"/>
    <cellStyle name="Normal 10 2 2" xfId="1516" xr:uid="{00000000-0005-0000-0000-0000EC050000}"/>
    <cellStyle name="Normal 10 3" xfId="1517" xr:uid="{00000000-0005-0000-0000-0000ED050000}"/>
    <cellStyle name="Normal 11" xfId="1518" xr:uid="{00000000-0005-0000-0000-0000EE050000}"/>
    <cellStyle name="Normal 11 2" xfId="1519" xr:uid="{00000000-0005-0000-0000-0000EF050000}"/>
    <cellStyle name="Normal 11 3" xfId="1520" xr:uid="{00000000-0005-0000-0000-0000F0050000}"/>
    <cellStyle name="Normal 12" xfId="1521" xr:uid="{00000000-0005-0000-0000-0000F1050000}"/>
    <cellStyle name="Normal 12 2" xfId="1522" xr:uid="{00000000-0005-0000-0000-0000F2050000}"/>
    <cellStyle name="Normal 13" xfId="1523" xr:uid="{00000000-0005-0000-0000-0000F3050000}"/>
    <cellStyle name="Normal 13 2" xfId="1524" xr:uid="{00000000-0005-0000-0000-0000F4050000}"/>
    <cellStyle name="Normal 13 3" xfId="1525" xr:uid="{00000000-0005-0000-0000-0000F5050000}"/>
    <cellStyle name="Normal 14" xfId="1526" xr:uid="{00000000-0005-0000-0000-0000F6050000}"/>
    <cellStyle name="Normal 14 2" xfId="1527" xr:uid="{00000000-0005-0000-0000-0000F7050000}"/>
    <cellStyle name="Normal 15" xfId="1528" xr:uid="{00000000-0005-0000-0000-0000F8050000}"/>
    <cellStyle name="Normal 15 2" xfId="1529" xr:uid="{00000000-0005-0000-0000-0000F9050000}"/>
    <cellStyle name="Normal 16" xfId="1530" xr:uid="{00000000-0005-0000-0000-0000FA050000}"/>
    <cellStyle name="Normal 16 2" xfId="1531" xr:uid="{00000000-0005-0000-0000-0000FB050000}"/>
    <cellStyle name="Normal 17" xfId="1532" xr:uid="{00000000-0005-0000-0000-0000FC050000}"/>
    <cellStyle name="Normal 17 2" xfId="1533" xr:uid="{00000000-0005-0000-0000-0000FD050000}"/>
    <cellStyle name="Normal 18" xfId="1534" xr:uid="{00000000-0005-0000-0000-0000FE050000}"/>
    <cellStyle name="Normal 18 2" xfId="1535" xr:uid="{00000000-0005-0000-0000-0000FF050000}"/>
    <cellStyle name="Normal 19" xfId="1536" xr:uid="{00000000-0005-0000-0000-000000060000}"/>
    <cellStyle name="Normal 19 2" xfId="1537" xr:uid="{00000000-0005-0000-0000-000001060000}"/>
    <cellStyle name="Normal 19 3" xfId="1538" xr:uid="{00000000-0005-0000-0000-000002060000}"/>
    <cellStyle name="Normal 19 4" xfId="1539" xr:uid="{00000000-0005-0000-0000-000003060000}"/>
    <cellStyle name="Normal 2" xfId="1540" xr:uid="{00000000-0005-0000-0000-000004060000}"/>
    <cellStyle name="Normal 2 2" xfId="1541" xr:uid="{00000000-0005-0000-0000-000005060000}"/>
    <cellStyle name="Normal 2 2 2" xfId="1542" xr:uid="{00000000-0005-0000-0000-000006060000}"/>
    <cellStyle name="Normal 2 2 2 2" xfId="1543" xr:uid="{00000000-0005-0000-0000-000007060000}"/>
    <cellStyle name="Normal 2 2 3" xfId="1544" xr:uid="{00000000-0005-0000-0000-000008060000}"/>
    <cellStyle name="Normal 2 3" xfId="1545" xr:uid="{00000000-0005-0000-0000-000009060000}"/>
    <cellStyle name="Normal 2 3 2" xfId="1546" xr:uid="{00000000-0005-0000-0000-00000A060000}"/>
    <cellStyle name="Normal 2 3 3" xfId="1547" xr:uid="{00000000-0005-0000-0000-00000B060000}"/>
    <cellStyle name="Normal 2 4" xfId="1548" xr:uid="{00000000-0005-0000-0000-00000C060000}"/>
    <cellStyle name="Normal 2 4 2" xfId="1549" xr:uid="{00000000-0005-0000-0000-00000D060000}"/>
    <cellStyle name="Normal 2 4 3" xfId="1550" xr:uid="{00000000-0005-0000-0000-00000E060000}"/>
    <cellStyle name="Normal 2 5" xfId="1551" xr:uid="{00000000-0005-0000-0000-00000F060000}"/>
    <cellStyle name="Normal 2 6" xfId="1552" xr:uid="{00000000-0005-0000-0000-000010060000}"/>
    <cellStyle name="Normal 2 7" xfId="1553" xr:uid="{00000000-0005-0000-0000-000011060000}"/>
    <cellStyle name="Normal 20" xfId="1554" xr:uid="{00000000-0005-0000-0000-000012060000}"/>
    <cellStyle name="Normal 20 2" xfId="1555" xr:uid="{00000000-0005-0000-0000-000013060000}"/>
    <cellStyle name="Normal 20 3" xfId="1556" xr:uid="{00000000-0005-0000-0000-000014060000}"/>
    <cellStyle name="Normal 21" xfId="1557" xr:uid="{00000000-0005-0000-0000-000015060000}"/>
    <cellStyle name="Normal 21 2" xfId="1558" xr:uid="{00000000-0005-0000-0000-000016060000}"/>
    <cellStyle name="Normal 21 3" xfId="1559" xr:uid="{00000000-0005-0000-0000-000017060000}"/>
    <cellStyle name="Normal 22" xfId="1560" xr:uid="{00000000-0005-0000-0000-000018060000}"/>
    <cellStyle name="Normal 22 2" xfId="1561" xr:uid="{00000000-0005-0000-0000-000019060000}"/>
    <cellStyle name="Normal 23" xfId="1562" xr:uid="{00000000-0005-0000-0000-00001A060000}"/>
    <cellStyle name="Normal 23 2" xfId="1563" xr:uid="{00000000-0005-0000-0000-00001B060000}"/>
    <cellStyle name="Normal 24" xfId="1564" xr:uid="{00000000-0005-0000-0000-00001C060000}"/>
    <cellStyle name="Normal 24 2" xfId="1565" xr:uid="{00000000-0005-0000-0000-00001D060000}"/>
    <cellStyle name="Normal 25" xfId="1566" xr:uid="{00000000-0005-0000-0000-00001E060000}"/>
    <cellStyle name="Normal 25 2" xfId="1567" xr:uid="{00000000-0005-0000-0000-00001F060000}"/>
    <cellStyle name="Normal 26" xfId="1568" xr:uid="{00000000-0005-0000-0000-000020060000}"/>
    <cellStyle name="Normal 26 2" xfId="1569" xr:uid="{00000000-0005-0000-0000-000021060000}"/>
    <cellStyle name="Normal 27" xfId="1570" xr:uid="{00000000-0005-0000-0000-000022060000}"/>
    <cellStyle name="Normal 28" xfId="1571" xr:uid="{00000000-0005-0000-0000-000023060000}"/>
    <cellStyle name="Normal 29" xfId="1572" xr:uid="{00000000-0005-0000-0000-000024060000}"/>
    <cellStyle name="Normal 3" xfId="1573" xr:uid="{00000000-0005-0000-0000-000025060000}"/>
    <cellStyle name="Normal 3 10" xfId="1574" xr:uid="{00000000-0005-0000-0000-000026060000}"/>
    <cellStyle name="Normal 3 11" xfId="1575" xr:uid="{00000000-0005-0000-0000-000027060000}"/>
    <cellStyle name="Normal 3 12" xfId="1576" xr:uid="{00000000-0005-0000-0000-000028060000}"/>
    <cellStyle name="Normal 3 2" xfId="1577" xr:uid="{00000000-0005-0000-0000-000029060000}"/>
    <cellStyle name="Normal 3 2 2" xfId="1578" xr:uid="{00000000-0005-0000-0000-00002A060000}"/>
    <cellStyle name="Normal 3 3" xfId="1579" xr:uid="{00000000-0005-0000-0000-00002B060000}"/>
    <cellStyle name="Normal 3 3 2" xfId="1580" xr:uid="{00000000-0005-0000-0000-00002C060000}"/>
    <cellStyle name="Normal 3 4" xfId="1581" xr:uid="{00000000-0005-0000-0000-00002D060000}"/>
    <cellStyle name="Normal 3 4 2" xfId="1582" xr:uid="{00000000-0005-0000-0000-00002E060000}"/>
    <cellStyle name="Normal 3 4 2 2" xfId="1583" xr:uid="{00000000-0005-0000-0000-00002F060000}"/>
    <cellStyle name="Normal 3 4 2 2 2" xfId="1584" xr:uid="{00000000-0005-0000-0000-000030060000}"/>
    <cellStyle name="Normal 3 4 2 2 3" xfId="1585" xr:uid="{00000000-0005-0000-0000-000031060000}"/>
    <cellStyle name="Normal 3 4 2 3" xfId="1586" xr:uid="{00000000-0005-0000-0000-000032060000}"/>
    <cellStyle name="Normal 3 4 2 4" xfId="1587" xr:uid="{00000000-0005-0000-0000-000033060000}"/>
    <cellStyle name="Normal 3 4 3" xfId="1588" xr:uid="{00000000-0005-0000-0000-000034060000}"/>
    <cellStyle name="Normal 3 4 3 2" xfId="1589" xr:uid="{00000000-0005-0000-0000-000035060000}"/>
    <cellStyle name="Normal 3 4 3 3" xfId="1590" xr:uid="{00000000-0005-0000-0000-000036060000}"/>
    <cellStyle name="Normal 3 4 4" xfId="1591" xr:uid="{00000000-0005-0000-0000-000037060000}"/>
    <cellStyle name="Normal 3 4 5" xfId="1592" xr:uid="{00000000-0005-0000-0000-000038060000}"/>
    <cellStyle name="Normal 3 5" xfId="1593" xr:uid="{00000000-0005-0000-0000-000039060000}"/>
    <cellStyle name="Normal 3 5 2" xfId="1594" xr:uid="{00000000-0005-0000-0000-00003A060000}"/>
    <cellStyle name="Normal 3 5 2 2" xfId="1595" xr:uid="{00000000-0005-0000-0000-00003B060000}"/>
    <cellStyle name="Normal 3 5 2 3" xfId="1596" xr:uid="{00000000-0005-0000-0000-00003C060000}"/>
    <cellStyle name="Normal 3 5 3" xfId="1597" xr:uid="{00000000-0005-0000-0000-00003D060000}"/>
    <cellStyle name="Normal 3 5 3 2" xfId="1598" xr:uid="{00000000-0005-0000-0000-00003E060000}"/>
    <cellStyle name="Normal 3 5 3 3" xfId="1599" xr:uid="{00000000-0005-0000-0000-00003F060000}"/>
    <cellStyle name="Normal 3 5 4" xfId="1600" xr:uid="{00000000-0005-0000-0000-000040060000}"/>
    <cellStyle name="Normal 3 5 5" xfId="1601" xr:uid="{00000000-0005-0000-0000-000041060000}"/>
    <cellStyle name="Normal 3 6" xfId="1602" xr:uid="{00000000-0005-0000-0000-000042060000}"/>
    <cellStyle name="Normal 3 6 2" xfId="1603" xr:uid="{00000000-0005-0000-0000-000043060000}"/>
    <cellStyle name="Normal 3 6 2 2" xfId="1604" xr:uid="{00000000-0005-0000-0000-000044060000}"/>
    <cellStyle name="Normal 3 6 2 3" xfId="1605" xr:uid="{00000000-0005-0000-0000-000045060000}"/>
    <cellStyle name="Normal 3 6 3" xfId="1606" xr:uid="{00000000-0005-0000-0000-000046060000}"/>
    <cellStyle name="Normal 3 6 4" xfId="1607" xr:uid="{00000000-0005-0000-0000-000047060000}"/>
    <cellStyle name="Normal 3 7" xfId="1608" xr:uid="{00000000-0005-0000-0000-000048060000}"/>
    <cellStyle name="Normal 3 7 2" xfId="1609" xr:uid="{00000000-0005-0000-0000-000049060000}"/>
    <cellStyle name="Normal 3 7 3" xfId="1610" xr:uid="{00000000-0005-0000-0000-00004A060000}"/>
    <cellStyle name="Normal 3 8" xfId="1611" xr:uid="{00000000-0005-0000-0000-00004B060000}"/>
    <cellStyle name="Normal 3 9" xfId="1612" xr:uid="{00000000-0005-0000-0000-00004C060000}"/>
    <cellStyle name="Normal 30" xfId="1613" xr:uid="{00000000-0005-0000-0000-00004D060000}"/>
    <cellStyle name="Normal 30 2" xfId="1614" xr:uid="{00000000-0005-0000-0000-00004E060000}"/>
    <cellStyle name="Normal 31" xfId="1615" xr:uid="{00000000-0005-0000-0000-00004F060000}"/>
    <cellStyle name="Normal 32" xfId="1616" xr:uid="{00000000-0005-0000-0000-000050060000}"/>
    <cellStyle name="Normal 33" xfId="1617" xr:uid="{00000000-0005-0000-0000-000051060000}"/>
    <cellStyle name="Normal 34" xfId="1618" xr:uid="{00000000-0005-0000-0000-000052060000}"/>
    <cellStyle name="Normal 35" xfId="1619" xr:uid="{00000000-0005-0000-0000-000053060000}"/>
    <cellStyle name="Normal 36" xfId="1620" xr:uid="{00000000-0005-0000-0000-000054060000}"/>
    <cellStyle name="Normal 37" xfId="1621" xr:uid="{00000000-0005-0000-0000-000055060000}"/>
    <cellStyle name="Normal 38" xfId="1622" xr:uid="{00000000-0005-0000-0000-000056060000}"/>
    <cellStyle name="Normal 39" xfId="1623" xr:uid="{00000000-0005-0000-0000-000057060000}"/>
    <cellStyle name="Normal 4" xfId="1624" xr:uid="{00000000-0005-0000-0000-000058060000}"/>
    <cellStyle name="Normal 4 10" xfId="1625" xr:uid="{00000000-0005-0000-0000-000059060000}"/>
    <cellStyle name="Normal 4 11" xfId="1626" xr:uid="{00000000-0005-0000-0000-00005A060000}"/>
    <cellStyle name="Normal 4 12" xfId="1627" xr:uid="{00000000-0005-0000-0000-00005B060000}"/>
    <cellStyle name="Normal 4 2" xfId="1628" xr:uid="{00000000-0005-0000-0000-00005C060000}"/>
    <cellStyle name="Normal 4 2 2" xfId="1629" xr:uid="{00000000-0005-0000-0000-00005D060000}"/>
    <cellStyle name="Normal 4 3" xfId="1630" xr:uid="{00000000-0005-0000-0000-00005E060000}"/>
    <cellStyle name="Normal 4 3 2" xfId="1631" xr:uid="{00000000-0005-0000-0000-00005F060000}"/>
    <cellStyle name="Normal 4 3 2 2" xfId="1632" xr:uid="{00000000-0005-0000-0000-000060060000}"/>
    <cellStyle name="Normal 4 3 2 2 2" xfId="1633" xr:uid="{00000000-0005-0000-0000-000061060000}"/>
    <cellStyle name="Normal 4 3 2 2 2 2" xfId="1634" xr:uid="{00000000-0005-0000-0000-000062060000}"/>
    <cellStyle name="Normal 4 3 2 2 2 3" xfId="1635" xr:uid="{00000000-0005-0000-0000-000063060000}"/>
    <cellStyle name="Normal 4 3 2 2 3" xfId="1636" xr:uid="{00000000-0005-0000-0000-000064060000}"/>
    <cellStyle name="Normal 4 3 2 2 4" xfId="1637" xr:uid="{00000000-0005-0000-0000-000065060000}"/>
    <cellStyle name="Normal 4 3 2 3" xfId="1638" xr:uid="{00000000-0005-0000-0000-000066060000}"/>
    <cellStyle name="Normal 4 3 2 3 2" xfId="1639" xr:uid="{00000000-0005-0000-0000-000067060000}"/>
    <cellStyle name="Normal 4 3 2 3 3" xfId="1640" xr:uid="{00000000-0005-0000-0000-000068060000}"/>
    <cellStyle name="Normal 4 3 2 4" xfId="1641" xr:uid="{00000000-0005-0000-0000-000069060000}"/>
    <cellStyle name="Normal 4 3 2 5" xfId="1642" xr:uid="{00000000-0005-0000-0000-00006A060000}"/>
    <cellStyle name="Normal 4 3 3" xfId="1643" xr:uid="{00000000-0005-0000-0000-00006B060000}"/>
    <cellStyle name="Normal 4 3 3 2" xfId="1644" xr:uid="{00000000-0005-0000-0000-00006C060000}"/>
    <cellStyle name="Normal 4 3 3 2 2" xfId="1645" xr:uid="{00000000-0005-0000-0000-00006D060000}"/>
    <cellStyle name="Normal 4 3 3 2 3" xfId="1646" xr:uid="{00000000-0005-0000-0000-00006E060000}"/>
    <cellStyle name="Normal 4 3 3 3" xfId="1647" xr:uid="{00000000-0005-0000-0000-00006F060000}"/>
    <cellStyle name="Normal 4 3 3 3 2" xfId="1648" xr:uid="{00000000-0005-0000-0000-000070060000}"/>
    <cellStyle name="Normal 4 3 3 3 3" xfId="1649" xr:uid="{00000000-0005-0000-0000-000071060000}"/>
    <cellStyle name="Normal 4 3 3 4" xfId="1650" xr:uid="{00000000-0005-0000-0000-000072060000}"/>
    <cellStyle name="Normal 4 3 3 5" xfId="1651" xr:uid="{00000000-0005-0000-0000-000073060000}"/>
    <cellStyle name="Normal 4 3 4" xfId="1652" xr:uid="{00000000-0005-0000-0000-000074060000}"/>
    <cellStyle name="Normal 4 3 4 2" xfId="1653" xr:uid="{00000000-0005-0000-0000-000075060000}"/>
    <cellStyle name="Normal 4 3 4 2 2" xfId="1654" xr:uid="{00000000-0005-0000-0000-000076060000}"/>
    <cellStyle name="Normal 4 3 4 2 3" xfId="1655" xr:uid="{00000000-0005-0000-0000-000077060000}"/>
    <cellStyle name="Normal 4 3 4 3" xfId="1656" xr:uid="{00000000-0005-0000-0000-000078060000}"/>
    <cellStyle name="Normal 4 3 4 4" xfId="1657" xr:uid="{00000000-0005-0000-0000-000079060000}"/>
    <cellStyle name="Normal 4 3 5" xfId="1658" xr:uid="{00000000-0005-0000-0000-00007A060000}"/>
    <cellStyle name="Normal 4 3 5 2" xfId="1659" xr:uid="{00000000-0005-0000-0000-00007B060000}"/>
    <cellStyle name="Normal 4 3 5 3" xfId="1660" xr:uid="{00000000-0005-0000-0000-00007C060000}"/>
    <cellStyle name="Normal 4 3 6" xfId="1661" xr:uid="{00000000-0005-0000-0000-00007D060000}"/>
    <cellStyle name="Normal 4 3 7" xfId="1662" xr:uid="{00000000-0005-0000-0000-00007E060000}"/>
    <cellStyle name="Normal 4 3 8" xfId="1663" xr:uid="{00000000-0005-0000-0000-00007F060000}"/>
    <cellStyle name="Normal 4 4" xfId="1664" xr:uid="{00000000-0005-0000-0000-000080060000}"/>
    <cellStyle name="Normal 4 4 2" xfId="1665" xr:uid="{00000000-0005-0000-0000-000081060000}"/>
    <cellStyle name="Normal 4 4 2 2" xfId="1666" xr:uid="{00000000-0005-0000-0000-000082060000}"/>
    <cellStyle name="Normal 4 4 2 2 2" xfId="1667" xr:uid="{00000000-0005-0000-0000-000083060000}"/>
    <cellStyle name="Normal 4 4 2 2 3" xfId="1668" xr:uid="{00000000-0005-0000-0000-000084060000}"/>
    <cellStyle name="Normal 4 4 2 3" xfId="1669" xr:uid="{00000000-0005-0000-0000-000085060000}"/>
    <cellStyle name="Normal 4 4 2 4" xfId="1670" xr:uid="{00000000-0005-0000-0000-000086060000}"/>
    <cellStyle name="Normal 4 4 3" xfId="1671" xr:uid="{00000000-0005-0000-0000-000087060000}"/>
    <cellStyle name="Normal 4 4 3 2" xfId="1672" xr:uid="{00000000-0005-0000-0000-000088060000}"/>
    <cellStyle name="Normal 4 4 3 3" xfId="1673" xr:uid="{00000000-0005-0000-0000-000089060000}"/>
    <cellStyle name="Normal 4 4 4" xfId="1674" xr:uid="{00000000-0005-0000-0000-00008A060000}"/>
    <cellStyle name="Normal 4 4 5" xfId="1675" xr:uid="{00000000-0005-0000-0000-00008B060000}"/>
    <cellStyle name="Normal 4 5" xfId="1676" xr:uid="{00000000-0005-0000-0000-00008C060000}"/>
    <cellStyle name="Normal 4 5 2" xfId="1677" xr:uid="{00000000-0005-0000-0000-00008D060000}"/>
    <cellStyle name="Normal 4 5 2 2" xfId="1678" xr:uid="{00000000-0005-0000-0000-00008E060000}"/>
    <cellStyle name="Normal 4 5 2 3" xfId="1679" xr:uid="{00000000-0005-0000-0000-00008F060000}"/>
    <cellStyle name="Normal 4 5 3" xfId="1680" xr:uid="{00000000-0005-0000-0000-000090060000}"/>
    <cellStyle name="Normal 4 5 3 2" xfId="1681" xr:uid="{00000000-0005-0000-0000-000091060000}"/>
    <cellStyle name="Normal 4 5 3 3" xfId="1682" xr:uid="{00000000-0005-0000-0000-000092060000}"/>
    <cellStyle name="Normal 4 5 4" xfId="1683" xr:uid="{00000000-0005-0000-0000-000093060000}"/>
    <cellStyle name="Normal 4 5 5" xfId="1684" xr:uid="{00000000-0005-0000-0000-000094060000}"/>
    <cellStyle name="Normal 4 6" xfId="1685" xr:uid="{00000000-0005-0000-0000-000095060000}"/>
    <cellStyle name="Normal 4 6 2" xfId="1686" xr:uid="{00000000-0005-0000-0000-000096060000}"/>
    <cellStyle name="Normal 4 6 2 2" xfId="1687" xr:uid="{00000000-0005-0000-0000-000097060000}"/>
    <cellStyle name="Normal 4 6 2 3" xfId="1688" xr:uid="{00000000-0005-0000-0000-000098060000}"/>
    <cellStyle name="Normal 4 6 3" xfId="1689" xr:uid="{00000000-0005-0000-0000-000099060000}"/>
    <cellStyle name="Normal 4 6 4" xfId="1690" xr:uid="{00000000-0005-0000-0000-00009A060000}"/>
    <cellStyle name="Normal 4 7" xfId="1691" xr:uid="{00000000-0005-0000-0000-00009B060000}"/>
    <cellStyle name="Normal 4 7 2" xfId="1692" xr:uid="{00000000-0005-0000-0000-00009C060000}"/>
    <cellStyle name="Normal 4 7 3" xfId="1693" xr:uid="{00000000-0005-0000-0000-00009D060000}"/>
    <cellStyle name="Normal 4 8" xfId="1694" xr:uid="{00000000-0005-0000-0000-00009E060000}"/>
    <cellStyle name="Normal 4 9" xfId="1695" xr:uid="{00000000-0005-0000-0000-00009F060000}"/>
    <cellStyle name="Normal 40" xfId="1696" xr:uid="{00000000-0005-0000-0000-0000A0060000}"/>
    <cellStyle name="Normal 41" xfId="1697" xr:uid="{00000000-0005-0000-0000-0000A1060000}"/>
    <cellStyle name="Normal 42" xfId="1698" xr:uid="{00000000-0005-0000-0000-0000A2060000}"/>
    <cellStyle name="Normal 43" xfId="1699" xr:uid="{00000000-0005-0000-0000-0000A3060000}"/>
    <cellStyle name="Normal 44" xfId="1700" xr:uid="{00000000-0005-0000-0000-0000A4060000}"/>
    <cellStyle name="Normal 45" xfId="1701" xr:uid="{00000000-0005-0000-0000-0000A5060000}"/>
    <cellStyle name="Normal 46" xfId="1702" xr:uid="{00000000-0005-0000-0000-0000A6060000}"/>
    <cellStyle name="Normal 47" xfId="1703" xr:uid="{00000000-0005-0000-0000-0000A7060000}"/>
    <cellStyle name="Normal 48" xfId="1704" xr:uid="{00000000-0005-0000-0000-0000A8060000}"/>
    <cellStyle name="Normal 49" xfId="1705" xr:uid="{00000000-0005-0000-0000-0000A9060000}"/>
    <cellStyle name="Normal 5" xfId="1706" xr:uid="{00000000-0005-0000-0000-0000AA060000}"/>
    <cellStyle name="Normal 5 10" xfId="1707" xr:uid="{00000000-0005-0000-0000-0000AB060000}"/>
    <cellStyle name="Normal 5 2" xfId="1708" xr:uid="{00000000-0005-0000-0000-0000AC060000}"/>
    <cellStyle name="Normal 5 2 2" xfId="1709" xr:uid="{00000000-0005-0000-0000-0000AD060000}"/>
    <cellStyle name="Normal 5 2 3" xfId="1710" xr:uid="{00000000-0005-0000-0000-0000AE060000}"/>
    <cellStyle name="Normal 5 3" xfId="1711" xr:uid="{00000000-0005-0000-0000-0000AF060000}"/>
    <cellStyle name="Normal 5 3 2" xfId="1712" xr:uid="{00000000-0005-0000-0000-0000B0060000}"/>
    <cellStyle name="Normal 5 4" xfId="1713" xr:uid="{00000000-0005-0000-0000-0000B1060000}"/>
    <cellStyle name="Normal 5 4 2" xfId="1714" xr:uid="{00000000-0005-0000-0000-0000B2060000}"/>
    <cellStyle name="Normal 5 5" xfId="1715" xr:uid="{00000000-0005-0000-0000-0000B3060000}"/>
    <cellStyle name="Normal 5 5 2" xfId="1716" xr:uid="{00000000-0005-0000-0000-0000B4060000}"/>
    <cellStyle name="Normal 5 6" xfId="1717" xr:uid="{00000000-0005-0000-0000-0000B5060000}"/>
    <cellStyle name="Normal 5 6 2" xfId="1718" xr:uid="{00000000-0005-0000-0000-0000B6060000}"/>
    <cellStyle name="Normal 5 7" xfId="1719" xr:uid="{00000000-0005-0000-0000-0000B7060000}"/>
    <cellStyle name="Normal 5 8" xfId="1720" xr:uid="{00000000-0005-0000-0000-0000B8060000}"/>
    <cellStyle name="Normal 5 9" xfId="1721" xr:uid="{00000000-0005-0000-0000-0000B9060000}"/>
    <cellStyle name="Normal 50" xfId="1722" xr:uid="{00000000-0005-0000-0000-0000BA060000}"/>
    <cellStyle name="Normal 51" xfId="1723" xr:uid="{00000000-0005-0000-0000-0000BB060000}"/>
    <cellStyle name="Normal 52" xfId="1724" xr:uid="{00000000-0005-0000-0000-0000BC060000}"/>
    <cellStyle name="Normal 53" xfId="1725" xr:uid="{00000000-0005-0000-0000-0000BD060000}"/>
    <cellStyle name="Normal 54" xfId="1726" xr:uid="{00000000-0005-0000-0000-0000BE060000}"/>
    <cellStyle name="Normal 55" xfId="1727" xr:uid="{00000000-0005-0000-0000-0000BF060000}"/>
    <cellStyle name="Normal 56" xfId="1728" xr:uid="{00000000-0005-0000-0000-0000C0060000}"/>
    <cellStyle name="Normal 57" xfId="1729" xr:uid="{00000000-0005-0000-0000-0000C1060000}"/>
    <cellStyle name="Normal 58" xfId="1730" xr:uid="{00000000-0005-0000-0000-0000C2060000}"/>
    <cellStyle name="Normal 59" xfId="1731" xr:uid="{00000000-0005-0000-0000-0000C3060000}"/>
    <cellStyle name="Normal 6" xfId="1732" xr:uid="{00000000-0005-0000-0000-0000C4060000}"/>
    <cellStyle name="Normal 6 2" xfId="1733" xr:uid="{00000000-0005-0000-0000-0000C5060000}"/>
    <cellStyle name="Normal 6 2 2" xfId="1734" xr:uid="{00000000-0005-0000-0000-0000C6060000}"/>
    <cellStyle name="Normal 6 3" xfId="1735" xr:uid="{00000000-0005-0000-0000-0000C7060000}"/>
    <cellStyle name="Normal 6 3 2" xfId="1736" xr:uid="{00000000-0005-0000-0000-0000C8060000}"/>
    <cellStyle name="Normal 6 4" xfId="1737" xr:uid="{00000000-0005-0000-0000-0000C9060000}"/>
    <cellStyle name="Normal 6 5" xfId="1738" xr:uid="{00000000-0005-0000-0000-0000CA060000}"/>
    <cellStyle name="Normal 60" xfId="1739" xr:uid="{00000000-0005-0000-0000-0000CB060000}"/>
    <cellStyle name="Normal 61" xfId="1740" xr:uid="{00000000-0005-0000-0000-0000CC060000}"/>
    <cellStyle name="Normal 62" xfId="1741" xr:uid="{00000000-0005-0000-0000-0000CD060000}"/>
    <cellStyle name="Normal 63" xfId="1742" xr:uid="{00000000-0005-0000-0000-0000CE060000}"/>
    <cellStyle name="Normal 64" xfId="1743" xr:uid="{00000000-0005-0000-0000-0000CF060000}"/>
    <cellStyle name="Normal 65" xfId="1744" xr:uid="{00000000-0005-0000-0000-0000D0060000}"/>
    <cellStyle name="Normal 66" xfId="1745" xr:uid="{00000000-0005-0000-0000-0000D1060000}"/>
    <cellStyle name="Normal 67" xfId="1746" xr:uid="{00000000-0005-0000-0000-0000D2060000}"/>
    <cellStyle name="Normal 68" xfId="1747" xr:uid="{00000000-0005-0000-0000-0000D3060000}"/>
    <cellStyle name="Normal 69" xfId="1748" xr:uid="{00000000-0005-0000-0000-0000D4060000}"/>
    <cellStyle name="Normal 7" xfId="1749" xr:uid="{00000000-0005-0000-0000-0000D5060000}"/>
    <cellStyle name="Normal 7 2" xfId="1750" xr:uid="{00000000-0005-0000-0000-0000D6060000}"/>
    <cellStyle name="Normal 7 2 2" xfId="1751" xr:uid="{00000000-0005-0000-0000-0000D7060000}"/>
    <cellStyle name="Normal 7 3" xfId="1752" xr:uid="{00000000-0005-0000-0000-0000D8060000}"/>
    <cellStyle name="Normal 7 4" xfId="1753" xr:uid="{00000000-0005-0000-0000-0000D9060000}"/>
    <cellStyle name="Normal 70" xfId="1754" xr:uid="{00000000-0005-0000-0000-0000DA060000}"/>
    <cellStyle name="Normal 71" xfId="1755" xr:uid="{00000000-0005-0000-0000-0000DB060000}"/>
    <cellStyle name="Normal 72" xfId="1756" xr:uid="{00000000-0005-0000-0000-0000DC060000}"/>
    <cellStyle name="Normal 73" xfId="1757" xr:uid="{00000000-0005-0000-0000-0000DD060000}"/>
    <cellStyle name="Normal 74" xfId="1758" xr:uid="{00000000-0005-0000-0000-0000DE060000}"/>
    <cellStyle name="Normal 75" xfId="1759" xr:uid="{00000000-0005-0000-0000-0000DF060000}"/>
    <cellStyle name="Normal 76" xfId="1760" xr:uid="{00000000-0005-0000-0000-0000E0060000}"/>
    <cellStyle name="Normal 77" xfId="1761" xr:uid="{00000000-0005-0000-0000-0000E1060000}"/>
    <cellStyle name="Normal 78" xfId="1762" xr:uid="{00000000-0005-0000-0000-0000E2060000}"/>
    <cellStyle name="Normal 8" xfId="1763" xr:uid="{00000000-0005-0000-0000-0000E3060000}"/>
    <cellStyle name="Normal 8 2" xfId="1764" xr:uid="{00000000-0005-0000-0000-0000E4060000}"/>
    <cellStyle name="Normal 8 2 2" xfId="1765" xr:uid="{00000000-0005-0000-0000-0000E5060000}"/>
    <cellStyle name="Normal 8 2 3" xfId="1766" xr:uid="{00000000-0005-0000-0000-0000E6060000}"/>
    <cellStyle name="Normal 8 3" xfId="1767" xr:uid="{00000000-0005-0000-0000-0000E7060000}"/>
    <cellStyle name="Normal 8 4" xfId="1768" xr:uid="{00000000-0005-0000-0000-0000E8060000}"/>
    <cellStyle name="Normal 8 5" xfId="1769" xr:uid="{00000000-0005-0000-0000-0000E9060000}"/>
    <cellStyle name="Normal 9" xfId="1770" xr:uid="{00000000-0005-0000-0000-0000EA060000}"/>
    <cellStyle name="Normal 9 2" xfId="1771" xr:uid="{00000000-0005-0000-0000-0000EB060000}"/>
    <cellStyle name="Normal 9 2 2" xfId="1772" xr:uid="{00000000-0005-0000-0000-0000EC060000}"/>
    <cellStyle name="Normal 9 3" xfId="1773" xr:uid="{00000000-0005-0000-0000-0000ED060000}"/>
    <cellStyle name="Normal_DBASE.XLS" xfId="1774" xr:uid="{00000000-0005-0000-0000-0000EE060000}"/>
    <cellStyle name="Note 10" xfId="1775" xr:uid="{00000000-0005-0000-0000-0000EF060000}"/>
    <cellStyle name="Note 10 2" xfId="1776" xr:uid="{00000000-0005-0000-0000-0000F0060000}"/>
    <cellStyle name="Note 11" xfId="1777" xr:uid="{00000000-0005-0000-0000-0000F1060000}"/>
    <cellStyle name="Note 11 2" xfId="1778" xr:uid="{00000000-0005-0000-0000-0000F2060000}"/>
    <cellStyle name="Note 12" xfId="1779" xr:uid="{00000000-0005-0000-0000-0000F3060000}"/>
    <cellStyle name="Note 12 2" xfId="1780" xr:uid="{00000000-0005-0000-0000-0000F4060000}"/>
    <cellStyle name="Note 13" xfId="1781" xr:uid="{00000000-0005-0000-0000-0000F5060000}"/>
    <cellStyle name="Note 13 2" xfId="1782" xr:uid="{00000000-0005-0000-0000-0000F6060000}"/>
    <cellStyle name="Note 14" xfId="1783" xr:uid="{00000000-0005-0000-0000-0000F7060000}"/>
    <cellStyle name="Note 14 2" xfId="1784" xr:uid="{00000000-0005-0000-0000-0000F8060000}"/>
    <cellStyle name="Note 15" xfId="1785" xr:uid="{00000000-0005-0000-0000-0000F9060000}"/>
    <cellStyle name="Note 15 2" xfId="1786" xr:uid="{00000000-0005-0000-0000-0000FA060000}"/>
    <cellStyle name="Note 2" xfId="1787" xr:uid="{00000000-0005-0000-0000-0000FB060000}"/>
    <cellStyle name="Note 2 10" xfId="1788" xr:uid="{00000000-0005-0000-0000-0000FC060000}"/>
    <cellStyle name="Note 2 11" xfId="1789" xr:uid="{00000000-0005-0000-0000-0000FD060000}"/>
    <cellStyle name="Note 2 12" xfId="1790" xr:uid="{00000000-0005-0000-0000-0000FE060000}"/>
    <cellStyle name="Note 2 2" xfId="1791" xr:uid="{00000000-0005-0000-0000-0000FF060000}"/>
    <cellStyle name="Note 2 2 2" xfId="1792" xr:uid="{00000000-0005-0000-0000-000000070000}"/>
    <cellStyle name="Note 2 3" xfId="1793" xr:uid="{00000000-0005-0000-0000-000001070000}"/>
    <cellStyle name="Note 2 3 2" xfId="1794" xr:uid="{00000000-0005-0000-0000-000002070000}"/>
    <cellStyle name="Note 2 3 2 2" xfId="1795" xr:uid="{00000000-0005-0000-0000-000003070000}"/>
    <cellStyle name="Note 2 3 2 2 2" xfId="1796" xr:uid="{00000000-0005-0000-0000-000004070000}"/>
    <cellStyle name="Note 2 3 2 2 3" xfId="1797" xr:uid="{00000000-0005-0000-0000-000005070000}"/>
    <cellStyle name="Note 2 3 2 3" xfId="1798" xr:uid="{00000000-0005-0000-0000-000006070000}"/>
    <cellStyle name="Note 2 3 2 4" xfId="1799" xr:uid="{00000000-0005-0000-0000-000007070000}"/>
    <cellStyle name="Note 2 3 3" xfId="1800" xr:uid="{00000000-0005-0000-0000-000008070000}"/>
    <cellStyle name="Note 2 3 3 2" xfId="1801" xr:uid="{00000000-0005-0000-0000-000009070000}"/>
    <cellStyle name="Note 2 3 3 3" xfId="1802" xr:uid="{00000000-0005-0000-0000-00000A070000}"/>
    <cellStyle name="Note 2 3 4" xfId="1803" xr:uid="{00000000-0005-0000-0000-00000B070000}"/>
    <cellStyle name="Note 2 3 5" xfId="1804" xr:uid="{00000000-0005-0000-0000-00000C070000}"/>
    <cellStyle name="Note 2 4" xfId="1805" xr:uid="{00000000-0005-0000-0000-00000D070000}"/>
    <cellStyle name="Note 2 4 2" xfId="1806" xr:uid="{00000000-0005-0000-0000-00000E070000}"/>
    <cellStyle name="Note 2 4 2 2" xfId="1807" xr:uid="{00000000-0005-0000-0000-00000F070000}"/>
    <cellStyle name="Note 2 4 2 3" xfId="1808" xr:uid="{00000000-0005-0000-0000-000010070000}"/>
    <cellStyle name="Note 2 4 3" xfId="1809" xr:uid="{00000000-0005-0000-0000-000011070000}"/>
    <cellStyle name="Note 2 4 3 2" xfId="1810" xr:uid="{00000000-0005-0000-0000-000012070000}"/>
    <cellStyle name="Note 2 4 3 3" xfId="1811" xr:uid="{00000000-0005-0000-0000-000013070000}"/>
    <cellStyle name="Note 2 4 4" xfId="1812" xr:uid="{00000000-0005-0000-0000-000014070000}"/>
    <cellStyle name="Note 2 4 5" xfId="1813" xr:uid="{00000000-0005-0000-0000-000015070000}"/>
    <cellStyle name="Note 2 5" xfId="1814" xr:uid="{00000000-0005-0000-0000-000016070000}"/>
    <cellStyle name="Note 2 5 2" xfId="1815" xr:uid="{00000000-0005-0000-0000-000017070000}"/>
    <cellStyle name="Note 2 5 2 2" xfId="1816" xr:uid="{00000000-0005-0000-0000-000018070000}"/>
    <cellStyle name="Note 2 5 2 3" xfId="1817" xr:uid="{00000000-0005-0000-0000-000019070000}"/>
    <cellStyle name="Note 2 5 3" xfId="1818" xr:uid="{00000000-0005-0000-0000-00001A070000}"/>
    <cellStyle name="Note 2 5 4" xfId="1819" xr:uid="{00000000-0005-0000-0000-00001B070000}"/>
    <cellStyle name="Note 2 6" xfId="1820" xr:uid="{00000000-0005-0000-0000-00001C070000}"/>
    <cellStyle name="Note 2 6 2" xfId="1821" xr:uid="{00000000-0005-0000-0000-00001D070000}"/>
    <cellStyle name="Note 2 6 3" xfId="1822" xr:uid="{00000000-0005-0000-0000-00001E070000}"/>
    <cellStyle name="Note 2 7" xfId="1823" xr:uid="{00000000-0005-0000-0000-00001F070000}"/>
    <cellStyle name="Note 2 8" xfId="1824" xr:uid="{00000000-0005-0000-0000-000020070000}"/>
    <cellStyle name="Note 2 9" xfId="1825" xr:uid="{00000000-0005-0000-0000-000021070000}"/>
    <cellStyle name="Note 3" xfId="1826" xr:uid="{00000000-0005-0000-0000-000022070000}"/>
    <cellStyle name="Note 3 2" xfId="1827" xr:uid="{00000000-0005-0000-0000-000023070000}"/>
    <cellStyle name="Note 3 3" xfId="1828" xr:uid="{00000000-0005-0000-0000-000024070000}"/>
    <cellStyle name="Note 3 4" xfId="1829" xr:uid="{00000000-0005-0000-0000-000025070000}"/>
    <cellStyle name="Note 4" xfId="1830" xr:uid="{00000000-0005-0000-0000-000026070000}"/>
    <cellStyle name="Note 4 2" xfId="1831" xr:uid="{00000000-0005-0000-0000-000027070000}"/>
    <cellStyle name="Note 5" xfId="1832" xr:uid="{00000000-0005-0000-0000-000028070000}"/>
    <cellStyle name="Note 5 2" xfId="1833" xr:uid="{00000000-0005-0000-0000-000029070000}"/>
    <cellStyle name="Note 6" xfId="1834" xr:uid="{00000000-0005-0000-0000-00002A070000}"/>
    <cellStyle name="Note 6 2" xfId="1835" xr:uid="{00000000-0005-0000-0000-00002B070000}"/>
    <cellStyle name="Note 7" xfId="1836" xr:uid="{00000000-0005-0000-0000-00002C070000}"/>
    <cellStyle name="Note 7 2" xfId="1837" xr:uid="{00000000-0005-0000-0000-00002D070000}"/>
    <cellStyle name="Note 8" xfId="1838" xr:uid="{00000000-0005-0000-0000-00002E070000}"/>
    <cellStyle name="Note 8 2" xfId="1839" xr:uid="{00000000-0005-0000-0000-00002F070000}"/>
    <cellStyle name="Note 9" xfId="1840" xr:uid="{00000000-0005-0000-0000-000030070000}"/>
    <cellStyle name="Note 9 2" xfId="1841" xr:uid="{00000000-0005-0000-0000-000031070000}"/>
    <cellStyle name="Output 10" xfId="1842" xr:uid="{00000000-0005-0000-0000-000032070000}"/>
    <cellStyle name="Output 11" xfId="1843" xr:uid="{00000000-0005-0000-0000-000033070000}"/>
    <cellStyle name="Output 12" xfId="1844" xr:uid="{00000000-0005-0000-0000-000034070000}"/>
    <cellStyle name="Output 13" xfId="1845" xr:uid="{00000000-0005-0000-0000-000035070000}"/>
    <cellStyle name="Output 14" xfId="1846" xr:uid="{00000000-0005-0000-0000-000036070000}"/>
    <cellStyle name="Output 15" xfId="1847" xr:uid="{00000000-0005-0000-0000-000037070000}"/>
    <cellStyle name="Output 16" xfId="1848" xr:uid="{00000000-0005-0000-0000-000038070000}"/>
    <cellStyle name="Output 2" xfId="1849" xr:uid="{00000000-0005-0000-0000-000039070000}"/>
    <cellStyle name="Output 2 2" xfId="1850" xr:uid="{00000000-0005-0000-0000-00003A070000}"/>
    <cellStyle name="Output 2 2 2" xfId="1851" xr:uid="{00000000-0005-0000-0000-00003B070000}"/>
    <cellStyle name="Output 2 3" xfId="1852" xr:uid="{00000000-0005-0000-0000-00003C070000}"/>
    <cellStyle name="Output 2 3 2" xfId="1853" xr:uid="{00000000-0005-0000-0000-00003D070000}"/>
    <cellStyle name="Output 2 4" xfId="1854" xr:uid="{00000000-0005-0000-0000-00003E070000}"/>
    <cellStyle name="Output 2 5" xfId="1855" xr:uid="{00000000-0005-0000-0000-00003F070000}"/>
    <cellStyle name="Output 2 6" xfId="1856" xr:uid="{00000000-0005-0000-0000-000040070000}"/>
    <cellStyle name="Output 3" xfId="1857" xr:uid="{00000000-0005-0000-0000-000041070000}"/>
    <cellStyle name="Output 3 2" xfId="1858" xr:uid="{00000000-0005-0000-0000-000042070000}"/>
    <cellStyle name="Output 3 3" xfId="1859" xr:uid="{00000000-0005-0000-0000-000043070000}"/>
    <cellStyle name="Output 4" xfId="1860" xr:uid="{00000000-0005-0000-0000-000044070000}"/>
    <cellStyle name="Output 4 2" xfId="1861" xr:uid="{00000000-0005-0000-0000-000045070000}"/>
    <cellStyle name="Output 5" xfId="1862" xr:uid="{00000000-0005-0000-0000-000046070000}"/>
    <cellStyle name="Output 6" xfId="1863" xr:uid="{00000000-0005-0000-0000-000047070000}"/>
    <cellStyle name="Output 7" xfId="1864" xr:uid="{00000000-0005-0000-0000-000048070000}"/>
    <cellStyle name="Output 8" xfId="1865" xr:uid="{00000000-0005-0000-0000-000049070000}"/>
    <cellStyle name="Output 9" xfId="1866" xr:uid="{00000000-0005-0000-0000-00004A070000}"/>
    <cellStyle name="Percent" xfId="1867" builtinId="5"/>
    <cellStyle name="Percent [2]" xfId="1868" xr:uid="{00000000-0005-0000-0000-00004C070000}"/>
    <cellStyle name="Percent [2] 2" xfId="1869" xr:uid="{00000000-0005-0000-0000-00004D070000}"/>
    <cellStyle name="Percent [2] 2 2" xfId="1870" xr:uid="{00000000-0005-0000-0000-00004E070000}"/>
    <cellStyle name="Percent [2] 3" xfId="1871" xr:uid="{00000000-0005-0000-0000-00004F070000}"/>
    <cellStyle name="Percent 10" xfId="1872" xr:uid="{00000000-0005-0000-0000-000050070000}"/>
    <cellStyle name="Percent 10 2" xfId="1873" xr:uid="{00000000-0005-0000-0000-000051070000}"/>
    <cellStyle name="Percent 10 3" xfId="1874" xr:uid="{00000000-0005-0000-0000-000052070000}"/>
    <cellStyle name="Percent 100" xfId="1875" xr:uid="{00000000-0005-0000-0000-000053070000}"/>
    <cellStyle name="Percent 101" xfId="1876" xr:uid="{00000000-0005-0000-0000-000054070000}"/>
    <cellStyle name="Percent 102" xfId="1877" xr:uid="{00000000-0005-0000-0000-000055070000}"/>
    <cellStyle name="Percent 103" xfId="1878" xr:uid="{00000000-0005-0000-0000-000056070000}"/>
    <cellStyle name="Percent 104" xfId="1879" xr:uid="{00000000-0005-0000-0000-000057070000}"/>
    <cellStyle name="Percent 105" xfId="1880" xr:uid="{00000000-0005-0000-0000-000058070000}"/>
    <cellStyle name="Percent 106" xfId="1881" xr:uid="{00000000-0005-0000-0000-000059070000}"/>
    <cellStyle name="Percent 107" xfId="1882" xr:uid="{00000000-0005-0000-0000-00005A070000}"/>
    <cellStyle name="Percent 108" xfId="1883" xr:uid="{00000000-0005-0000-0000-00005B070000}"/>
    <cellStyle name="Percent 109" xfId="1884" xr:uid="{00000000-0005-0000-0000-00005C070000}"/>
    <cellStyle name="Percent 11" xfId="1885" xr:uid="{00000000-0005-0000-0000-00005D070000}"/>
    <cellStyle name="Percent 11 2" xfId="1886" xr:uid="{00000000-0005-0000-0000-00005E070000}"/>
    <cellStyle name="Percent 11 3" xfId="1887" xr:uid="{00000000-0005-0000-0000-00005F070000}"/>
    <cellStyle name="Percent 110" xfId="1888" xr:uid="{00000000-0005-0000-0000-000060070000}"/>
    <cellStyle name="Percent 111" xfId="1889" xr:uid="{00000000-0005-0000-0000-000061070000}"/>
    <cellStyle name="Percent 112" xfId="1890" xr:uid="{00000000-0005-0000-0000-000062070000}"/>
    <cellStyle name="Percent 113" xfId="1891" xr:uid="{00000000-0005-0000-0000-000063070000}"/>
    <cellStyle name="Percent 114" xfId="1892" xr:uid="{00000000-0005-0000-0000-000064070000}"/>
    <cellStyle name="Percent 115" xfId="1893" xr:uid="{00000000-0005-0000-0000-000065070000}"/>
    <cellStyle name="Percent 116" xfId="1894" xr:uid="{00000000-0005-0000-0000-000066070000}"/>
    <cellStyle name="Percent 117" xfId="1895" xr:uid="{00000000-0005-0000-0000-000067070000}"/>
    <cellStyle name="Percent 118" xfId="1896" xr:uid="{00000000-0005-0000-0000-000068070000}"/>
    <cellStyle name="Percent 119" xfId="1897" xr:uid="{00000000-0005-0000-0000-000069070000}"/>
    <cellStyle name="Percent 12" xfId="1898" xr:uid="{00000000-0005-0000-0000-00006A070000}"/>
    <cellStyle name="Percent 12 2" xfId="1899" xr:uid="{00000000-0005-0000-0000-00006B070000}"/>
    <cellStyle name="Percent 12 3" xfId="1900" xr:uid="{00000000-0005-0000-0000-00006C070000}"/>
    <cellStyle name="Percent 120" xfId="1901" xr:uid="{00000000-0005-0000-0000-00006D070000}"/>
    <cellStyle name="Percent 121" xfId="1902" xr:uid="{00000000-0005-0000-0000-00006E070000}"/>
    <cellStyle name="Percent 122" xfId="1903" xr:uid="{00000000-0005-0000-0000-00006F070000}"/>
    <cellStyle name="Percent 123" xfId="1904" xr:uid="{00000000-0005-0000-0000-000070070000}"/>
    <cellStyle name="Percent 124" xfId="1905" xr:uid="{00000000-0005-0000-0000-000071070000}"/>
    <cellStyle name="Percent 125" xfId="1906" xr:uid="{00000000-0005-0000-0000-000072070000}"/>
    <cellStyle name="Percent 126" xfId="1907" xr:uid="{00000000-0005-0000-0000-000073070000}"/>
    <cellStyle name="Percent 127" xfId="1908" xr:uid="{00000000-0005-0000-0000-000074070000}"/>
    <cellStyle name="Percent 128" xfId="1909" xr:uid="{00000000-0005-0000-0000-000075070000}"/>
    <cellStyle name="Percent 13" xfId="1910" xr:uid="{00000000-0005-0000-0000-000076070000}"/>
    <cellStyle name="Percent 13 2" xfId="1911" xr:uid="{00000000-0005-0000-0000-000077070000}"/>
    <cellStyle name="Percent 13 3" xfId="1912" xr:uid="{00000000-0005-0000-0000-000078070000}"/>
    <cellStyle name="Percent 14" xfId="1913" xr:uid="{00000000-0005-0000-0000-000079070000}"/>
    <cellStyle name="Percent 14 2" xfId="1914" xr:uid="{00000000-0005-0000-0000-00007A070000}"/>
    <cellStyle name="Percent 14 3" xfId="1915" xr:uid="{00000000-0005-0000-0000-00007B070000}"/>
    <cellStyle name="Percent 15" xfId="1916" xr:uid="{00000000-0005-0000-0000-00007C070000}"/>
    <cellStyle name="Percent 15 2" xfId="1917" xr:uid="{00000000-0005-0000-0000-00007D070000}"/>
    <cellStyle name="Percent 15 3" xfId="1918" xr:uid="{00000000-0005-0000-0000-00007E070000}"/>
    <cellStyle name="Percent 16" xfId="1919" xr:uid="{00000000-0005-0000-0000-00007F070000}"/>
    <cellStyle name="Percent 16 2" xfId="1920" xr:uid="{00000000-0005-0000-0000-000080070000}"/>
    <cellStyle name="Percent 16 3" xfId="1921" xr:uid="{00000000-0005-0000-0000-000081070000}"/>
    <cellStyle name="Percent 17" xfId="1922" xr:uid="{00000000-0005-0000-0000-000082070000}"/>
    <cellStyle name="Percent 17 2" xfId="1923" xr:uid="{00000000-0005-0000-0000-000083070000}"/>
    <cellStyle name="Percent 17 3" xfId="1924" xr:uid="{00000000-0005-0000-0000-000084070000}"/>
    <cellStyle name="Percent 18" xfId="1925" xr:uid="{00000000-0005-0000-0000-000085070000}"/>
    <cellStyle name="Percent 18 2" xfId="1926" xr:uid="{00000000-0005-0000-0000-000086070000}"/>
    <cellStyle name="Percent 18 3" xfId="1927" xr:uid="{00000000-0005-0000-0000-000087070000}"/>
    <cellStyle name="Percent 19" xfId="1928" xr:uid="{00000000-0005-0000-0000-000088070000}"/>
    <cellStyle name="Percent 19 2" xfId="1929" xr:uid="{00000000-0005-0000-0000-000089070000}"/>
    <cellStyle name="Percent 19 3" xfId="1930" xr:uid="{00000000-0005-0000-0000-00008A070000}"/>
    <cellStyle name="Percent 2" xfId="1931" xr:uid="{00000000-0005-0000-0000-00008B070000}"/>
    <cellStyle name="Percent 2 2" xfId="1932" xr:uid="{00000000-0005-0000-0000-00008C070000}"/>
    <cellStyle name="Percent 2 2 2" xfId="1933" xr:uid="{00000000-0005-0000-0000-00008D070000}"/>
    <cellStyle name="Percent 2 2 3" xfId="1934" xr:uid="{00000000-0005-0000-0000-00008E070000}"/>
    <cellStyle name="Percent 2 3" xfId="1935" xr:uid="{00000000-0005-0000-0000-00008F070000}"/>
    <cellStyle name="Percent 2 3 2" xfId="1936" xr:uid="{00000000-0005-0000-0000-000090070000}"/>
    <cellStyle name="Percent 2 4" xfId="1937" xr:uid="{00000000-0005-0000-0000-000091070000}"/>
    <cellStyle name="Percent 2 5" xfId="1938" xr:uid="{00000000-0005-0000-0000-000092070000}"/>
    <cellStyle name="Percent 2 6" xfId="1939" xr:uid="{00000000-0005-0000-0000-000093070000}"/>
    <cellStyle name="Percent 20" xfId="1940" xr:uid="{00000000-0005-0000-0000-000094070000}"/>
    <cellStyle name="Percent 20 2" xfId="1941" xr:uid="{00000000-0005-0000-0000-000095070000}"/>
    <cellStyle name="Percent 20 3" xfId="1942" xr:uid="{00000000-0005-0000-0000-000096070000}"/>
    <cellStyle name="Percent 21" xfId="1943" xr:uid="{00000000-0005-0000-0000-000097070000}"/>
    <cellStyle name="Percent 21 2" xfId="1944" xr:uid="{00000000-0005-0000-0000-000098070000}"/>
    <cellStyle name="Percent 22" xfId="1945" xr:uid="{00000000-0005-0000-0000-000099070000}"/>
    <cellStyle name="Percent 22 2" xfId="1946" xr:uid="{00000000-0005-0000-0000-00009A070000}"/>
    <cellStyle name="Percent 23" xfId="1947" xr:uid="{00000000-0005-0000-0000-00009B070000}"/>
    <cellStyle name="Percent 23 2" xfId="1948" xr:uid="{00000000-0005-0000-0000-00009C070000}"/>
    <cellStyle name="Percent 24" xfId="1949" xr:uid="{00000000-0005-0000-0000-00009D070000}"/>
    <cellStyle name="Percent 24 2" xfId="1950" xr:uid="{00000000-0005-0000-0000-00009E070000}"/>
    <cellStyle name="Percent 25" xfId="1951" xr:uid="{00000000-0005-0000-0000-00009F070000}"/>
    <cellStyle name="Percent 25 2" xfId="1952" xr:uid="{00000000-0005-0000-0000-0000A0070000}"/>
    <cellStyle name="Percent 26" xfId="1953" xr:uid="{00000000-0005-0000-0000-0000A1070000}"/>
    <cellStyle name="Percent 26 2" xfId="1954" xr:uid="{00000000-0005-0000-0000-0000A2070000}"/>
    <cellStyle name="Percent 27" xfId="1955" xr:uid="{00000000-0005-0000-0000-0000A3070000}"/>
    <cellStyle name="Percent 27 2" xfId="1956" xr:uid="{00000000-0005-0000-0000-0000A4070000}"/>
    <cellStyle name="Percent 28" xfId="1957" xr:uid="{00000000-0005-0000-0000-0000A5070000}"/>
    <cellStyle name="Percent 28 2" xfId="1958" xr:uid="{00000000-0005-0000-0000-0000A6070000}"/>
    <cellStyle name="Percent 29" xfId="1959" xr:uid="{00000000-0005-0000-0000-0000A7070000}"/>
    <cellStyle name="Percent 29 2" xfId="1960" xr:uid="{00000000-0005-0000-0000-0000A8070000}"/>
    <cellStyle name="Percent 3" xfId="1961" xr:uid="{00000000-0005-0000-0000-0000A9070000}"/>
    <cellStyle name="Percent 3 2" xfId="1962" xr:uid="{00000000-0005-0000-0000-0000AA070000}"/>
    <cellStyle name="Percent 3 2 2" xfId="1963" xr:uid="{00000000-0005-0000-0000-0000AB070000}"/>
    <cellStyle name="Percent 3 2 3" xfId="1964" xr:uid="{00000000-0005-0000-0000-0000AC070000}"/>
    <cellStyle name="Percent 3 3" xfId="1965" xr:uid="{00000000-0005-0000-0000-0000AD070000}"/>
    <cellStyle name="Percent 3 3 2" xfId="1966" xr:uid="{00000000-0005-0000-0000-0000AE070000}"/>
    <cellStyle name="Percent 3 4" xfId="1967" xr:uid="{00000000-0005-0000-0000-0000AF070000}"/>
    <cellStyle name="Percent 3 4 2" xfId="1968" xr:uid="{00000000-0005-0000-0000-0000B0070000}"/>
    <cellStyle name="Percent 3 5" xfId="1969" xr:uid="{00000000-0005-0000-0000-0000B1070000}"/>
    <cellStyle name="Percent 3 6" xfId="1970" xr:uid="{00000000-0005-0000-0000-0000B2070000}"/>
    <cellStyle name="Percent 3 7" xfId="1971" xr:uid="{00000000-0005-0000-0000-0000B3070000}"/>
    <cellStyle name="Percent 30" xfId="1972" xr:uid="{00000000-0005-0000-0000-0000B4070000}"/>
    <cellStyle name="Percent 30 2" xfId="1973" xr:uid="{00000000-0005-0000-0000-0000B5070000}"/>
    <cellStyle name="Percent 31" xfId="1974" xr:uid="{00000000-0005-0000-0000-0000B6070000}"/>
    <cellStyle name="Percent 31 2" xfId="1975" xr:uid="{00000000-0005-0000-0000-0000B7070000}"/>
    <cellStyle name="Percent 32" xfId="1976" xr:uid="{00000000-0005-0000-0000-0000B8070000}"/>
    <cellStyle name="Percent 32 2" xfId="1977" xr:uid="{00000000-0005-0000-0000-0000B9070000}"/>
    <cellStyle name="Percent 33" xfId="1978" xr:uid="{00000000-0005-0000-0000-0000BA070000}"/>
    <cellStyle name="Percent 33 2" xfId="1979" xr:uid="{00000000-0005-0000-0000-0000BB070000}"/>
    <cellStyle name="Percent 34" xfId="1980" xr:uid="{00000000-0005-0000-0000-0000BC070000}"/>
    <cellStyle name="Percent 35" xfId="1981" xr:uid="{00000000-0005-0000-0000-0000BD070000}"/>
    <cellStyle name="Percent 35 2" xfId="1982" xr:uid="{00000000-0005-0000-0000-0000BE070000}"/>
    <cellStyle name="Percent 36" xfId="1983" xr:uid="{00000000-0005-0000-0000-0000BF070000}"/>
    <cellStyle name="Percent 37" xfId="1984" xr:uid="{00000000-0005-0000-0000-0000C0070000}"/>
    <cellStyle name="Percent 38" xfId="1985" xr:uid="{00000000-0005-0000-0000-0000C1070000}"/>
    <cellStyle name="Percent 39" xfId="1986" xr:uid="{00000000-0005-0000-0000-0000C2070000}"/>
    <cellStyle name="Percent 4" xfId="1987" xr:uid="{00000000-0005-0000-0000-0000C3070000}"/>
    <cellStyle name="Percent 4 2" xfId="1988" xr:uid="{00000000-0005-0000-0000-0000C4070000}"/>
    <cellStyle name="Percent 4 2 2" xfId="1989" xr:uid="{00000000-0005-0000-0000-0000C5070000}"/>
    <cellStyle name="Percent 4 3" xfId="1990" xr:uid="{00000000-0005-0000-0000-0000C6070000}"/>
    <cellStyle name="Percent 4 3 2" xfId="1991" xr:uid="{00000000-0005-0000-0000-0000C7070000}"/>
    <cellStyle name="Percent 4 3 3" xfId="1992" xr:uid="{00000000-0005-0000-0000-0000C8070000}"/>
    <cellStyle name="Percent 4 4" xfId="1993" xr:uid="{00000000-0005-0000-0000-0000C9070000}"/>
    <cellStyle name="Percent 4 4 2" xfId="1994" xr:uid="{00000000-0005-0000-0000-0000CA070000}"/>
    <cellStyle name="Percent 4 5" xfId="1995" xr:uid="{00000000-0005-0000-0000-0000CB070000}"/>
    <cellStyle name="Percent 4 6" xfId="1996" xr:uid="{00000000-0005-0000-0000-0000CC070000}"/>
    <cellStyle name="Percent 40" xfId="1997" xr:uid="{00000000-0005-0000-0000-0000CD070000}"/>
    <cellStyle name="Percent 41" xfId="1998" xr:uid="{00000000-0005-0000-0000-0000CE070000}"/>
    <cellStyle name="Percent 42" xfId="1999" xr:uid="{00000000-0005-0000-0000-0000CF070000}"/>
    <cellStyle name="Percent 43" xfId="2000" xr:uid="{00000000-0005-0000-0000-0000D0070000}"/>
    <cellStyle name="Percent 44" xfId="2001" xr:uid="{00000000-0005-0000-0000-0000D1070000}"/>
    <cellStyle name="Percent 45" xfId="2002" xr:uid="{00000000-0005-0000-0000-0000D2070000}"/>
    <cellStyle name="Percent 46" xfId="2003" xr:uid="{00000000-0005-0000-0000-0000D3070000}"/>
    <cellStyle name="Percent 47" xfId="2004" xr:uid="{00000000-0005-0000-0000-0000D4070000}"/>
    <cellStyle name="Percent 48" xfId="2005" xr:uid="{00000000-0005-0000-0000-0000D5070000}"/>
    <cellStyle name="Percent 49" xfId="2006" xr:uid="{00000000-0005-0000-0000-0000D6070000}"/>
    <cellStyle name="Percent 5" xfId="2007" xr:uid="{00000000-0005-0000-0000-0000D7070000}"/>
    <cellStyle name="Percent 5 2" xfId="2008" xr:uid="{00000000-0005-0000-0000-0000D8070000}"/>
    <cellStyle name="Percent 5 2 2" xfId="2009" xr:uid="{00000000-0005-0000-0000-0000D9070000}"/>
    <cellStyle name="Percent 50" xfId="2010" xr:uid="{00000000-0005-0000-0000-0000DA070000}"/>
    <cellStyle name="Percent 51" xfId="2011" xr:uid="{00000000-0005-0000-0000-0000DB070000}"/>
    <cellStyle name="Percent 52" xfId="2012" xr:uid="{00000000-0005-0000-0000-0000DC070000}"/>
    <cellStyle name="Percent 53" xfId="2013" xr:uid="{00000000-0005-0000-0000-0000DD070000}"/>
    <cellStyle name="Percent 54" xfId="2014" xr:uid="{00000000-0005-0000-0000-0000DE070000}"/>
    <cellStyle name="Percent 55" xfId="2015" xr:uid="{00000000-0005-0000-0000-0000DF070000}"/>
    <cellStyle name="Percent 56" xfId="2016" xr:uid="{00000000-0005-0000-0000-0000E0070000}"/>
    <cellStyle name="Percent 57" xfId="2017" xr:uid="{00000000-0005-0000-0000-0000E1070000}"/>
    <cellStyle name="Percent 58" xfId="2018" xr:uid="{00000000-0005-0000-0000-0000E2070000}"/>
    <cellStyle name="Percent 59" xfId="2019" xr:uid="{00000000-0005-0000-0000-0000E3070000}"/>
    <cellStyle name="Percent 6" xfId="2020" xr:uid="{00000000-0005-0000-0000-0000E4070000}"/>
    <cellStyle name="Percent 6 2" xfId="2021" xr:uid="{00000000-0005-0000-0000-0000E5070000}"/>
    <cellStyle name="Percent 6 2 2" xfId="2022" xr:uid="{00000000-0005-0000-0000-0000E6070000}"/>
    <cellStyle name="Percent 6 3" xfId="2023" xr:uid="{00000000-0005-0000-0000-0000E7070000}"/>
    <cellStyle name="Percent 6 3 2" xfId="2024" xr:uid="{00000000-0005-0000-0000-0000E8070000}"/>
    <cellStyle name="Percent 6 4" xfId="2025" xr:uid="{00000000-0005-0000-0000-0000E9070000}"/>
    <cellStyle name="Percent 6 4 2" xfId="2026" xr:uid="{00000000-0005-0000-0000-0000EA070000}"/>
    <cellStyle name="Percent 6 5" xfId="2027" xr:uid="{00000000-0005-0000-0000-0000EB070000}"/>
    <cellStyle name="Percent 60" xfId="2028" xr:uid="{00000000-0005-0000-0000-0000EC070000}"/>
    <cellStyle name="Percent 61" xfId="2029" xr:uid="{00000000-0005-0000-0000-0000ED070000}"/>
    <cellStyle name="Percent 62" xfId="2030" xr:uid="{00000000-0005-0000-0000-0000EE070000}"/>
    <cellStyle name="Percent 63" xfId="2031" xr:uid="{00000000-0005-0000-0000-0000EF070000}"/>
    <cellStyle name="Percent 64" xfId="2032" xr:uid="{00000000-0005-0000-0000-0000F0070000}"/>
    <cellStyle name="Percent 65" xfId="2033" xr:uid="{00000000-0005-0000-0000-0000F1070000}"/>
    <cellStyle name="Percent 66" xfId="2034" xr:uid="{00000000-0005-0000-0000-0000F2070000}"/>
    <cellStyle name="Percent 67" xfId="2035" xr:uid="{00000000-0005-0000-0000-0000F3070000}"/>
    <cellStyle name="Percent 68" xfId="2036" xr:uid="{00000000-0005-0000-0000-0000F4070000}"/>
    <cellStyle name="Percent 69" xfId="2037" xr:uid="{00000000-0005-0000-0000-0000F5070000}"/>
    <cellStyle name="Percent 7" xfId="2038" xr:uid="{00000000-0005-0000-0000-0000F6070000}"/>
    <cellStyle name="Percent 7 2" xfId="2039" xr:uid="{00000000-0005-0000-0000-0000F7070000}"/>
    <cellStyle name="Percent 7 3" xfId="2040" xr:uid="{00000000-0005-0000-0000-0000F8070000}"/>
    <cellStyle name="Percent 70" xfId="2041" xr:uid="{00000000-0005-0000-0000-0000F9070000}"/>
    <cellStyle name="Percent 71" xfId="2042" xr:uid="{00000000-0005-0000-0000-0000FA070000}"/>
    <cellStyle name="Percent 72" xfId="2043" xr:uid="{00000000-0005-0000-0000-0000FB070000}"/>
    <cellStyle name="Percent 73" xfId="2044" xr:uid="{00000000-0005-0000-0000-0000FC070000}"/>
    <cellStyle name="Percent 74" xfId="2045" xr:uid="{00000000-0005-0000-0000-0000FD070000}"/>
    <cellStyle name="Percent 75" xfId="2046" xr:uid="{00000000-0005-0000-0000-0000FE070000}"/>
    <cellStyle name="Percent 76" xfId="2047" xr:uid="{00000000-0005-0000-0000-0000FF070000}"/>
    <cellStyle name="Percent 77" xfId="2048" xr:uid="{00000000-0005-0000-0000-000000080000}"/>
    <cellStyle name="Percent 78" xfId="2049" xr:uid="{00000000-0005-0000-0000-000001080000}"/>
    <cellStyle name="Percent 79" xfId="2050" xr:uid="{00000000-0005-0000-0000-000002080000}"/>
    <cellStyle name="Percent 8" xfId="2051" xr:uid="{00000000-0005-0000-0000-000003080000}"/>
    <cellStyle name="Percent 8 2" xfId="2052" xr:uid="{00000000-0005-0000-0000-000004080000}"/>
    <cellStyle name="Percent 8 3" xfId="2053" xr:uid="{00000000-0005-0000-0000-000005080000}"/>
    <cellStyle name="Percent 80" xfId="2054" xr:uid="{00000000-0005-0000-0000-000006080000}"/>
    <cellStyle name="Percent 81" xfId="2055" xr:uid="{00000000-0005-0000-0000-000007080000}"/>
    <cellStyle name="Percent 82" xfId="2056" xr:uid="{00000000-0005-0000-0000-000008080000}"/>
    <cellStyle name="Percent 83" xfId="2057" xr:uid="{00000000-0005-0000-0000-000009080000}"/>
    <cellStyle name="Percent 84" xfId="2058" xr:uid="{00000000-0005-0000-0000-00000A080000}"/>
    <cellStyle name="Percent 85" xfId="2059" xr:uid="{00000000-0005-0000-0000-00000B080000}"/>
    <cellStyle name="Percent 86" xfId="2060" xr:uid="{00000000-0005-0000-0000-00000C080000}"/>
    <cellStyle name="Percent 87" xfId="2061" xr:uid="{00000000-0005-0000-0000-00000D080000}"/>
    <cellStyle name="Percent 88" xfId="2062" xr:uid="{00000000-0005-0000-0000-00000E080000}"/>
    <cellStyle name="Percent 89" xfId="2063" xr:uid="{00000000-0005-0000-0000-00000F080000}"/>
    <cellStyle name="Percent 9" xfId="2064" xr:uid="{00000000-0005-0000-0000-000010080000}"/>
    <cellStyle name="Percent 9 2" xfId="2065" xr:uid="{00000000-0005-0000-0000-000011080000}"/>
    <cellStyle name="Percent 9 3" xfId="2066" xr:uid="{00000000-0005-0000-0000-000012080000}"/>
    <cellStyle name="Percent 90" xfId="2067" xr:uid="{00000000-0005-0000-0000-000013080000}"/>
    <cellStyle name="Percent 91" xfId="2068" xr:uid="{00000000-0005-0000-0000-000014080000}"/>
    <cellStyle name="Percent 92" xfId="2069" xr:uid="{00000000-0005-0000-0000-000015080000}"/>
    <cellStyle name="Percent 93" xfId="2070" xr:uid="{00000000-0005-0000-0000-000016080000}"/>
    <cellStyle name="Percent 94" xfId="2071" xr:uid="{00000000-0005-0000-0000-000017080000}"/>
    <cellStyle name="Percent 95" xfId="2072" xr:uid="{00000000-0005-0000-0000-000018080000}"/>
    <cellStyle name="Percent 96" xfId="2073" xr:uid="{00000000-0005-0000-0000-000019080000}"/>
    <cellStyle name="Percent 97" xfId="2074" xr:uid="{00000000-0005-0000-0000-00001A080000}"/>
    <cellStyle name="Percent 98" xfId="2075" xr:uid="{00000000-0005-0000-0000-00001B080000}"/>
    <cellStyle name="Percent 99" xfId="2076" xr:uid="{00000000-0005-0000-0000-00001C080000}"/>
    <cellStyle name="PSChar" xfId="2077" xr:uid="{00000000-0005-0000-0000-00001D080000}"/>
    <cellStyle name="PSChar 2" xfId="2078" xr:uid="{00000000-0005-0000-0000-00001E080000}"/>
    <cellStyle name="STYLE1" xfId="2079" xr:uid="{00000000-0005-0000-0000-00001F080000}"/>
    <cellStyle name="STYLE2" xfId="2080" xr:uid="{00000000-0005-0000-0000-000020080000}"/>
    <cellStyle name="STYLE3" xfId="2081" xr:uid="{00000000-0005-0000-0000-000021080000}"/>
    <cellStyle name="Title 2" xfId="2082" xr:uid="{00000000-0005-0000-0000-000022080000}"/>
    <cellStyle name="Title 2 2" xfId="2083" xr:uid="{00000000-0005-0000-0000-000023080000}"/>
    <cellStyle name="Title 2 2 2" xfId="2084" xr:uid="{00000000-0005-0000-0000-000024080000}"/>
    <cellStyle name="Title 2 3" xfId="2085" xr:uid="{00000000-0005-0000-0000-000025080000}"/>
    <cellStyle name="Title 2 3 2" xfId="2086" xr:uid="{00000000-0005-0000-0000-000026080000}"/>
    <cellStyle name="Title 2 4" xfId="2087" xr:uid="{00000000-0005-0000-0000-000027080000}"/>
    <cellStyle name="Title 2 5" xfId="2088" xr:uid="{00000000-0005-0000-0000-000028080000}"/>
    <cellStyle name="Title 3" xfId="2089" xr:uid="{00000000-0005-0000-0000-000029080000}"/>
    <cellStyle name="Title 3 2" xfId="2090" xr:uid="{00000000-0005-0000-0000-00002A080000}"/>
    <cellStyle name="Title 4" xfId="2091" xr:uid="{00000000-0005-0000-0000-00002B080000}"/>
    <cellStyle name="Title 5" xfId="2092" xr:uid="{00000000-0005-0000-0000-00002C080000}"/>
    <cellStyle name="Title 6" xfId="2093" xr:uid="{00000000-0005-0000-0000-00002D080000}"/>
    <cellStyle name="Total 10" xfId="2094" xr:uid="{00000000-0005-0000-0000-00002E080000}"/>
    <cellStyle name="Total 11" xfId="2095" xr:uid="{00000000-0005-0000-0000-00002F080000}"/>
    <cellStyle name="Total 12" xfId="2096" xr:uid="{00000000-0005-0000-0000-000030080000}"/>
    <cellStyle name="Total 13" xfId="2097" xr:uid="{00000000-0005-0000-0000-000031080000}"/>
    <cellStyle name="Total 14" xfId="2098" xr:uid="{00000000-0005-0000-0000-000032080000}"/>
    <cellStyle name="Total 15" xfId="2099" xr:uid="{00000000-0005-0000-0000-000033080000}"/>
    <cellStyle name="Total 16" xfId="2100" xr:uid="{00000000-0005-0000-0000-000034080000}"/>
    <cellStyle name="Total 2" xfId="2101" xr:uid="{00000000-0005-0000-0000-000035080000}"/>
    <cellStyle name="Total 2 2" xfId="2102" xr:uid="{00000000-0005-0000-0000-000036080000}"/>
    <cellStyle name="Total 2 2 2" xfId="2103" xr:uid="{00000000-0005-0000-0000-000037080000}"/>
    <cellStyle name="Total 2 3" xfId="2104" xr:uid="{00000000-0005-0000-0000-000038080000}"/>
    <cellStyle name="Total 2 3 2" xfId="2105" xr:uid="{00000000-0005-0000-0000-000039080000}"/>
    <cellStyle name="Total 2 4" xfId="2106" xr:uid="{00000000-0005-0000-0000-00003A080000}"/>
    <cellStyle name="Total 2 4 2" xfId="2107" xr:uid="{00000000-0005-0000-0000-00003B080000}"/>
    <cellStyle name="Total 2 5" xfId="2108" xr:uid="{00000000-0005-0000-0000-00003C080000}"/>
    <cellStyle name="Total 2 6" xfId="2109" xr:uid="{00000000-0005-0000-0000-00003D080000}"/>
    <cellStyle name="Total 3" xfId="2110" xr:uid="{00000000-0005-0000-0000-00003E080000}"/>
    <cellStyle name="Total 3 2" xfId="2111" xr:uid="{00000000-0005-0000-0000-00003F080000}"/>
    <cellStyle name="Total 4" xfId="2112" xr:uid="{00000000-0005-0000-0000-000040080000}"/>
    <cellStyle name="Total 4 2" xfId="2113" xr:uid="{00000000-0005-0000-0000-000041080000}"/>
    <cellStyle name="Total 4 3" xfId="2114" xr:uid="{00000000-0005-0000-0000-000042080000}"/>
    <cellStyle name="Total 5" xfId="2115" xr:uid="{00000000-0005-0000-0000-000043080000}"/>
    <cellStyle name="Total 6" xfId="2116" xr:uid="{00000000-0005-0000-0000-000044080000}"/>
    <cellStyle name="Total 7" xfId="2117" xr:uid="{00000000-0005-0000-0000-000045080000}"/>
    <cellStyle name="Total 8" xfId="2118" xr:uid="{00000000-0005-0000-0000-000046080000}"/>
    <cellStyle name="Total 9" xfId="2119" xr:uid="{00000000-0005-0000-0000-000047080000}"/>
    <cellStyle name="Warning Text" xfId="2120" builtinId="11" customBuiltin="1"/>
    <cellStyle name="Warning Text 10" xfId="2121" xr:uid="{00000000-0005-0000-0000-000049080000}"/>
    <cellStyle name="Warning Text 11" xfId="2122" xr:uid="{00000000-0005-0000-0000-00004A080000}"/>
    <cellStyle name="Warning Text 12" xfId="2123" xr:uid="{00000000-0005-0000-0000-00004B080000}"/>
    <cellStyle name="Warning Text 13" xfId="2124" xr:uid="{00000000-0005-0000-0000-00004C080000}"/>
    <cellStyle name="Warning Text 14" xfId="2125" xr:uid="{00000000-0005-0000-0000-00004D080000}"/>
    <cellStyle name="Warning Text 15" xfId="2126" xr:uid="{00000000-0005-0000-0000-00004E080000}"/>
    <cellStyle name="Warning Text 2" xfId="2127" xr:uid="{00000000-0005-0000-0000-00004F080000}"/>
    <cellStyle name="Warning Text 2 2" xfId="2128" xr:uid="{00000000-0005-0000-0000-000050080000}"/>
    <cellStyle name="Warning Text 2 2 2" xfId="2129" xr:uid="{00000000-0005-0000-0000-000051080000}"/>
    <cellStyle name="Warning Text 2 3" xfId="2130" xr:uid="{00000000-0005-0000-0000-000052080000}"/>
    <cellStyle name="Warning Text 2 3 2" xfId="2131" xr:uid="{00000000-0005-0000-0000-000053080000}"/>
    <cellStyle name="Warning Text 2 4" xfId="2132" xr:uid="{00000000-0005-0000-0000-000054080000}"/>
    <cellStyle name="Warning Text 2 5" xfId="2133" xr:uid="{00000000-0005-0000-0000-000055080000}"/>
    <cellStyle name="Warning Text 3" xfId="2134" xr:uid="{00000000-0005-0000-0000-000056080000}"/>
    <cellStyle name="Warning Text 3 2" xfId="2135" xr:uid="{00000000-0005-0000-0000-000057080000}"/>
    <cellStyle name="Warning Text 3 3" xfId="2136" xr:uid="{00000000-0005-0000-0000-000058080000}"/>
    <cellStyle name="Warning Text 4" xfId="2137" xr:uid="{00000000-0005-0000-0000-000059080000}"/>
    <cellStyle name="Warning Text 4 2" xfId="2138" xr:uid="{00000000-0005-0000-0000-00005A080000}"/>
    <cellStyle name="Warning Text 5" xfId="2139" xr:uid="{00000000-0005-0000-0000-00005B080000}"/>
    <cellStyle name="Warning Text 6" xfId="2140" xr:uid="{00000000-0005-0000-0000-00005C080000}"/>
    <cellStyle name="Warning Text 7" xfId="2141" xr:uid="{00000000-0005-0000-0000-00005D080000}"/>
    <cellStyle name="Warning Text 8" xfId="2142" xr:uid="{00000000-0005-0000-0000-00005E080000}"/>
    <cellStyle name="Warning Text 9" xfId="2143" xr:uid="{00000000-0005-0000-0000-00005F080000}"/>
  </cellStyles>
  <dxfs count="11">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ill>
        <patternFill>
          <bgColor indexed="1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1-131F-4BEF-AE22-4AED53013C04}"/>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Ref>
              <c:f>Forecast!$B$4:$B$123</c:f>
              <c:numCache>
                <c:formatCode>0.00</c:formatCode>
                <c:ptCount val="120"/>
                <c:pt idx="0">
                  <c:v>50205500</c:v>
                </c:pt>
                <c:pt idx="1">
                  <c:v>45182972</c:v>
                </c:pt>
                <c:pt idx="2">
                  <c:v>46925212</c:v>
                </c:pt>
                <c:pt idx="3">
                  <c:v>40611160</c:v>
                </c:pt>
                <c:pt idx="4">
                  <c:v>40093912</c:v>
                </c:pt>
                <c:pt idx="5">
                  <c:v>42370712</c:v>
                </c:pt>
                <c:pt idx="6">
                  <c:v>52548652</c:v>
                </c:pt>
                <c:pt idx="7">
                  <c:v>49452684</c:v>
                </c:pt>
                <c:pt idx="8">
                  <c:v>41925404</c:v>
                </c:pt>
                <c:pt idx="9">
                  <c:v>40507084</c:v>
                </c:pt>
                <c:pt idx="10">
                  <c:v>40896332</c:v>
                </c:pt>
                <c:pt idx="11">
                  <c:v>44967260</c:v>
                </c:pt>
                <c:pt idx="12">
                  <c:v>46829264</c:v>
                </c:pt>
                <c:pt idx="13">
                  <c:v>43072944</c:v>
                </c:pt>
                <c:pt idx="14">
                  <c:v>41849536</c:v>
                </c:pt>
                <c:pt idx="15">
                  <c:v>38334680</c:v>
                </c:pt>
                <c:pt idx="16">
                  <c:v>39723388</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Cache>
            </c:numRef>
          </c:xVal>
          <c:yVal>
            <c:numRef>
              <c:f>Forecast!$C$4:$C$123</c:f>
              <c:numCache>
                <c:formatCode>0.00</c:formatCode>
                <c:ptCount val="120"/>
                <c:pt idx="0">
                  <c:v>49080295.467426114</c:v>
                </c:pt>
                <c:pt idx="1">
                  <c:v>43700274.127095714</c:v>
                </c:pt>
                <c:pt idx="2">
                  <c:v>44069212.983828977</c:v>
                </c:pt>
                <c:pt idx="3">
                  <c:v>39513844.088252887</c:v>
                </c:pt>
                <c:pt idx="4">
                  <c:v>39082940.137118116</c:v>
                </c:pt>
                <c:pt idx="5">
                  <c:v>40920251.365732454</c:v>
                </c:pt>
                <c:pt idx="6">
                  <c:v>53653882.726619169</c:v>
                </c:pt>
                <c:pt idx="7">
                  <c:v>46644713.743356943</c:v>
                </c:pt>
                <c:pt idx="8">
                  <c:v>38565671.013836041</c:v>
                </c:pt>
                <c:pt idx="9">
                  <c:v>39302319.046585277</c:v>
                </c:pt>
                <c:pt idx="10">
                  <c:v>39401383.348574057</c:v>
                </c:pt>
                <c:pt idx="11">
                  <c:v>44994792.949553378</c:v>
                </c:pt>
                <c:pt idx="12">
                  <c:v>46268182.497260965</c:v>
                </c:pt>
                <c:pt idx="13">
                  <c:v>43133258.547931939</c:v>
                </c:pt>
                <c:pt idx="14">
                  <c:v>40645363.107532069</c:v>
                </c:pt>
                <c:pt idx="15">
                  <c:v>39658239.58246728</c:v>
                </c:pt>
                <c:pt idx="16">
                  <c:v>39916834.232857712</c:v>
                </c:pt>
                <c:pt idx="17">
                  <c:v>43458885.049608633</c:v>
                </c:pt>
                <c:pt idx="18">
                  <c:v>53004571.740139946</c:v>
                </c:pt>
                <c:pt idx="19">
                  <c:v>45358164.354519129</c:v>
                </c:pt>
                <c:pt idx="20">
                  <c:v>38858397.031024456</c:v>
                </c:pt>
                <c:pt idx="21">
                  <c:v>39120205.855556689</c:v>
                </c:pt>
                <c:pt idx="22">
                  <c:v>40917610.648120888</c:v>
                </c:pt>
                <c:pt idx="23">
                  <c:v>44777456.22776489</c:v>
                </c:pt>
                <c:pt idx="24">
                  <c:v>46381239.667976014</c:v>
                </c:pt>
                <c:pt idx="25">
                  <c:v>43470744.743725568</c:v>
                </c:pt>
                <c:pt idx="26">
                  <c:v>43706701.099906027</c:v>
                </c:pt>
                <c:pt idx="27">
                  <c:v>39500961.989892386</c:v>
                </c:pt>
                <c:pt idx="28">
                  <c:v>39778937.264800891</c:v>
                </c:pt>
                <c:pt idx="29">
                  <c:v>41826944.227902494</c:v>
                </c:pt>
                <c:pt idx="30">
                  <c:v>49278306.357497655</c:v>
                </c:pt>
                <c:pt idx="31">
                  <c:v>49052392.745508857</c:v>
                </c:pt>
                <c:pt idx="32">
                  <c:v>38414873.774632379</c:v>
                </c:pt>
                <c:pt idx="33">
                  <c:v>39039528.93418359</c:v>
                </c:pt>
                <c:pt idx="34">
                  <c:v>41123737.566709176</c:v>
                </c:pt>
                <c:pt idx="35">
                  <c:v>46753233.198907852</c:v>
                </c:pt>
                <c:pt idx="36">
                  <c:v>48562376.625701852</c:v>
                </c:pt>
                <c:pt idx="37">
                  <c:v>44746008.925574608</c:v>
                </c:pt>
                <c:pt idx="38">
                  <c:v>45457545.894290455</c:v>
                </c:pt>
                <c:pt idx="39">
                  <c:v>39246261.800268151</c:v>
                </c:pt>
                <c:pt idx="40">
                  <c:v>38280481.438355252</c:v>
                </c:pt>
                <c:pt idx="41">
                  <c:v>43347075.606009118</c:v>
                </c:pt>
                <c:pt idx="42">
                  <c:v>42466216.977041528</c:v>
                </c:pt>
                <c:pt idx="43">
                  <c:v>43228272.269743338</c:v>
                </c:pt>
                <c:pt idx="44">
                  <c:v>38256693.581665218</c:v>
                </c:pt>
                <c:pt idx="45">
                  <c:v>39141416.005176164</c:v>
                </c:pt>
                <c:pt idx="46">
                  <c:v>40923657.006377995</c:v>
                </c:pt>
                <c:pt idx="47">
                  <c:v>44804823.117675833</c:v>
                </c:pt>
                <c:pt idx="48">
                  <c:v>48077644.422433734</c:v>
                </c:pt>
                <c:pt idx="49">
                  <c:v>46239387.140630677</c:v>
                </c:pt>
                <c:pt idx="50">
                  <c:v>44258677.149020001</c:v>
                </c:pt>
                <c:pt idx="51">
                  <c:v>38684509.599611677</c:v>
                </c:pt>
                <c:pt idx="52">
                  <c:v>39872136.619236156</c:v>
                </c:pt>
                <c:pt idx="53">
                  <c:v>38947065.650654741</c:v>
                </c:pt>
                <c:pt idx="54">
                  <c:v>44660247.813357241</c:v>
                </c:pt>
                <c:pt idx="55">
                  <c:v>42625481.387051158</c:v>
                </c:pt>
                <c:pt idx="56">
                  <c:v>39638241.058694661</c:v>
                </c:pt>
                <c:pt idx="57">
                  <c:v>38344349.620923422</c:v>
                </c:pt>
                <c:pt idx="58">
                  <c:v>38402869.783219747</c:v>
                </c:pt>
                <c:pt idx="59">
                  <c:v>42265106.451020949</c:v>
                </c:pt>
                <c:pt idx="60">
                  <c:v>45656889.986020587</c:v>
                </c:pt>
                <c:pt idx="61">
                  <c:v>42430898.563662201</c:v>
                </c:pt>
                <c:pt idx="62">
                  <c:v>40770980.095235065</c:v>
                </c:pt>
                <c:pt idx="63">
                  <c:v>38697160.113998964</c:v>
                </c:pt>
                <c:pt idx="64">
                  <c:v>38838360.821409024</c:v>
                </c:pt>
                <c:pt idx="65">
                  <c:v>40417432.248481035</c:v>
                </c:pt>
                <c:pt idx="66">
                  <c:v>50013715.37632113</c:v>
                </c:pt>
                <c:pt idx="67">
                  <c:v>51833163.907084823</c:v>
                </c:pt>
                <c:pt idx="68">
                  <c:v>38187529.056305431</c:v>
                </c:pt>
                <c:pt idx="69">
                  <c:v>37219979.442312375</c:v>
                </c:pt>
                <c:pt idx="70">
                  <c:v>37848018.275175065</c:v>
                </c:pt>
                <c:pt idx="71">
                  <c:v>43846487.969772764</c:v>
                </c:pt>
                <c:pt idx="72">
                  <c:v>43982289.671342231</c:v>
                </c:pt>
                <c:pt idx="73">
                  <c:v>39178971.56695234</c:v>
                </c:pt>
                <c:pt idx="74">
                  <c:v>41584100.895769991</c:v>
                </c:pt>
                <c:pt idx="75">
                  <c:v>36271674.285287045</c:v>
                </c:pt>
                <c:pt idx="76">
                  <c:v>36554323.679366767</c:v>
                </c:pt>
                <c:pt idx="77">
                  <c:v>40854636.002875686</c:v>
                </c:pt>
                <c:pt idx="78">
                  <c:v>44063438.593054906</c:v>
                </c:pt>
                <c:pt idx="79">
                  <c:v>40485762.475424729</c:v>
                </c:pt>
                <c:pt idx="80">
                  <c:v>38150605.356158338</c:v>
                </c:pt>
                <c:pt idx="81">
                  <c:v>36070069.480267763</c:v>
                </c:pt>
                <c:pt idx="82">
                  <c:v>38265565.41491612</c:v>
                </c:pt>
                <c:pt idx="83">
                  <c:v>45153861.644208446</c:v>
                </c:pt>
                <c:pt idx="84">
                  <c:v>45415520.17787955</c:v>
                </c:pt>
                <c:pt idx="85">
                  <c:v>39414405.784236588</c:v>
                </c:pt>
                <c:pt idx="86">
                  <c:v>41409284.161176071</c:v>
                </c:pt>
                <c:pt idx="87">
                  <c:v>38297750.553589039</c:v>
                </c:pt>
                <c:pt idx="88">
                  <c:v>37260019.256101266</c:v>
                </c:pt>
                <c:pt idx="89">
                  <c:v>38807899.338587776</c:v>
                </c:pt>
                <c:pt idx="90">
                  <c:v>48632371.054076344</c:v>
                </c:pt>
                <c:pt idx="91">
                  <c:v>47265968.663875796</c:v>
                </c:pt>
                <c:pt idx="92">
                  <c:v>39700510.994831651</c:v>
                </c:pt>
                <c:pt idx="93">
                  <c:v>37754870.371565752</c:v>
                </c:pt>
                <c:pt idx="94">
                  <c:v>38736343.242702842</c:v>
                </c:pt>
                <c:pt idx="95">
                  <c:v>42552632.07351277</c:v>
                </c:pt>
                <c:pt idx="96">
                  <c:v>45091528.545216441</c:v>
                </c:pt>
                <c:pt idx="97">
                  <c:v>39864815.605828591</c:v>
                </c:pt>
                <c:pt idx="98">
                  <c:v>41486735.72889296</c:v>
                </c:pt>
                <c:pt idx="99">
                  <c:v>36596224.845210835</c:v>
                </c:pt>
                <c:pt idx="100">
                  <c:v>35531804.829465985</c:v>
                </c:pt>
                <c:pt idx="101">
                  <c:v>37211903.556586452</c:v>
                </c:pt>
                <c:pt idx="102">
                  <c:v>49134553.93664252</c:v>
                </c:pt>
                <c:pt idx="103">
                  <c:v>42335190.754091233</c:v>
                </c:pt>
                <c:pt idx="104">
                  <c:v>33390347.539920576</c:v>
                </c:pt>
                <c:pt idx="105">
                  <c:v>36411821.469170824</c:v>
                </c:pt>
                <c:pt idx="106">
                  <c:v>39012104.064567514</c:v>
                </c:pt>
                <c:pt idx="107">
                  <c:v>42722765.759246677</c:v>
                </c:pt>
                <c:pt idx="108">
                  <c:v>42751057.010912977</c:v>
                </c:pt>
                <c:pt idx="109">
                  <c:v>40901291.646615975</c:v>
                </c:pt>
                <c:pt idx="110">
                  <c:v>39094530.128686443</c:v>
                </c:pt>
                <c:pt idx="111">
                  <c:v>37142644.063814677</c:v>
                </c:pt>
                <c:pt idx="112">
                  <c:v>38142634.707123302</c:v>
                </c:pt>
                <c:pt idx="113">
                  <c:v>41361144.020215139</c:v>
                </c:pt>
                <c:pt idx="114">
                  <c:v>51636108.874815695</c:v>
                </c:pt>
                <c:pt idx="115">
                  <c:v>44282359.554348312</c:v>
                </c:pt>
                <c:pt idx="116">
                  <c:v>35217895.729632169</c:v>
                </c:pt>
                <c:pt idx="117">
                  <c:v>36490637.704912856</c:v>
                </c:pt>
                <c:pt idx="118">
                  <c:v>36527121.562445819</c:v>
                </c:pt>
                <c:pt idx="119">
                  <c:v>42400424.632772028</c:v>
                </c:pt>
              </c:numCache>
            </c:numRef>
          </c:yVal>
          <c:smooth val="0"/>
          <c:extLst>
            <c:ext xmlns:c16="http://schemas.microsoft.com/office/drawing/2014/chart" uri="{C3380CC4-5D6E-409C-BE32-E72D297353CC}">
              <c16:uniqueId val="{00000003-131F-4BEF-AE22-4AED53013C04}"/>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1"/>
          <c:order val="0"/>
          <c:spPr>
            <a:ln w="28575">
              <a:noFill/>
            </a:ln>
          </c:spPr>
          <c:xVal>
            <c:numLit>
              <c:formatCode>General</c:formatCode>
              <c:ptCount val="120"/>
              <c:pt idx="0">
                <c:v>50205500</c:v>
              </c:pt>
              <c:pt idx="1">
                <c:v>45182972</c:v>
              </c:pt>
              <c:pt idx="2">
                <c:v>46925212</c:v>
              </c:pt>
              <c:pt idx="3">
                <c:v>40611160</c:v>
              </c:pt>
              <c:pt idx="4">
                <c:v>40042244</c:v>
              </c:pt>
              <c:pt idx="5">
                <c:v>42347068</c:v>
              </c:pt>
              <c:pt idx="6">
                <c:v>52532224</c:v>
              </c:pt>
              <c:pt idx="7">
                <c:v>49450808</c:v>
              </c:pt>
              <c:pt idx="8">
                <c:v>41922952</c:v>
              </c:pt>
              <c:pt idx="9">
                <c:v>40489448</c:v>
              </c:pt>
              <c:pt idx="10">
                <c:v>40965236</c:v>
              </c:pt>
              <c:pt idx="11">
                <c:v>44906800</c:v>
              </c:pt>
              <c:pt idx="12">
                <c:v>46790240</c:v>
              </c:pt>
              <c:pt idx="13">
                <c:v>43059504</c:v>
              </c:pt>
              <c:pt idx="14">
                <c:v>41836364</c:v>
              </c:pt>
              <c:pt idx="15">
                <c:v>38318888</c:v>
              </c:pt>
              <c:pt idx="16">
                <c:v>39705860</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Lit>
          </c:xVal>
          <c:yVal>
            <c:numLit>
              <c:formatCode>General</c:formatCode>
              <c:ptCount val="120"/>
              <c:pt idx="0">
                <c:v>49080295.467426114</c:v>
              </c:pt>
              <c:pt idx="1">
                <c:v>43700274.127095714</c:v>
              </c:pt>
              <c:pt idx="2">
                <c:v>44069212.983828977</c:v>
              </c:pt>
              <c:pt idx="3">
                <c:v>39513844.088252887</c:v>
              </c:pt>
              <c:pt idx="4">
                <c:v>39082940.137118116</c:v>
              </c:pt>
              <c:pt idx="5">
                <c:v>40920251.365732454</c:v>
              </c:pt>
              <c:pt idx="6">
                <c:v>53653882.726619169</c:v>
              </c:pt>
              <c:pt idx="7">
                <c:v>46644713.743356943</c:v>
              </c:pt>
              <c:pt idx="8">
                <c:v>38565671.013836041</c:v>
              </c:pt>
              <c:pt idx="9">
                <c:v>39302319.046585277</c:v>
              </c:pt>
              <c:pt idx="10">
                <c:v>39401383.348574057</c:v>
              </c:pt>
              <c:pt idx="11">
                <c:v>44994792.949553378</c:v>
              </c:pt>
              <c:pt idx="12">
                <c:v>46268182.497260965</c:v>
              </c:pt>
              <c:pt idx="13">
                <c:v>43133258.547931939</c:v>
              </c:pt>
              <c:pt idx="14">
                <c:v>40645363.107532069</c:v>
              </c:pt>
              <c:pt idx="15">
                <c:v>39658239.58246728</c:v>
              </c:pt>
              <c:pt idx="16">
                <c:v>39916834.232857712</c:v>
              </c:pt>
              <c:pt idx="17">
                <c:v>43458885.049608633</c:v>
              </c:pt>
              <c:pt idx="18">
                <c:v>53004571.740139946</c:v>
              </c:pt>
              <c:pt idx="19">
                <c:v>45358164.354519129</c:v>
              </c:pt>
              <c:pt idx="20">
                <c:v>38858397.031024456</c:v>
              </c:pt>
              <c:pt idx="21">
                <c:v>39120205.855556689</c:v>
              </c:pt>
              <c:pt idx="22">
                <c:v>40917610.648120888</c:v>
              </c:pt>
              <c:pt idx="23">
                <c:v>44777456.22776489</c:v>
              </c:pt>
              <c:pt idx="24">
                <c:v>46381239.667976014</c:v>
              </c:pt>
              <c:pt idx="25">
                <c:v>43470744.743725568</c:v>
              </c:pt>
              <c:pt idx="26">
                <c:v>43706701.099906027</c:v>
              </c:pt>
              <c:pt idx="27">
                <c:v>39500961.989892386</c:v>
              </c:pt>
              <c:pt idx="28">
                <c:v>39778937.264800891</c:v>
              </c:pt>
              <c:pt idx="29">
                <c:v>41826944.227902494</c:v>
              </c:pt>
              <c:pt idx="30">
                <c:v>49278306.357497655</c:v>
              </c:pt>
              <c:pt idx="31">
                <c:v>49052392.745508857</c:v>
              </c:pt>
              <c:pt idx="32">
                <c:v>38414873.774632379</c:v>
              </c:pt>
              <c:pt idx="33">
                <c:v>39039528.93418359</c:v>
              </c:pt>
              <c:pt idx="34">
                <c:v>41123737.566709176</c:v>
              </c:pt>
              <c:pt idx="35">
                <c:v>46753233.198907852</c:v>
              </c:pt>
              <c:pt idx="36">
                <c:v>48562376.625701852</c:v>
              </c:pt>
              <c:pt idx="37">
                <c:v>44746008.925574608</c:v>
              </c:pt>
              <c:pt idx="38">
                <c:v>45457545.894290455</c:v>
              </c:pt>
              <c:pt idx="39">
                <c:v>39246261.800268151</c:v>
              </c:pt>
              <c:pt idx="40">
                <c:v>38280481.438355252</c:v>
              </c:pt>
              <c:pt idx="41">
                <c:v>43347075.606009118</c:v>
              </c:pt>
              <c:pt idx="42">
                <c:v>42466216.977041528</c:v>
              </c:pt>
              <c:pt idx="43">
                <c:v>43228272.269743338</c:v>
              </c:pt>
              <c:pt idx="44">
                <c:v>38256693.581665218</c:v>
              </c:pt>
              <c:pt idx="45">
                <c:v>39141416.005176164</c:v>
              </c:pt>
              <c:pt idx="46">
                <c:v>40923657.006377995</c:v>
              </c:pt>
              <c:pt idx="47">
                <c:v>44804823.117675833</c:v>
              </c:pt>
              <c:pt idx="48">
                <c:v>48077644.422433734</c:v>
              </c:pt>
              <c:pt idx="49">
                <c:v>46239387.140630677</c:v>
              </c:pt>
              <c:pt idx="50">
                <c:v>44258677.149020001</c:v>
              </c:pt>
              <c:pt idx="51">
                <c:v>38684509.599611677</c:v>
              </c:pt>
              <c:pt idx="52">
                <c:v>39872136.619236156</c:v>
              </c:pt>
              <c:pt idx="53">
                <c:v>38947065.650654741</c:v>
              </c:pt>
              <c:pt idx="54">
                <c:v>44660247.813357241</c:v>
              </c:pt>
              <c:pt idx="55">
                <c:v>42625481.387051158</c:v>
              </c:pt>
              <c:pt idx="56">
                <c:v>39638241.058694661</c:v>
              </c:pt>
              <c:pt idx="57">
                <c:v>38344349.620923422</c:v>
              </c:pt>
              <c:pt idx="58">
                <c:v>38402869.783219747</c:v>
              </c:pt>
              <c:pt idx="59">
                <c:v>42265106.451020949</c:v>
              </c:pt>
              <c:pt idx="60">
                <c:v>45656889.986020587</c:v>
              </c:pt>
              <c:pt idx="61">
                <c:v>42430898.563662201</c:v>
              </c:pt>
              <c:pt idx="62">
                <c:v>40770980.095235065</c:v>
              </c:pt>
              <c:pt idx="63">
                <c:v>38697160.113998964</c:v>
              </c:pt>
              <c:pt idx="64">
                <c:v>38838360.821409024</c:v>
              </c:pt>
              <c:pt idx="65">
                <c:v>40417432.248481035</c:v>
              </c:pt>
              <c:pt idx="66">
                <c:v>50013715.37632113</c:v>
              </c:pt>
              <c:pt idx="67">
                <c:v>51833163.907084823</c:v>
              </c:pt>
              <c:pt idx="68">
                <c:v>38187529.056305431</c:v>
              </c:pt>
              <c:pt idx="69">
                <c:v>37219979.442312375</c:v>
              </c:pt>
              <c:pt idx="70">
                <c:v>37848018.275175065</c:v>
              </c:pt>
              <c:pt idx="71">
                <c:v>43846487.969772764</c:v>
              </c:pt>
              <c:pt idx="72">
                <c:v>43982289.671342231</c:v>
              </c:pt>
              <c:pt idx="73">
                <c:v>39178971.56695234</c:v>
              </c:pt>
              <c:pt idx="74">
                <c:v>41584100.895769991</c:v>
              </c:pt>
              <c:pt idx="75">
                <c:v>36271674.285287045</c:v>
              </c:pt>
              <c:pt idx="76">
                <c:v>36554323.679366767</c:v>
              </c:pt>
              <c:pt idx="77">
                <c:v>40854636.002875686</c:v>
              </c:pt>
              <c:pt idx="78">
                <c:v>44063438.593054906</c:v>
              </c:pt>
              <c:pt idx="79">
                <c:v>40485762.475424729</c:v>
              </c:pt>
              <c:pt idx="80">
                <c:v>38150605.356158338</c:v>
              </c:pt>
              <c:pt idx="81">
                <c:v>36070069.480267763</c:v>
              </c:pt>
              <c:pt idx="82">
                <c:v>38265565.41491612</c:v>
              </c:pt>
              <c:pt idx="83">
                <c:v>45153861.644208446</c:v>
              </c:pt>
              <c:pt idx="84">
                <c:v>45415520.17787955</c:v>
              </c:pt>
              <c:pt idx="85">
                <c:v>39414405.784236588</c:v>
              </c:pt>
              <c:pt idx="86">
                <c:v>41409284.161176071</c:v>
              </c:pt>
              <c:pt idx="87">
                <c:v>38297750.553589039</c:v>
              </c:pt>
              <c:pt idx="88">
                <c:v>37260019.256101266</c:v>
              </c:pt>
              <c:pt idx="89">
                <c:v>38807899.338587776</c:v>
              </c:pt>
              <c:pt idx="90">
                <c:v>48632371.054076344</c:v>
              </c:pt>
              <c:pt idx="91">
                <c:v>47265968.663875796</c:v>
              </c:pt>
              <c:pt idx="92">
                <c:v>39700510.994831651</c:v>
              </c:pt>
              <c:pt idx="93">
                <c:v>37754870.371565752</c:v>
              </c:pt>
              <c:pt idx="94">
                <c:v>38736343.242702842</c:v>
              </c:pt>
              <c:pt idx="95">
                <c:v>42552632.07351277</c:v>
              </c:pt>
              <c:pt idx="96">
                <c:v>45091528.545216441</c:v>
              </c:pt>
              <c:pt idx="97">
                <c:v>39864815.605828591</c:v>
              </c:pt>
              <c:pt idx="98">
                <c:v>41486735.72889296</c:v>
              </c:pt>
              <c:pt idx="99">
                <c:v>36596224.845210835</c:v>
              </c:pt>
              <c:pt idx="100">
                <c:v>35531804.829465985</c:v>
              </c:pt>
              <c:pt idx="101">
                <c:v>37211903.556586452</c:v>
              </c:pt>
              <c:pt idx="102">
                <c:v>49134553.93664252</c:v>
              </c:pt>
              <c:pt idx="103">
                <c:v>42335190.754091233</c:v>
              </c:pt>
              <c:pt idx="104">
                <c:v>33390347.539920576</c:v>
              </c:pt>
              <c:pt idx="105">
                <c:v>36411821.469170824</c:v>
              </c:pt>
              <c:pt idx="106">
                <c:v>39012104.064567514</c:v>
              </c:pt>
              <c:pt idx="107">
                <c:v>42722765.759246677</c:v>
              </c:pt>
              <c:pt idx="108">
                <c:v>42751057.010912977</c:v>
              </c:pt>
              <c:pt idx="109">
                <c:v>40901291.646615975</c:v>
              </c:pt>
              <c:pt idx="110">
                <c:v>39094530.128686443</c:v>
              </c:pt>
              <c:pt idx="111">
                <c:v>37142644.063814677</c:v>
              </c:pt>
              <c:pt idx="112">
                <c:v>38142634.707123302</c:v>
              </c:pt>
              <c:pt idx="113">
                <c:v>41361144.020215139</c:v>
              </c:pt>
              <c:pt idx="114">
                <c:v>51636108.874815695</c:v>
              </c:pt>
              <c:pt idx="115">
                <c:v>44282359.554348312</c:v>
              </c:pt>
              <c:pt idx="116">
                <c:v>35217895.729632169</c:v>
              </c:pt>
              <c:pt idx="117">
                <c:v>36490637.704912856</c:v>
              </c:pt>
              <c:pt idx="118">
                <c:v>36527121.562445819</c:v>
              </c:pt>
              <c:pt idx="119">
                <c:v>42400424.632772028</c:v>
              </c:pt>
            </c:numLit>
          </c:yVal>
          <c:smooth val="0"/>
          <c:extLst>
            <c:ext xmlns:c16="http://schemas.microsoft.com/office/drawing/2014/chart" uri="{C3380CC4-5D6E-409C-BE32-E72D297353CC}">
              <c16:uniqueId val="{00000006-1068-4E88-91D5-BAD2FEA63B61}"/>
            </c:ext>
          </c:extLst>
        </c:ser>
        <c:ser>
          <c:idx val="0"/>
          <c:order val="1"/>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3-1068-4E88-91D5-BAD2FEA63B61}"/>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Lit>
              <c:formatCode>General</c:formatCode>
              <c:ptCount val="120"/>
              <c:pt idx="0">
                <c:v>50205500</c:v>
              </c:pt>
              <c:pt idx="1">
                <c:v>45182972</c:v>
              </c:pt>
              <c:pt idx="2">
                <c:v>46925212</c:v>
              </c:pt>
              <c:pt idx="3">
                <c:v>40611160</c:v>
              </c:pt>
              <c:pt idx="4">
                <c:v>40042244</c:v>
              </c:pt>
              <c:pt idx="5">
                <c:v>42347068</c:v>
              </c:pt>
              <c:pt idx="6">
                <c:v>52532224</c:v>
              </c:pt>
              <c:pt idx="7">
                <c:v>49450808</c:v>
              </c:pt>
              <c:pt idx="8">
                <c:v>41922952</c:v>
              </c:pt>
              <c:pt idx="9">
                <c:v>40489448</c:v>
              </c:pt>
              <c:pt idx="10">
                <c:v>40965236</c:v>
              </c:pt>
              <c:pt idx="11">
                <c:v>44906800</c:v>
              </c:pt>
              <c:pt idx="12">
                <c:v>46790240</c:v>
              </c:pt>
              <c:pt idx="13">
                <c:v>43059504</c:v>
              </c:pt>
              <c:pt idx="14">
                <c:v>41836364</c:v>
              </c:pt>
              <c:pt idx="15">
                <c:v>38318888</c:v>
              </c:pt>
              <c:pt idx="16">
                <c:v>39705860</c:v>
              </c:pt>
              <c:pt idx="17">
                <c:v>42958924</c:v>
              </c:pt>
              <c:pt idx="18">
                <c:v>51833832</c:v>
              </c:pt>
              <c:pt idx="19">
                <c:v>48709368</c:v>
              </c:pt>
              <c:pt idx="20">
                <c:v>40386344</c:v>
              </c:pt>
              <c:pt idx="21">
                <c:v>40191612</c:v>
              </c:pt>
              <c:pt idx="22">
                <c:v>42546572</c:v>
              </c:pt>
              <c:pt idx="23">
                <c:v>44574932</c:v>
              </c:pt>
              <c:pt idx="24">
                <c:v>48092056</c:v>
              </c:pt>
              <c:pt idx="25">
                <c:v>43415700</c:v>
              </c:pt>
              <c:pt idx="26">
                <c:v>43520436</c:v>
              </c:pt>
              <c:pt idx="27">
                <c:v>38293524</c:v>
              </c:pt>
              <c:pt idx="28">
                <c:v>37947560</c:v>
              </c:pt>
              <c:pt idx="29">
                <c:v>39558052</c:v>
              </c:pt>
              <c:pt idx="30">
                <c:v>48777836</c:v>
              </c:pt>
              <c:pt idx="31">
                <c:v>44931328</c:v>
              </c:pt>
              <c:pt idx="32">
                <c:v>38566848</c:v>
              </c:pt>
              <c:pt idx="33">
                <c:v>39059440</c:v>
              </c:pt>
              <c:pt idx="34">
                <c:v>41311172</c:v>
              </c:pt>
              <c:pt idx="35">
                <c:v>46300080</c:v>
              </c:pt>
              <c:pt idx="36">
                <c:v>50496524</c:v>
              </c:pt>
              <c:pt idx="37">
                <c:v>44559480</c:v>
              </c:pt>
              <c:pt idx="38">
                <c:v>45832980</c:v>
              </c:pt>
              <c:pt idx="39">
                <c:v>38389928</c:v>
              </c:pt>
              <c:pt idx="40">
                <c:v>36955320</c:v>
              </c:pt>
              <c:pt idx="41">
                <c:v>40743556</c:v>
              </c:pt>
              <c:pt idx="42">
                <c:v>44141052</c:v>
              </c:pt>
              <c:pt idx="43">
                <c:v>43108352</c:v>
              </c:pt>
              <c:pt idx="44">
                <c:v>38472316</c:v>
              </c:pt>
              <c:pt idx="45">
                <c:v>38196496</c:v>
              </c:pt>
              <c:pt idx="46">
                <c:v>40658384</c:v>
              </c:pt>
              <c:pt idx="47">
                <c:v>43373536</c:v>
              </c:pt>
              <c:pt idx="48">
                <c:v>48336984</c:v>
              </c:pt>
              <c:pt idx="49">
                <c:v>45806080</c:v>
              </c:pt>
              <c:pt idx="50">
                <c:v>44467252</c:v>
              </c:pt>
              <c:pt idx="51">
                <c:v>37066328</c:v>
              </c:pt>
              <c:pt idx="52">
                <c:v>36561144</c:v>
              </c:pt>
              <c:pt idx="53">
                <c:v>38156280</c:v>
              </c:pt>
              <c:pt idx="54">
                <c:v>44608128</c:v>
              </c:pt>
              <c:pt idx="55">
                <c:v>43859864</c:v>
              </c:pt>
              <c:pt idx="56">
                <c:v>41747992</c:v>
              </c:pt>
              <c:pt idx="57">
                <c:v>36786432</c:v>
              </c:pt>
              <c:pt idx="58">
                <c:v>37158576</c:v>
              </c:pt>
              <c:pt idx="59">
                <c:v>39769880</c:v>
              </c:pt>
              <c:pt idx="60">
                <c:v>44548272</c:v>
              </c:pt>
              <c:pt idx="61">
                <c:v>41158164</c:v>
              </c:pt>
              <c:pt idx="62">
                <c:v>39809144</c:v>
              </c:pt>
              <c:pt idx="63">
                <c:v>36222796</c:v>
              </c:pt>
              <c:pt idx="64">
                <c:v>35890392</c:v>
              </c:pt>
              <c:pt idx="65">
                <c:v>39662848</c:v>
              </c:pt>
              <c:pt idx="66">
                <c:v>47528892</c:v>
              </c:pt>
              <c:pt idx="67">
                <c:v>51243328</c:v>
              </c:pt>
              <c:pt idx="68">
                <c:v>39994232</c:v>
              </c:pt>
              <c:pt idx="69">
                <c:v>36210144</c:v>
              </c:pt>
              <c:pt idx="70">
                <c:v>36789736</c:v>
              </c:pt>
              <c:pt idx="71">
                <c:v>42575324</c:v>
              </c:pt>
              <c:pt idx="72">
                <c:v>43131420</c:v>
              </c:pt>
              <c:pt idx="73">
                <c:v>37533892</c:v>
              </c:pt>
              <c:pt idx="74">
                <c:v>41563416</c:v>
              </c:pt>
              <c:pt idx="75">
                <c:v>34947464</c:v>
              </c:pt>
              <c:pt idx="76">
                <c:v>35633124</c:v>
              </c:pt>
              <c:pt idx="77">
                <c:v>38155784</c:v>
              </c:pt>
              <c:pt idx="78">
                <c:v>44273988</c:v>
              </c:pt>
              <c:pt idx="79">
                <c:v>43579956</c:v>
              </c:pt>
              <c:pt idx="80">
                <c:v>38972984</c:v>
              </c:pt>
              <c:pt idx="81">
                <c:v>36256780</c:v>
              </c:pt>
              <c:pt idx="82">
                <c:v>38948952</c:v>
              </c:pt>
              <c:pt idx="83">
                <c:v>43911244</c:v>
              </c:pt>
              <c:pt idx="84">
                <c:v>47094720</c:v>
              </c:pt>
              <c:pt idx="85">
                <c:v>39631600</c:v>
              </c:pt>
              <c:pt idx="86">
                <c:v>41656908</c:v>
              </c:pt>
              <c:pt idx="87">
                <c:v>38614768</c:v>
              </c:pt>
              <c:pt idx="88">
                <c:v>36061876</c:v>
              </c:pt>
              <c:pt idx="89">
                <c:v>39000368</c:v>
              </c:pt>
              <c:pt idx="90">
                <c:v>50076316</c:v>
              </c:pt>
              <c:pt idx="91">
                <c:v>49158088</c:v>
              </c:pt>
              <c:pt idx="92">
                <c:v>41496540</c:v>
              </c:pt>
              <c:pt idx="93">
                <c:v>37763352</c:v>
              </c:pt>
              <c:pt idx="94">
                <c:v>40051456</c:v>
              </c:pt>
              <c:pt idx="95">
                <c:v>42019276</c:v>
              </c:pt>
              <c:pt idx="96">
                <c:v>46678584</c:v>
              </c:pt>
              <c:pt idx="97">
                <c:v>41194468</c:v>
              </c:pt>
              <c:pt idx="98">
                <c:v>42090500</c:v>
              </c:pt>
              <c:pt idx="99">
                <c:v>36539752</c:v>
              </c:pt>
              <c:pt idx="100">
                <c:v>35532004</c:v>
              </c:pt>
              <c:pt idx="101">
                <c:v>37150892</c:v>
              </c:pt>
              <c:pt idx="102">
                <c:v>49164276</c:v>
              </c:pt>
              <c:pt idx="103">
                <c:v>45907060</c:v>
              </c:pt>
              <c:pt idx="104">
                <c:v>37534148</c:v>
              </c:pt>
              <c:pt idx="105">
                <c:v>36176532</c:v>
              </c:pt>
              <c:pt idx="106">
                <c:v>39737440</c:v>
              </c:pt>
              <c:pt idx="107">
                <c:v>42323844</c:v>
              </c:pt>
              <c:pt idx="108">
                <c:v>43498988</c:v>
              </c:pt>
              <c:pt idx="109">
                <c:v>40767224</c:v>
              </c:pt>
              <c:pt idx="110">
                <c:v>39452644</c:v>
              </c:pt>
              <c:pt idx="111">
                <c:v>34488964</c:v>
              </c:pt>
              <c:pt idx="112">
                <c:v>35010608</c:v>
              </c:pt>
              <c:pt idx="113">
                <c:v>39038300</c:v>
              </c:pt>
              <c:pt idx="114">
                <c:v>51707560</c:v>
              </c:pt>
              <c:pt idx="115">
                <c:v>46254924</c:v>
              </c:pt>
              <c:pt idx="116">
                <c:v>36708176</c:v>
              </c:pt>
              <c:pt idx="117">
                <c:v>35798052</c:v>
              </c:pt>
              <c:pt idx="118">
                <c:v>36898344</c:v>
              </c:pt>
              <c:pt idx="119">
                <c:v>42870244</c:v>
              </c:pt>
            </c:numLit>
          </c:xVal>
          <c:yVal>
            <c:numLit>
              <c:formatCode>General</c:formatCode>
              <c:ptCount val="120"/>
              <c:pt idx="0">
                <c:v>49080295.467426114</c:v>
              </c:pt>
              <c:pt idx="1">
                <c:v>43700274.127095714</c:v>
              </c:pt>
              <c:pt idx="2">
                <c:v>44069212.983828977</c:v>
              </c:pt>
              <c:pt idx="3">
                <c:v>39513844.088252887</c:v>
              </c:pt>
              <c:pt idx="4">
                <c:v>39082940.137118116</c:v>
              </c:pt>
              <c:pt idx="5">
                <c:v>40920251.365732454</c:v>
              </c:pt>
              <c:pt idx="6">
                <c:v>53653882.726619169</c:v>
              </c:pt>
              <c:pt idx="7">
                <c:v>46644713.743356943</c:v>
              </c:pt>
              <c:pt idx="8">
                <c:v>38565671.013836041</c:v>
              </c:pt>
              <c:pt idx="9">
                <c:v>39302319.046585277</c:v>
              </c:pt>
              <c:pt idx="10">
                <c:v>39401383.348574057</c:v>
              </c:pt>
              <c:pt idx="11">
                <c:v>44994792.949553378</c:v>
              </c:pt>
              <c:pt idx="12">
                <c:v>46268182.497260965</c:v>
              </c:pt>
              <c:pt idx="13">
                <c:v>43133258.547931939</c:v>
              </c:pt>
              <c:pt idx="14">
                <c:v>40645363.107532069</c:v>
              </c:pt>
              <c:pt idx="15">
                <c:v>39658239.58246728</c:v>
              </c:pt>
              <c:pt idx="16">
                <c:v>39916834.232857712</c:v>
              </c:pt>
              <c:pt idx="17">
                <c:v>43458885.049608633</c:v>
              </c:pt>
              <c:pt idx="18">
                <c:v>53004571.740139946</c:v>
              </c:pt>
              <c:pt idx="19">
                <c:v>45358164.354519129</c:v>
              </c:pt>
              <c:pt idx="20">
                <c:v>38858397.031024456</c:v>
              </c:pt>
              <c:pt idx="21">
                <c:v>39120205.855556689</c:v>
              </c:pt>
              <c:pt idx="22">
                <c:v>40917610.648120888</c:v>
              </c:pt>
              <c:pt idx="23">
                <c:v>44777456.22776489</c:v>
              </c:pt>
              <c:pt idx="24">
                <c:v>46381239.667976014</c:v>
              </c:pt>
              <c:pt idx="25">
                <c:v>43470744.743725568</c:v>
              </c:pt>
              <c:pt idx="26">
                <c:v>43706701.099906027</c:v>
              </c:pt>
              <c:pt idx="27">
                <c:v>39500961.989892386</c:v>
              </c:pt>
              <c:pt idx="28">
                <c:v>39778937.264800891</c:v>
              </c:pt>
              <c:pt idx="29">
                <c:v>41826944.227902494</c:v>
              </c:pt>
              <c:pt idx="30">
                <c:v>49278306.357497655</c:v>
              </c:pt>
              <c:pt idx="31">
                <c:v>49052392.745508857</c:v>
              </c:pt>
              <c:pt idx="32">
                <c:v>38414873.774632379</c:v>
              </c:pt>
              <c:pt idx="33">
                <c:v>39039528.93418359</c:v>
              </c:pt>
              <c:pt idx="34">
                <c:v>41123737.566709176</c:v>
              </c:pt>
              <c:pt idx="35">
                <c:v>46753233.198907852</c:v>
              </c:pt>
              <c:pt idx="36">
                <c:v>48562376.625701852</c:v>
              </c:pt>
              <c:pt idx="37">
                <c:v>44746008.925574608</c:v>
              </c:pt>
              <c:pt idx="38">
                <c:v>45457545.894290455</c:v>
              </c:pt>
              <c:pt idx="39">
                <c:v>39246261.800268151</c:v>
              </c:pt>
              <c:pt idx="40">
                <c:v>38280481.438355252</c:v>
              </c:pt>
              <c:pt idx="41">
                <c:v>43347075.606009118</c:v>
              </c:pt>
              <c:pt idx="42">
                <c:v>42466216.977041528</c:v>
              </c:pt>
              <c:pt idx="43">
                <c:v>43228272.269743338</c:v>
              </c:pt>
              <c:pt idx="44">
                <c:v>38256693.581665218</c:v>
              </c:pt>
              <c:pt idx="45">
                <c:v>39141416.005176164</c:v>
              </c:pt>
              <c:pt idx="46">
                <c:v>40923657.006377995</c:v>
              </c:pt>
              <c:pt idx="47">
                <c:v>44804823.117675833</c:v>
              </c:pt>
              <c:pt idx="48">
                <c:v>48077644.422433734</c:v>
              </c:pt>
              <c:pt idx="49">
                <c:v>46239387.140630677</c:v>
              </c:pt>
              <c:pt idx="50">
                <c:v>44258677.149020001</c:v>
              </c:pt>
              <c:pt idx="51">
                <c:v>38684509.599611677</c:v>
              </c:pt>
              <c:pt idx="52">
                <c:v>39872136.619236156</c:v>
              </c:pt>
              <c:pt idx="53">
                <c:v>38947065.650654741</c:v>
              </c:pt>
              <c:pt idx="54">
                <c:v>44660247.813357241</c:v>
              </c:pt>
              <c:pt idx="55">
                <c:v>42625481.387051158</c:v>
              </c:pt>
              <c:pt idx="56">
                <c:v>39638241.058694661</c:v>
              </c:pt>
              <c:pt idx="57">
                <c:v>38344349.620923422</c:v>
              </c:pt>
              <c:pt idx="58">
                <c:v>38402869.783219747</c:v>
              </c:pt>
              <c:pt idx="59">
                <c:v>42265106.451020949</c:v>
              </c:pt>
              <c:pt idx="60">
                <c:v>45656889.986020587</c:v>
              </c:pt>
              <c:pt idx="61">
                <c:v>42430898.563662201</c:v>
              </c:pt>
              <c:pt idx="62">
                <c:v>40770980.095235065</c:v>
              </c:pt>
              <c:pt idx="63">
                <c:v>38697160.113998964</c:v>
              </c:pt>
              <c:pt idx="64">
                <c:v>38838360.821409024</c:v>
              </c:pt>
              <c:pt idx="65">
                <c:v>40417432.248481035</c:v>
              </c:pt>
              <c:pt idx="66">
                <c:v>50013715.37632113</c:v>
              </c:pt>
              <c:pt idx="67">
                <c:v>51833163.907084823</c:v>
              </c:pt>
              <c:pt idx="68">
                <c:v>38187529.056305431</c:v>
              </c:pt>
              <c:pt idx="69">
                <c:v>37219979.442312375</c:v>
              </c:pt>
              <c:pt idx="70">
                <c:v>37848018.275175065</c:v>
              </c:pt>
              <c:pt idx="71">
                <c:v>43846487.969772764</c:v>
              </c:pt>
              <c:pt idx="72">
                <c:v>43982289.671342231</c:v>
              </c:pt>
              <c:pt idx="73">
                <c:v>39178971.56695234</c:v>
              </c:pt>
              <c:pt idx="74">
                <c:v>41584100.895769991</c:v>
              </c:pt>
              <c:pt idx="75">
                <c:v>36271674.285287045</c:v>
              </c:pt>
              <c:pt idx="76">
                <c:v>36554323.679366767</c:v>
              </c:pt>
              <c:pt idx="77">
                <c:v>40854636.002875686</c:v>
              </c:pt>
              <c:pt idx="78">
                <c:v>44063438.593054906</c:v>
              </c:pt>
              <c:pt idx="79">
                <c:v>40485762.475424729</c:v>
              </c:pt>
              <c:pt idx="80">
                <c:v>38150605.356158338</c:v>
              </c:pt>
              <c:pt idx="81">
                <c:v>36070069.480267763</c:v>
              </c:pt>
              <c:pt idx="82">
                <c:v>38265565.41491612</c:v>
              </c:pt>
              <c:pt idx="83">
                <c:v>45153861.644208446</c:v>
              </c:pt>
              <c:pt idx="84">
                <c:v>45415520.17787955</c:v>
              </c:pt>
              <c:pt idx="85">
                <c:v>39414405.784236588</c:v>
              </c:pt>
              <c:pt idx="86">
                <c:v>41409284.161176071</c:v>
              </c:pt>
              <c:pt idx="87">
                <c:v>38297750.553589039</c:v>
              </c:pt>
              <c:pt idx="88">
                <c:v>37260019.256101266</c:v>
              </c:pt>
              <c:pt idx="89">
                <c:v>38807899.338587776</c:v>
              </c:pt>
              <c:pt idx="90">
                <c:v>48632371.054076344</c:v>
              </c:pt>
              <c:pt idx="91">
                <c:v>47265968.663875796</c:v>
              </c:pt>
              <c:pt idx="92">
                <c:v>39700510.994831651</c:v>
              </c:pt>
              <c:pt idx="93">
                <c:v>37754870.371565752</c:v>
              </c:pt>
              <c:pt idx="94">
                <c:v>38736343.242702842</c:v>
              </c:pt>
              <c:pt idx="95">
                <c:v>42552632.07351277</c:v>
              </c:pt>
              <c:pt idx="96">
                <c:v>45091528.545216441</c:v>
              </c:pt>
              <c:pt idx="97">
                <c:v>39864815.605828591</c:v>
              </c:pt>
              <c:pt idx="98">
                <c:v>41486735.72889296</c:v>
              </c:pt>
              <c:pt idx="99">
                <c:v>36596224.845210835</c:v>
              </c:pt>
              <c:pt idx="100">
                <c:v>35531804.829465985</c:v>
              </c:pt>
              <c:pt idx="101">
                <c:v>37211903.556586452</c:v>
              </c:pt>
              <c:pt idx="102">
                <c:v>49134553.93664252</c:v>
              </c:pt>
              <c:pt idx="103">
                <c:v>42335190.754091233</c:v>
              </c:pt>
              <c:pt idx="104">
                <c:v>33390347.539920576</c:v>
              </c:pt>
              <c:pt idx="105">
                <c:v>36411821.469170824</c:v>
              </c:pt>
              <c:pt idx="106">
                <c:v>39012104.064567514</c:v>
              </c:pt>
              <c:pt idx="107">
                <c:v>42722765.759246677</c:v>
              </c:pt>
              <c:pt idx="108">
                <c:v>42751057.010912977</c:v>
              </c:pt>
              <c:pt idx="109">
                <c:v>40901291.646615975</c:v>
              </c:pt>
              <c:pt idx="110">
                <c:v>39094530.128686443</c:v>
              </c:pt>
              <c:pt idx="111">
                <c:v>37142644.063814677</c:v>
              </c:pt>
              <c:pt idx="112">
                <c:v>38142634.707123302</c:v>
              </c:pt>
              <c:pt idx="113">
                <c:v>41361144.020215139</c:v>
              </c:pt>
              <c:pt idx="114">
                <c:v>51636108.874815695</c:v>
              </c:pt>
              <c:pt idx="115">
                <c:v>44282359.554348312</c:v>
              </c:pt>
              <c:pt idx="116">
                <c:v>35217895.729632169</c:v>
              </c:pt>
              <c:pt idx="117">
                <c:v>36490637.704912856</c:v>
              </c:pt>
              <c:pt idx="118">
                <c:v>36527121.562445819</c:v>
              </c:pt>
              <c:pt idx="119">
                <c:v>42400424.632772028</c:v>
              </c:pt>
            </c:numLit>
          </c:yVal>
          <c:smooth val="0"/>
          <c:extLst>
            <c:ext xmlns:c16="http://schemas.microsoft.com/office/drawing/2014/chart" uri="{C3380CC4-5D6E-409C-BE32-E72D297353CC}">
              <c16:uniqueId val="{00000005-1068-4E88-91D5-BAD2FEA63B61}"/>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General"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a:t>
            </a:r>
            <a:r>
              <a:rPr lang="en-US" baseline="0"/>
              <a:t> Adjusted Wholesale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'Bridge&amp;Test Year Class Forecast'!$A$3:$G$3</c:f>
              <c:strCache>
                <c:ptCount val="1"/>
                <c:pt idx="0">
                  <c:v>Residential</c:v>
                </c:pt>
              </c:strCache>
            </c:strRef>
          </c:tx>
          <c:spPr>
            <a:ln w="28575" cap="rnd">
              <a:solidFill>
                <a:schemeClr val="accent1"/>
              </a:solidFill>
              <a:round/>
            </a:ln>
            <a:effectLst/>
          </c:spPr>
          <c:marker>
            <c:symbol val="none"/>
          </c:marker>
          <c:cat>
            <c:numRef>
              <c:f>'Bridge&amp;Test Year Class Forecast'!$A$5:$A$14</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'Bridge&amp;Test Year Class Forecast'!$D$5:$D$14</c:f>
              <c:numCache>
                <c:formatCode>0.00%</c:formatCode>
                <c:ptCount val="10"/>
                <c:pt idx="0">
                  <c:v>0.38609039534238071</c:v>
                </c:pt>
                <c:pt idx="1">
                  <c:v>0.38900533418929284</c:v>
                </c:pt>
                <c:pt idx="2">
                  <c:v>0.40460492296299311</c:v>
                </c:pt>
                <c:pt idx="3">
                  <c:v>0.40103897419266565</c:v>
                </c:pt>
                <c:pt idx="4">
                  <c:v>0.40406552893042524</c:v>
                </c:pt>
                <c:pt idx="5">
                  <c:v>0.41124751695789463</c:v>
                </c:pt>
                <c:pt idx="6">
                  <c:v>0.40329160031951855</c:v>
                </c:pt>
                <c:pt idx="7">
                  <c:v>0.42454051871064802</c:v>
                </c:pt>
                <c:pt idx="8">
                  <c:v>0.42514521065030442</c:v>
                </c:pt>
                <c:pt idx="9">
                  <c:v>0.45637915469685736</c:v>
                </c:pt>
              </c:numCache>
            </c:numRef>
          </c:val>
          <c:smooth val="0"/>
          <c:extLst>
            <c:ext xmlns:c16="http://schemas.microsoft.com/office/drawing/2014/chart" uri="{C3380CC4-5D6E-409C-BE32-E72D297353CC}">
              <c16:uniqueId val="{00000000-68A9-470F-8E01-AD96C5B6D44A}"/>
            </c:ext>
          </c:extLst>
        </c:ser>
        <c:ser>
          <c:idx val="1"/>
          <c:order val="1"/>
          <c:tx>
            <c:strRef>
              <c:f>'Bridge&amp;Test Year Class Forecast'!$A$31:$G$31</c:f>
              <c:strCache>
                <c:ptCount val="1"/>
                <c:pt idx="0">
                  <c:v>General Service &lt; 50 kW</c:v>
                </c:pt>
              </c:strCache>
            </c:strRef>
          </c:tx>
          <c:spPr>
            <a:ln w="28575" cap="rnd">
              <a:solidFill>
                <a:schemeClr val="accent2"/>
              </a:solidFill>
              <a:round/>
            </a:ln>
            <a:effectLst/>
          </c:spPr>
          <c:marker>
            <c:symbol val="none"/>
          </c:marker>
          <c:val>
            <c:numRef>
              <c:f>'Bridge&amp;Test Year Class Forecast'!$D$33:$D$42</c:f>
              <c:numCache>
                <c:formatCode>0.00%</c:formatCode>
                <c:ptCount val="10"/>
                <c:pt idx="0">
                  <c:v>0.13345918132891876</c:v>
                </c:pt>
                <c:pt idx="1">
                  <c:v>0.13507056839037676</c:v>
                </c:pt>
                <c:pt idx="2">
                  <c:v>0.13471572199745976</c:v>
                </c:pt>
                <c:pt idx="3">
                  <c:v>0.13692056179835727</c:v>
                </c:pt>
                <c:pt idx="4">
                  <c:v>0.13854793233342175</c:v>
                </c:pt>
                <c:pt idx="5">
                  <c:v>0.14054255630968673</c:v>
                </c:pt>
                <c:pt idx="6">
                  <c:v>0.13919883482097428</c:v>
                </c:pt>
                <c:pt idx="7">
                  <c:v>0.13638827058370803</c:v>
                </c:pt>
                <c:pt idx="8">
                  <c:v>0.13937246593159849</c:v>
                </c:pt>
                <c:pt idx="9">
                  <c:v>0.13102570629915197</c:v>
                </c:pt>
              </c:numCache>
            </c:numRef>
          </c:val>
          <c:smooth val="0"/>
          <c:extLst>
            <c:ext xmlns:c16="http://schemas.microsoft.com/office/drawing/2014/chart" uri="{C3380CC4-5D6E-409C-BE32-E72D297353CC}">
              <c16:uniqueId val="{00000003-68A9-470F-8E01-AD96C5B6D44A}"/>
            </c:ext>
          </c:extLst>
        </c:ser>
        <c:ser>
          <c:idx val="2"/>
          <c:order val="2"/>
          <c:tx>
            <c:strRef>
              <c:f>'Bridge&amp;Test Year Class Forecast'!$A$59:$G$59</c:f>
              <c:strCache>
                <c:ptCount val="1"/>
                <c:pt idx="0">
                  <c:v>General Service 50 to 4999 kW</c:v>
                </c:pt>
              </c:strCache>
            </c:strRef>
          </c:tx>
          <c:spPr>
            <a:ln w="28575" cap="rnd">
              <a:solidFill>
                <a:schemeClr val="accent3"/>
              </a:solidFill>
              <a:round/>
            </a:ln>
            <a:effectLst/>
          </c:spPr>
          <c:marker>
            <c:symbol val="none"/>
          </c:marker>
          <c:val>
            <c:numRef>
              <c:f>'Bridge&amp;Test Year Class Forecast'!$D$61:$D$70</c:f>
              <c:numCache>
                <c:formatCode>0.00%</c:formatCode>
                <c:ptCount val="10"/>
                <c:pt idx="0">
                  <c:v>0.40120273743109763</c:v>
                </c:pt>
                <c:pt idx="1">
                  <c:v>0.4026301434451855</c:v>
                </c:pt>
                <c:pt idx="2">
                  <c:v>0.38179218647546587</c:v>
                </c:pt>
                <c:pt idx="3">
                  <c:v>0.38771413726640608</c:v>
                </c:pt>
                <c:pt idx="4">
                  <c:v>0.38296699610786389</c:v>
                </c:pt>
                <c:pt idx="5">
                  <c:v>0.37672365261607649</c:v>
                </c:pt>
                <c:pt idx="6">
                  <c:v>0.38413208732782311</c:v>
                </c:pt>
                <c:pt idx="7">
                  <c:v>0.36972954137986608</c:v>
                </c:pt>
                <c:pt idx="8">
                  <c:v>0.3667244228139292</c:v>
                </c:pt>
                <c:pt idx="9">
                  <c:v>0.34320313970865013</c:v>
                </c:pt>
              </c:numCache>
            </c:numRef>
          </c:val>
          <c:smooth val="0"/>
          <c:extLst>
            <c:ext xmlns:c16="http://schemas.microsoft.com/office/drawing/2014/chart" uri="{C3380CC4-5D6E-409C-BE32-E72D297353CC}">
              <c16:uniqueId val="{00000004-68A9-470F-8E01-AD96C5B6D44A}"/>
            </c:ext>
          </c:extLst>
        </c:ser>
        <c:dLbls>
          <c:showLegendKey val="0"/>
          <c:showVal val="0"/>
          <c:showCatName val="0"/>
          <c:showSerName val="0"/>
          <c:showPercent val="0"/>
          <c:showBubbleSize val="0"/>
        </c:dLbls>
        <c:smooth val="0"/>
        <c:axId val="1574867983"/>
        <c:axId val="1695139503"/>
      </c:lineChart>
      <c:catAx>
        <c:axId val="1574867983"/>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139503"/>
        <c:crosses val="autoZero"/>
        <c:auto val="1"/>
        <c:lblAlgn val="ctr"/>
        <c:lblOffset val="100"/>
        <c:noMultiLvlLbl val="0"/>
      </c:catAx>
      <c:valAx>
        <c:axId val="169513950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4867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895350</xdr:colOff>
      <xdr:row>1</xdr:row>
      <xdr:rowOff>123825</xdr:rowOff>
    </xdr:to>
    <xdr:sp macro="[0]!overview" textlink="">
      <xdr:nvSpPr>
        <xdr:cNvPr id="1038" name="AutoShape 14">
          <a:extLst>
            <a:ext uri="{FF2B5EF4-FFF2-40B4-BE49-F238E27FC236}">
              <a16:creationId xmlns:a16="http://schemas.microsoft.com/office/drawing/2014/main" id="{C411E92E-252C-43B6-9FA9-379A0F30DD07}"/>
            </a:ext>
          </a:extLst>
        </xdr:cNvPr>
        <xdr:cNvSpPr>
          <a:spLocks noChangeArrowheads="1"/>
        </xdr:cNvSpPr>
      </xdr:nvSpPr>
      <xdr:spPr bwMode="auto">
        <a:xfrm>
          <a:off x="38100" y="38100"/>
          <a:ext cx="857250"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Overview</a:t>
          </a:r>
        </a:p>
      </xdr:txBody>
    </xdr:sp>
    <xdr:clientData fPrintsWithSheet="0"/>
  </xdr:twoCellAnchor>
  <xdr:twoCellAnchor>
    <xdr:from>
      <xdr:col>0</xdr:col>
      <xdr:colOff>742950</xdr:colOff>
      <xdr:row>3</xdr:row>
      <xdr:rowOff>0</xdr:rowOff>
    </xdr:from>
    <xdr:to>
      <xdr:col>0</xdr:col>
      <xdr:colOff>923925</xdr:colOff>
      <xdr:row>3</xdr:row>
      <xdr:rowOff>190500</xdr:rowOff>
    </xdr:to>
    <xdr:grpSp>
      <xdr:nvGrpSpPr>
        <xdr:cNvPr id="3690367" name="Group 15">
          <a:extLst>
            <a:ext uri="{FF2B5EF4-FFF2-40B4-BE49-F238E27FC236}">
              <a16:creationId xmlns:a16="http://schemas.microsoft.com/office/drawing/2014/main" id="{8CA53A19-6904-4393-B0D6-3EFB7DFFFBBA}"/>
            </a:ext>
          </a:extLst>
        </xdr:cNvPr>
        <xdr:cNvGrpSpPr>
          <a:grpSpLocks/>
        </xdr:cNvGrpSpPr>
      </xdr:nvGrpSpPr>
      <xdr:grpSpPr bwMode="auto">
        <a:xfrm>
          <a:off x="742950" y="571500"/>
          <a:ext cx="180975" cy="190500"/>
          <a:chOff x="554" y="194"/>
          <a:chExt cx="19" cy="20"/>
        </a:xfrm>
      </xdr:grpSpPr>
      <xdr:sp macro="[0]!H_Input" textlink="">
        <xdr:nvSpPr>
          <xdr:cNvPr id="1040" name="Oval 16">
            <a:extLst>
              <a:ext uri="{FF2B5EF4-FFF2-40B4-BE49-F238E27FC236}">
                <a16:creationId xmlns:a16="http://schemas.microsoft.com/office/drawing/2014/main" id="{E202977A-00E0-468C-BD1E-869ADB95DB0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put" textlink="">
        <xdr:nvSpPr>
          <xdr:cNvPr id="1041" name="Rectangle 17">
            <a:extLst>
              <a:ext uri="{FF2B5EF4-FFF2-40B4-BE49-F238E27FC236}">
                <a16:creationId xmlns:a16="http://schemas.microsoft.com/office/drawing/2014/main" id="{FA3174B5-E54B-44A2-B826-231AE44C0CD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9</xdr:col>
      <xdr:colOff>400050</xdr:colOff>
      <xdr:row>0</xdr:row>
      <xdr:rowOff>38100</xdr:rowOff>
    </xdr:from>
    <xdr:to>
      <xdr:col>10</xdr:col>
      <xdr:colOff>704850</xdr:colOff>
      <xdr:row>1</xdr:row>
      <xdr:rowOff>123825</xdr:rowOff>
    </xdr:to>
    <xdr:sp macro="[0]!Delete_Input" textlink="">
      <xdr:nvSpPr>
        <xdr:cNvPr id="1042" name="AutoShape 18">
          <a:extLst>
            <a:ext uri="{FF2B5EF4-FFF2-40B4-BE49-F238E27FC236}">
              <a16:creationId xmlns:a16="http://schemas.microsoft.com/office/drawing/2014/main" id="{DD38F200-6B40-4938-8FF9-F6B44C47A066}"/>
            </a:ext>
          </a:extLst>
        </xdr:cNvPr>
        <xdr:cNvSpPr>
          <a:spLocks noChangeArrowheads="1"/>
        </xdr:cNvSpPr>
      </xdr:nvSpPr>
      <xdr:spPr bwMode="auto">
        <a:xfrm>
          <a:off x="7200900" y="38100"/>
          <a:ext cx="10382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Delete Input</a:t>
          </a:r>
        </a:p>
      </xdr:txBody>
    </xdr:sp>
    <xdr:clientData fPrintsWithSheet="0"/>
  </xdr:twoCellAnchor>
  <xdr:twoCellAnchor editAs="oneCell">
    <xdr:from>
      <xdr:col>7</xdr:col>
      <xdr:colOff>228600</xdr:colOff>
      <xdr:row>0</xdr:row>
      <xdr:rowOff>38100</xdr:rowOff>
    </xdr:from>
    <xdr:to>
      <xdr:col>8</xdr:col>
      <xdr:colOff>685800</xdr:colOff>
      <xdr:row>1</xdr:row>
      <xdr:rowOff>123825</xdr:rowOff>
    </xdr:to>
    <xdr:sp macro="[0]!Run_Regression" textlink="">
      <xdr:nvSpPr>
        <xdr:cNvPr id="1043" name="AutoShape 19">
          <a:extLst>
            <a:ext uri="{FF2B5EF4-FFF2-40B4-BE49-F238E27FC236}">
              <a16:creationId xmlns:a16="http://schemas.microsoft.com/office/drawing/2014/main" id="{DDA10C99-3DA7-4875-ABC2-CFAAB303D241}"/>
            </a:ext>
          </a:extLst>
        </xdr:cNvPr>
        <xdr:cNvSpPr>
          <a:spLocks noChangeArrowheads="1"/>
        </xdr:cNvSpPr>
      </xdr:nvSpPr>
      <xdr:spPr bwMode="auto">
        <a:xfrm>
          <a:off x="5562600" y="38100"/>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Run Regression</a:t>
          </a:r>
        </a:p>
      </xdr:txBody>
    </xdr:sp>
    <xdr:clientData fPrintsWithSheet="0"/>
  </xdr:twoCellAnchor>
  <xdr:twoCellAnchor editAs="oneCell">
    <xdr:from>
      <xdr:col>13</xdr:col>
      <xdr:colOff>19050</xdr:colOff>
      <xdr:row>0</xdr:row>
      <xdr:rowOff>47625</xdr:rowOff>
    </xdr:from>
    <xdr:to>
      <xdr:col>14</xdr:col>
      <xdr:colOff>666750</xdr:colOff>
      <xdr:row>1</xdr:row>
      <xdr:rowOff>133350</xdr:rowOff>
    </xdr:to>
    <xdr:sp macro="[0]!Save_XLSM" textlink="">
      <xdr:nvSpPr>
        <xdr:cNvPr id="1045" name="AutoShape 21">
          <a:extLst>
            <a:ext uri="{FF2B5EF4-FFF2-40B4-BE49-F238E27FC236}">
              <a16:creationId xmlns:a16="http://schemas.microsoft.com/office/drawing/2014/main" id="{6508A196-1515-496D-8142-EEA5764F6504}"/>
            </a:ext>
          </a:extLst>
        </xdr:cNvPr>
        <xdr:cNvSpPr>
          <a:spLocks noChangeArrowheads="1"/>
        </xdr:cNvSpPr>
      </xdr:nvSpPr>
      <xdr:spPr bwMode="auto">
        <a:xfrm>
          <a:off x="9753600" y="47625"/>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Save As XLSM</a:t>
          </a:r>
        </a:p>
      </xdr:txBody>
    </xdr:sp>
    <xdr:clientData fPrintsWithSheet="0"/>
  </xdr:twoCellAnchor>
  <xdr:twoCellAnchor>
    <xdr:from>
      <xdr:col>1</xdr:col>
      <xdr:colOff>504825</xdr:colOff>
      <xdr:row>0</xdr:row>
      <xdr:rowOff>76200</xdr:rowOff>
    </xdr:from>
    <xdr:to>
      <xdr:col>1</xdr:col>
      <xdr:colOff>685800</xdr:colOff>
      <xdr:row>1</xdr:row>
      <xdr:rowOff>76200</xdr:rowOff>
    </xdr:to>
    <xdr:grpSp>
      <xdr:nvGrpSpPr>
        <xdr:cNvPr id="3690371" name="Group 28">
          <a:extLst>
            <a:ext uri="{FF2B5EF4-FFF2-40B4-BE49-F238E27FC236}">
              <a16:creationId xmlns:a16="http://schemas.microsoft.com/office/drawing/2014/main" id="{18EE8EC9-FF09-438F-92F5-64C4C99C970E}"/>
            </a:ext>
          </a:extLst>
        </xdr:cNvPr>
        <xdr:cNvGrpSpPr>
          <a:grpSpLocks/>
        </xdr:cNvGrpSpPr>
      </xdr:nvGrpSpPr>
      <xdr:grpSpPr bwMode="auto">
        <a:xfrm>
          <a:off x="1438275" y="76200"/>
          <a:ext cx="180975" cy="190500"/>
          <a:chOff x="554" y="194"/>
          <a:chExt cx="19" cy="20"/>
        </a:xfrm>
      </xdr:grpSpPr>
      <xdr:sp macro="[0]!H_Feature_selection" textlink="">
        <xdr:nvSpPr>
          <xdr:cNvPr id="1053" name="Oval 29">
            <a:extLst>
              <a:ext uri="{FF2B5EF4-FFF2-40B4-BE49-F238E27FC236}">
                <a16:creationId xmlns:a16="http://schemas.microsoft.com/office/drawing/2014/main" id="{A714F43C-1344-4136-8E09-29B8DCB0D113}"/>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eature_selection" textlink="">
        <xdr:nvSpPr>
          <xdr:cNvPr id="1054" name="Rectangle 30">
            <a:extLst>
              <a:ext uri="{FF2B5EF4-FFF2-40B4-BE49-F238E27FC236}">
                <a16:creationId xmlns:a16="http://schemas.microsoft.com/office/drawing/2014/main" id="{91D7AF29-5F98-4538-8E06-CB72ABF68BF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48</xdr:col>
      <xdr:colOff>38100</xdr:colOff>
      <xdr:row>0</xdr:row>
      <xdr:rowOff>38100</xdr:rowOff>
    </xdr:from>
    <xdr:to>
      <xdr:col>48</xdr:col>
      <xdr:colOff>676275</xdr:colOff>
      <xdr:row>1</xdr:row>
      <xdr:rowOff>123825</xdr:rowOff>
    </xdr:to>
    <xdr:sp macro="[0]!Add_Vars" textlink="">
      <xdr:nvSpPr>
        <xdr:cNvPr id="1064" name="AutoShape 40">
          <a:extLst>
            <a:ext uri="{FF2B5EF4-FFF2-40B4-BE49-F238E27FC236}">
              <a16:creationId xmlns:a16="http://schemas.microsoft.com/office/drawing/2014/main" id="{1D3CB6D2-7574-4795-B0B1-A9FB4BA05B9B}"/>
            </a:ext>
          </a:extLst>
        </xdr:cNvPr>
        <xdr:cNvSpPr>
          <a:spLocks noChangeArrowheads="1"/>
        </xdr:cNvSpPr>
      </xdr:nvSpPr>
      <xdr:spPr bwMode="auto">
        <a:xfrm>
          <a:off x="35442525" y="38100"/>
          <a:ext cx="63817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Add</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219075</xdr:colOff>
      <xdr:row>2</xdr:row>
      <xdr:rowOff>9524</xdr:rowOff>
    </xdr:from>
    <xdr:to>
      <xdr:col>24</xdr:col>
      <xdr:colOff>209550</xdr:colOff>
      <xdr:row>7</xdr:row>
      <xdr:rowOff>85726</xdr:rowOff>
    </xdr:to>
    <xdr:graphicFrame macro="">
      <xdr:nvGraphicFramePr>
        <xdr:cNvPr id="4081803" name="actpred">
          <a:extLst>
            <a:ext uri="{FF2B5EF4-FFF2-40B4-BE49-F238E27FC236}">
              <a16:creationId xmlns:a16="http://schemas.microsoft.com/office/drawing/2014/main" id="{7458E870-4F35-4FD4-9993-3D9209065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0]!Export_Tab" textlink="">
      <xdr:nvSpPr>
        <xdr:cNvPr id="2073" name="AutoShape 25">
          <a:extLst>
            <a:ext uri="{FF2B5EF4-FFF2-40B4-BE49-F238E27FC236}">
              <a16:creationId xmlns:a16="http://schemas.microsoft.com/office/drawing/2014/main" id="{780E6591-EB33-4E44-A14C-D725FE034810}"/>
            </a:ext>
          </a:extLst>
        </xdr:cNvPr>
        <xdr:cNvSpPr>
          <a:spLocks noChangeArrowheads="1"/>
        </xdr:cNvSpPr>
      </xdr:nvSpPr>
      <xdr:spPr bwMode="auto">
        <a:xfrm>
          <a:off x="15573375"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0]!Forecast_Go" textlink="">
      <xdr:nvSpPr>
        <xdr:cNvPr id="2074" name="AutoShape 26">
          <a:extLst>
            <a:ext uri="{FF2B5EF4-FFF2-40B4-BE49-F238E27FC236}">
              <a16:creationId xmlns:a16="http://schemas.microsoft.com/office/drawing/2014/main" id="{CDE6E5E4-342E-4E9E-AA54-C5FB9C394C82}"/>
            </a:ext>
          </a:extLst>
        </xdr:cNvPr>
        <xdr:cNvSpPr>
          <a:spLocks noChangeArrowheads="1"/>
        </xdr:cNvSpPr>
      </xdr:nvSpPr>
      <xdr:spPr bwMode="auto">
        <a:xfrm>
          <a:off x="15601950"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4081806" name="Group 27">
          <a:extLst>
            <a:ext uri="{FF2B5EF4-FFF2-40B4-BE49-F238E27FC236}">
              <a16:creationId xmlns:a16="http://schemas.microsoft.com/office/drawing/2014/main" id="{813A0301-5106-4CA8-A156-3A716EAC9E76}"/>
            </a:ext>
          </a:extLst>
        </xdr:cNvPr>
        <xdr:cNvGrpSpPr>
          <a:grpSpLocks/>
        </xdr:cNvGrpSpPr>
      </xdr:nvGrpSpPr>
      <xdr:grpSpPr bwMode="auto">
        <a:xfrm>
          <a:off x="38100" y="133350"/>
          <a:ext cx="180975" cy="190500"/>
          <a:chOff x="554" y="194"/>
          <a:chExt cx="19" cy="20"/>
        </a:xfrm>
      </xdr:grpSpPr>
      <xdr:sp macro="[0]!H_Parameters" textlink="">
        <xdr:nvSpPr>
          <xdr:cNvPr id="2076" name="Oval 28">
            <a:extLst>
              <a:ext uri="{FF2B5EF4-FFF2-40B4-BE49-F238E27FC236}">
                <a16:creationId xmlns:a16="http://schemas.microsoft.com/office/drawing/2014/main" id="{329AA2BC-2FBD-4649-96DF-36A2F7E2B1E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Parameters" textlink="">
        <xdr:nvSpPr>
          <xdr:cNvPr id="2077" name="Rectangle 29">
            <a:extLst>
              <a:ext uri="{FF2B5EF4-FFF2-40B4-BE49-F238E27FC236}">
                <a16:creationId xmlns:a16="http://schemas.microsoft.com/office/drawing/2014/main" id="{C56A8635-C4BD-49D8-8CAA-6914EF31F4D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4081807" name="Group 30">
          <a:extLst>
            <a:ext uri="{FF2B5EF4-FFF2-40B4-BE49-F238E27FC236}">
              <a16:creationId xmlns:a16="http://schemas.microsoft.com/office/drawing/2014/main" id="{62BD1D82-6895-4F4B-BC16-BECB6DF4ECF6}"/>
            </a:ext>
          </a:extLst>
        </xdr:cNvPr>
        <xdr:cNvGrpSpPr>
          <a:grpSpLocks/>
        </xdr:cNvGrpSpPr>
      </xdr:nvGrpSpPr>
      <xdr:grpSpPr bwMode="auto">
        <a:xfrm>
          <a:off x="47625" y="1333500"/>
          <a:ext cx="180975" cy="190500"/>
          <a:chOff x="554" y="194"/>
          <a:chExt cx="19" cy="20"/>
        </a:xfrm>
      </xdr:grpSpPr>
      <xdr:sp macro="[0]!H_equation" textlink="">
        <xdr:nvSpPr>
          <xdr:cNvPr id="2079" name="Oval 31">
            <a:extLst>
              <a:ext uri="{FF2B5EF4-FFF2-40B4-BE49-F238E27FC236}">
                <a16:creationId xmlns:a16="http://schemas.microsoft.com/office/drawing/2014/main" id="{E5D3964C-820A-4AB3-9103-2E28880529E5}"/>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equation" textlink="">
        <xdr:nvSpPr>
          <xdr:cNvPr id="2080" name="Rectangle 32">
            <a:extLst>
              <a:ext uri="{FF2B5EF4-FFF2-40B4-BE49-F238E27FC236}">
                <a16:creationId xmlns:a16="http://schemas.microsoft.com/office/drawing/2014/main" id="{ABFAD80C-1B98-4732-9064-DACE7996D3F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4081808" name="Group 33">
          <a:extLst>
            <a:ext uri="{FF2B5EF4-FFF2-40B4-BE49-F238E27FC236}">
              <a16:creationId xmlns:a16="http://schemas.microsoft.com/office/drawing/2014/main" id="{D5EA4B85-3BBF-45D3-A7E2-777063160552}"/>
            </a:ext>
          </a:extLst>
        </xdr:cNvPr>
        <xdr:cNvGrpSpPr>
          <a:grpSpLocks/>
        </xdr:cNvGrpSpPr>
      </xdr:nvGrpSpPr>
      <xdr:grpSpPr bwMode="auto">
        <a:xfrm>
          <a:off x="6057900" y="1323975"/>
          <a:ext cx="180975" cy="190500"/>
          <a:chOff x="554" y="194"/>
          <a:chExt cx="19" cy="20"/>
        </a:xfrm>
      </xdr:grpSpPr>
      <xdr:sp macro="[0]!H_independent" textlink="">
        <xdr:nvSpPr>
          <xdr:cNvPr id="2082" name="Oval 34">
            <a:extLst>
              <a:ext uri="{FF2B5EF4-FFF2-40B4-BE49-F238E27FC236}">
                <a16:creationId xmlns:a16="http://schemas.microsoft.com/office/drawing/2014/main" id="{7CAA311A-686F-43AD-B878-710F69B69586}"/>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dependent" textlink="">
        <xdr:nvSpPr>
          <xdr:cNvPr id="2083" name="Rectangle 35">
            <a:extLst>
              <a:ext uri="{FF2B5EF4-FFF2-40B4-BE49-F238E27FC236}">
                <a16:creationId xmlns:a16="http://schemas.microsoft.com/office/drawing/2014/main" id="{BAA2CCF1-29DD-4EDC-B9D6-66B4907FF67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081809" name="Group 36">
          <a:extLst>
            <a:ext uri="{FF2B5EF4-FFF2-40B4-BE49-F238E27FC236}">
              <a16:creationId xmlns:a16="http://schemas.microsoft.com/office/drawing/2014/main" id="{6F3982EB-F45B-43C9-8F50-FF7E0767F308}"/>
            </a:ext>
          </a:extLst>
        </xdr:cNvPr>
        <xdr:cNvGrpSpPr>
          <a:grpSpLocks/>
        </xdr:cNvGrpSpPr>
      </xdr:nvGrpSpPr>
      <xdr:grpSpPr bwMode="auto">
        <a:xfrm>
          <a:off x="6915150" y="142875"/>
          <a:ext cx="180975" cy="190500"/>
          <a:chOff x="554" y="194"/>
          <a:chExt cx="19" cy="20"/>
        </a:xfrm>
      </xdr:grpSpPr>
      <xdr:sp macro="[0]!H_durbinwatson" textlink="">
        <xdr:nvSpPr>
          <xdr:cNvPr id="2085" name="Oval 37">
            <a:extLst>
              <a:ext uri="{FF2B5EF4-FFF2-40B4-BE49-F238E27FC236}">
                <a16:creationId xmlns:a16="http://schemas.microsoft.com/office/drawing/2014/main" id="{FA619A09-71DE-4429-B7A2-ED59226C9B5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durbinwatson" textlink="">
        <xdr:nvSpPr>
          <xdr:cNvPr id="2086" name="Rectangle 38">
            <a:extLst>
              <a:ext uri="{FF2B5EF4-FFF2-40B4-BE49-F238E27FC236}">
                <a16:creationId xmlns:a16="http://schemas.microsoft.com/office/drawing/2014/main" id="{E07630CE-43FB-409C-960D-4619FBF9EB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081810" name="Group 39">
          <a:extLst>
            <a:ext uri="{FF2B5EF4-FFF2-40B4-BE49-F238E27FC236}">
              <a16:creationId xmlns:a16="http://schemas.microsoft.com/office/drawing/2014/main" id="{5BDDAF93-7BA6-4458-B677-F1E87CF9B4B3}"/>
            </a:ext>
          </a:extLst>
        </xdr:cNvPr>
        <xdr:cNvGrpSpPr>
          <a:grpSpLocks/>
        </xdr:cNvGrpSpPr>
      </xdr:nvGrpSpPr>
      <xdr:grpSpPr bwMode="auto">
        <a:xfrm>
          <a:off x="8810625" y="1323975"/>
          <a:ext cx="180975" cy="190500"/>
          <a:chOff x="554" y="194"/>
          <a:chExt cx="19" cy="20"/>
        </a:xfrm>
      </xdr:grpSpPr>
      <xdr:sp macro="[0]!H_autocorrelation" textlink="">
        <xdr:nvSpPr>
          <xdr:cNvPr id="2088" name="Oval 40">
            <a:extLst>
              <a:ext uri="{FF2B5EF4-FFF2-40B4-BE49-F238E27FC236}">
                <a16:creationId xmlns:a16="http://schemas.microsoft.com/office/drawing/2014/main" id="{43406FCB-A3FF-40FA-B63C-59B37F3156F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autocorrelation" textlink="">
        <xdr:nvSpPr>
          <xdr:cNvPr id="2089" name="Rectangle 41">
            <a:extLst>
              <a:ext uri="{FF2B5EF4-FFF2-40B4-BE49-F238E27FC236}">
                <a16:creationId xmlns:a16="http://schemas.microsoft.com/office/drawing/2014/main" id="{8FAD4A89-6352-4DC9-8D4D-5C30522EBC5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081811" name="Group 42">
          <a:extLst>
            <a:ext uri="{FF2B5EF4-FFF2-40B4-BE49-F238E27FC236}">
              <a16:creationId xmlns:a16="http://schemas.microsoft.com/office/drawing/2014/main" id="{C2AEAFE2-9F42-4247-AE9F-9AC6F596BD5B}"/>
            </a:ext>
          </a:extLst>
        </xdr:cNvPr>
        <xdr:cNvGrpSpPr>
          <a:grpSpLocks/>
        </xdr:cNvGrpSpPr>
      </xdr:nvGrpSpPr>
      <xdr:grpSpPr bwMode="auto">
        <a:xfrm>
          <a:off x="9658350" y="1323975"/>
          <a:ext cx="180975" cy="190500"/>
          <a:chOff x="554" y="194"/>
          <a:chExt cx="19" cy="20"/>
        </a:xfrm>
      </xdr:grpSpPr>
      <xdr:sp macro="[0]!H_colinearity" textlink="">
        <xdr:nvSpPr>
          <xdr:cNvPr id="2091" name="Oval 43">
            <a:extLst>
              <a:ext uri="{FF2B5EF4-FFF2-40B4-BE49-F238E27FC236}">
                <a16:creationId xmlns:a16="http://schemas.microsoft.com/office/drawing/2014/main" id="{DC184138-30C8-4F69-9837-EA70DFEFBBDF}"/>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colinearity" textlink="">
        <xdr:nvSpPr>
          <xdr:cNvPr id="2092" name="Rectangle 44">
            <a:extLst>
              <a:ext uri="{FF2B5EF4-FFF2-40B4-BE49-F238E27FC236}">
                <a16:creationId xmlns:a16="http://schemas.microsoft.com/office/drawing/2014/main" id="{B6CCC9E1-9BA2-43C7-89D5-2609856E11A1}"/>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4081812" name="Group 45">
          <a:extLst>
            <a:ext uri="{FF2B5EF4-FFF2-40B4-BE49-F238E27FC236}">
              <a16:creationId xmlns:a16="http://schemas.microsoft.com/office/drawing/2014/main" id="{AB17016B-27C6-494C-B934-A8342C8055E9}"/>
            </a:ext>
          </a:extLst>
        </xdr:cNvPr>
        <xdr:cNvGrpSpPr>
          <a:grpSpLocks/>
        </xdr:cNvGrpSpPr>
      </xdr:nvGrpSpPr>
      <xdr:grpSpPr bwMode="auto">
        <a:xfrm>
          <a:off x="10972800" y="114300"/>
          <a:ext cx="180975" cy="190500"/>
          <a:chOff x="554" y="194"/>
          <a:chExt cx="19" cy="20"/>
        </a:xfrm>
      </xdr:grpSpPr>
      <xdr:sp macro="[0]!H_scatter" textlink="">
        <xdr:nvSpPr>
          <xdr:cNvPr id="2094" name="Oval 46">
            <a:extLst>
              <a:ext uri="{FF2B5EF4-FFF2-40B4-BE49-F238E27FC236}">
                <a16:creationId xmlns:a16="http://schemas.microsoft.com/office/drawing/2014/main" id="{69211F70-5BD4-4948-A607-C68D582E7BB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scatter" textlink="">
        <xdr:nvSpPr>
          <xdr:cNvPr id="2095" name="Rectangle 47">
            <a:extLst>
              <a:ext uri="{FF2B5EF4-FFF2-40B4-BE49-F238E27FC236}">
                <a16:creationId xmlns:a16="http://schemas.microsoft.com/office/drawing/2014/main" id="{E701E2AB-F03A-44E3-B570-77652E3B52D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4081813" name="Group 48">
          <a:extLst>
            <a:ext uri="{FF2B5EF4-FFF2-40B4-BE49-F238E27FC236}">
              <a16:creationId xmlns:a16="http://schemas.microsoft.com/office/drawing/2014/main" id="{0E25E7FC-8E31-43F3-99C3-5B5FD4344D6B}"/>
            </a:ext>
          </a:extLst>
        </xdr:cNvPr>
        <xdr:cNvGrpSpPr>
          <a:grpSpLocks/>
        </xdr:cNvGrpSpPr>
      </xdr:nvGrpSpPr>
      <xdr:grpSpPr bwMode="auto">
        <a:xfrm>
          <a:off x="17859375" y="1333500"/>
          <a:ext cx="247650" cy="190500"/>
          <a:chOff x="554" y="194"/>
          <a:chExt cx="19" cy="20"/>
        </a:xfrm>
      </xdr:grpSpPr>
      <xdr:sp macro="[0]!H_forecast" textlink="">
        <xdr:nvSpPr>
          <xdr:cNvPr id="2097" name="Oval 49">
            <a:extLst>
              <a:ext uri="{FF2B5EF4-FFF2-40B4-BE49-F238E27FC236}">
                <a16:creationId xmlns:a16="http://schemas.microsoft.com/office/drawing/2014/main" id="{90E26885-E044-44DA-A26F-9ACA6063B0F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orecast" textlink="">
        <xdr:nvSpPr>
          <xdr:cNvPr id="2098" name="Rectangle 50">
            <a:extLst>
              <a:ext uri="{FF2B5EF4-FFF2-40B4-BE49-F238E27FC236}">
                <a16:creationId xmlns:a16="http://schemas.microsoft.com/office/drawing/2014/main" id="{A926A677-3951-4D5E-B6B6-D89FBB16E2F7}"/>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12</xdr:col>
      <xdr:colOff>219075</xdr:colOff>
      <xdr:row>2</xdr:row>
      <xdr:rowOff>9524</xdr:rowOff>
    </xdr:from>
    <xdr:to>
      <xdr:col>24</xdr:col>
      <xdr:colOff>209550</xdr:colOff>
      <xdr:row>7</xdr:row>
      <xdr:rowOff>85726</xdr:rowOff>
    </xdr:to>
    <xdr:graphicFrame macro="">
      <xdr:nvGraphicFramePr>
        <xdr:cNvPr id="29" name="actpred">
          <a:extLst>
            <a:ext uri="{FF2B5EF4-FFF2-40B4-BE49-F238E27FC236}">
              <a16:creationId xmlns:a16="http://schemas.microsoft.com/office/drawing/2014/main" id="{018B3464-674E-4E25-B668-D48FAD51B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 textlink="">
      <xdr:nvSpPr>
        <xdr:cNvPr id="30" name="AutoShape 25">
          <a:extLst>
            <a:ext uri="{FF2B5EF4-FFF2-40B4-BE49-F238E27FC236}">
              <a16:creationId xmlns:a16="http://schemas.microsoft.com/office/drawing/2014/main" id="{D239F191-13D4-425B-9EAF-F350ECBFA775}"/>
            </a:ext>
          </a:extLst>
        </xdr:cNvPr>
        <xdr:cNvSpPr>
          <a:spLocks noChangeArrowheads="1"/>
        </xdr:cNvSpPr>
      </xdr:nvSpPr>
      <xdr:spPr bwMode="auto">
        <a:xfrm>
          <a:off x="19050000"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 textlink="">
      <xdr:nvSpPr>
        <xdr:cNvPr id="31" name="AutoShape 26">
          <a:extLst>
            <a:ext uri="{FF2B5EF4-FFF2-40B4-BE49-F238E27FC236}">
              <a16:creationId xmlns:a16="http://schemas.microsoft.com/office/drawing/2014/main" id="{ECD3CC2D-FA59-45D7-AB04-9BCAEC810DF6}"/>
            </a:ext>
          </a:extLst>
        </xdr:cNvPr>
        <xdr:cNvSpPr>
          <a:spLocks noChangeArrowheads="1"/>
        </xdr:cNvSpPr>
      </xdr:nvSpPr>
      <xdr:spPr bwMode="auto">
        <a:xfrm>
          <a:off x="19078575"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32" name="Group 27">
          <a:extLst>
            <a:ext uri="{FF2B5EF4-FFF2-40B4-BE49-F238E27FC236}">
              <a16:creationId xmlns:a16="http://schemas.microsoft.com/office/drawing/2014/main" id="{905116FC-C623-4B31-9FCE-22AFE17BE881}"/>
            </a:ext>
          </a:extLst>
        </xdr:cNvPr>
        <xdr:cNvGrpSpPr>
          <a:grpSpLocks/>
        </xdr:cNvGrpSpPr>
      </xdr:nvGrpSpPr>
      <xdr:grpSpPr bwMode="auto">
        <a:xfrm>
          <a:off x="38100" y="133350"/>
          <a:ext cx="180975" cy="190500"/>
          <a:chOff x="554" y="194"/>
          <a:chExt cx="19" cy="20"/>
        </a:xfrm>
      </xdr:grpSpPr>
      <xdr:sp macro="" textlink="">
        <xdr:nvSpPr>
          <xdr:cNvPr id="33" name="Oval 28">
            <a:extLst>
              <a:ext uri="{FF2B5EF4-FFF2-40B4-BE49-F238E27FC236}">
                <a16:creationId xmlns:a16="http://schemas.microsoft.com/office/drawing/2014/main" id="{29FDB549-32B2-46B2-BBDD-DED7460B13F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34" name="Rectangle 29">
            <a:extLst>
              <a:ext uri="{FF2B5EF4-FFF2-40B4-BE49-F238E27FC236}">
                <a16:creationId xmlns:a16="http://schemas.microsoft.com/office/drawing/2014/main" id="{987DCFB5-001A-4F98-BF93-24AACB414F4D}"/>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35" name="Group 30">
          <a:extLst>
            <a:ext uri="{FF2B5EF4-FFF2-40B4-BE49-F238E27FC236}">
              <a16:creationId xmlns:a16="http://schemas.microsoft.com/office/drawing/2014/main" id="{71F89AB4-AAB9-4E80-B073-0098003D0A78}"/>
            </a:ext>
          </a:extLst>
        </xdr:cNvPr>
        <xdr:cNvGrpSpPr>
          <a:grpSpLocks/>
        </xdr:cNvGrpSpPr>
      </xdr:nvGrpSpPr>
      <xdr:grpSpPr bwMode="auto">
        <a:xfrm>
          <a:off x="47625" y="1333500"/>
          <a:ext cx="180975" cy="190500"/>
          <a:chOff x="554" y="194"/>
          <a:chExt cx="19" cy="20"/>
        </a:xfrm>
      </xdr:grpSpPr>
      <xdr:sp macro="" textlink="">
        <xdr:nvSpPr>
          <xdr:cNvPr id="36" name="Oval 31">
            <a:extLst>
              <a:ext uri="{FF2B5EF4-FFF2-40B4-BE49-F238E27FC236}">
                <a16:creationId xmlns:a16="http://schemas.microsoft.com/office/drawing/2014/main" id="{BBA0064A-9F2C-4812-9227-76775C5A359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37" name="Rectangle 32">
            <a:extLst>
              <a:ext uri="{FF2B5EF4-FFF2-40B4-BE49-F238E27FC236}">
                <a16:creationId xmlns:a16="http://schemas.microsoft.com/office/drawing/2014/main" id="{AA3522BA-A09E-4BDC-8BFB-9E969E3EDD58}"/>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38" name="Group 33">
          <a:extLst>
            <a:ext uri="{FF2B5EF4-FFF2-40B4-BE49-F238E27FC236}">
              <a16:creationId xmlns:a16="http://schemas.microsoft.com/office/drawing/2014/main" id="{73E636F5-220F-402C-9D34-397E0E31F684}"/>
            </a:ext>
          </a:extLst>
        </xdr:cNvPr>
        <xdr:cNvGrpSpPr>
          <a:grpSpLocks/>
        </xdr:cNvGrpSpPr>
      </xdr:nvGrpSpPr>
      <xdr:grpSpPr bwMode="auto">
        <a:xfrm>
          <a:off x="6057900" y="1323975"/>
          <a:ext cx="180975" cy="190500"/>
          <a:chOff x="554" y="194"/>
          <a:chExt cx="19" cy="20"/>
        </a:xfrm>
      </xdr:grpSpPr>
      <xdr:sp macro="" textlink="">
        <xdr:nvSpPr>
          <xdr:cNvPr id="39" name="Oval 34">
            <a:extLst>
              <a:ext uri="{FF2B5EF4-FFF2-40B4-BE49-F238E27FC236}">
                <a16:creationId xmlns:a16="http://schemas.microsoft.com/office/drawing/2014/main" id="{AE2F71BA-7F04-45C2-8F0A-2554DC4D88F4}"/>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0" name="Rectangle 35">
            <a:extLst>
              <a:ext uri="{FF2B5EF4-FFF2-40B4-BE49-F238E27FC236}">
                <a16:creationId xmlns:a16="http://schemas.microsoft.com/office/drawing/2014/main" id="{B6905092-EFFA-4DBB-B565-4F9093CCCFF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1" name="Group 36">
          <a:extLst>
            <a:ext uri="{FF2B5EF4-FFF2-40B4-BE49-F238E27FC236}">
              <a16:creationId xmlns:a16="http://schemas.microsoft.com/office/drawing/2014/main" id="{B8ED484B-610D-4E65-9416-E595AE5A6F2B}"/>
            </a:ext>
          </a:extLst>
        </xdr:cNvPr>
        <xdr:cNvGrpSpPr>
          <a:grpSpLocks/>
        </xdr:cNvGrpSpPr>
      </xdr:nvGrpSpPr>
      <xdr:grpSpPr bwMode="auto">
        <a:xfrm>
          <a:off x="6915150" y="142875"/>
          <a:ext cx="180975" cy="190500"/>
          <a:chOff x="554" y="194"/>
          <a:chExt cx="19" cy="20"/>
        </a:xfrm>
      </xdr:grpSpPr>
      <xdr:sp macro="" textlink="">
        <xdr:nvSpPr>
          <xdr:cNvPr id="42" name="Oval 37">
            <a:extLst>
              <a:ext uri="{FF2B5EF4-FFF2-40B4-BE49-F238E27FC236}">
                <a16:creationId xmlns:a16="http://schemas.microsoft.com/office/drawing/2014/main" id="{A5F0368A-2905-4E31-9941-75459E639687}"/>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3" name="Rectangle 38">
            <a:extLst>
              <a:ext uri="{FF2B5EF4-FFF2-40B4-BE49-F238E27FC236}">
                <a16:creationId xmlns:a16="http://schemas.microsoft.com/office/drawing/2014/main" id="{CD182BE0-42D6-4F88-B92D-F946321356A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4" name="Group 39">
          <a:extLst>
            <a:ext uri="{FF2B5EF4-FFF2-40B4-BE49-F238E27FC236}">
              <a16:creationId xmlns:a16="http://schemas.microsoft.com/office/drawing/2014/main" id="{75491C9F-1FF9-4511-B27C-E1899A212E2D}"/>
            </a:ext>
          </a:extLst>
        </xdr:cNvPr>
        <xdr:cNvGrpSpPr>
          <a:grpSpLocks/>
        </xdr:cNvGrpSpPr>
      </xdr:nvGrpSpPr>
      <xdr:grpSpPr bwMode="auto">
        <a:xfrm>
          <a:off x="8810625" y="1323975"/>
          <a:ext cx="180975" cy="190500"/>
          <a:chOff x="554" y="194"/>
          <a:chExt cx="19" cy="20"/>
        </a:xfrm>
      </xdr:grpSpPr>
      <xdr:sp macro="" textlink="">
        <xdr:nvSpPr>
          <xdr:cNvPr id="45" name="Oval 40">
            <a:extLst>
              <a:ext uri="{FF2B5EF4-FFF2-40B4-BE49-F238E27FC236}">
                <a16:creationId xmlns:a16="http://schemas.microsoft.com/office/drawing/2014/main" id="{7863D981-8032-4E3A-8DC6-61EBAE033F3A}"/>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6" name="Rectangle 41">
            <a:extLst>
              <a:ext uri="{FF2B5EF4-FFF2-40B4-BE49-F238E27FC236}">
                <a16:creationId xmlns:a16="http://schemas.microsoft.com/office/drawing/2014/main" id="{7170BC04-3930-4DA6-AC64-75F9A8150FEB}"/>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7" name="Group 42">
          <a:extLst>
            <a:ext uri="{FF2B5EF4-FFF2-40B4-BE49-F238E27FC236}">
              <a16:creationId xmlns:a16="http://schemas.microsoft.com/office/drawing/2014/main" id="{DD572044-BE61-4016-9D11-D2F106BC7499}"/>
            </a:ext>
          </a:extLst>
        </xdr:cNvPr>
        <xdr:cNvGrpSpPr>
          <a:grpSpLocks/>
        </xdr:cNvGrpSpPr>
      </xdr:nvGrpSpPr>
      <xdr:grpSpPr bwMode="auto">
        <a:xfrm>
          <a:off x="9658350" y="1323975"/>
          <a:ext cx="180975" cy="190500"/>
          <a:chOff x="554" y="194"/>
          <a:chExt cx="19" cy="20"/>
        </a:xfrm>
      </xdr:grpSpPr>
      <xdr:sp macro="" textlink="">
        <xdr:nvSpPr>
          <xdr:cNvPr id="48" name="Oval 43">
            <a:extLst>
              <a:ext uri="{FF2B5EF4-FFF2-40B4-BE49-F238E27FC236}">
                <a16:creationId xmlns:a16="http://schemas.microsoft.com/office/drawing/2014/main" id="{2048D8BD-E95F-4861-90E7-EB9A08DFBEA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49" name="Rectangle 44">
            <a:extLst>
              <a:ext uri="{FF2B5EF4-FFF2-40B4-BE49-F238E27FC236}">
                <a16:creationId xmlns:a16="http://schemas.microsoft.com/office/drawing/2014/main" id="{92D28C75-491A-4F46-B6BB-5B42044B57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50" name="Group 45">
          <a:extLst>
            <a:ext uri="{FF2B5EF4-FFF2-40B4-BE49-F238E27FC236}">
              <a16:creationId xmlns:a16="http://schemas.microsoft.com/office/drawing/2014/main" id="{28F49D7F-D0C8-4D9F-BA63-1EFEBA4B1D31}"/>
            </a:ext>
          </a:extLst>
        </xdr:cNvPr>
        <xdr:cNvGrpSpPr>
          <a:grpSpLocks/>
        </xdr:cNvGrpSpPr>
      </xdr:nvGrpSpPr>
      <xdr:grpSpPr bwMode="auto">
        <a:xfrm>
          <a:off x="10972800" y="114300"/>
          <a:ext cx="180975" cy="190500"/>
          <a:chOff x="554" y="194"/>
          <a:chExt cx="19" cy="20"/>
        </a:xfrm>
      </xdr:grpSpPr>
      <xdr:sp macro="" textlink="">
        <xdr:nvSpPr>
          <xdr:cNvPr id="51" name="Oval 46">
            <a:extLst>
              <a:ext uri="{FF2B5EF4-FFF2-40B4-BE49-F238E27FC236}">
                <a16:creationId xmlns:a16="http://schemas.microsoft.com/office/drawing/2014/main" id="{4E117F0A-86F4-40FD-A627-6F9BA8A4670C}"/>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52" name="Rectangle 47">
            <a:extLst>
              <a:ext uri="{FF2B5EF4-FFF2-40B4-BE49-F238E27FC236}">
                <a16:creationId xmlns:a16="http://schemas.microsoft.com/office/drawing/2014/main" id="{80A51499-87E9-4D9C-8EB0-E41D5453C6C4}"/>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53" name="Group 48">
          <a:extLst>
            <a:ext uri="{FF2B5EF4-FFF2-40B4-BE49-F238E27FC236}">
              <a16:creationId xmlns:a16="http://schemas.microsoft.com/office/drawing/2014/main" id="{8AF926BC-12C9-492D-97E4-30A34D9FA031}"/>
            </a:ext>
          </a:extLst>
        </xdr:cNvPr>
        <xdr:cNvGrpSpPr>
          <a:grpSpLocks/>
        </xdr:cNvGrpSpPr>
      </xdr:nvGrpSpPr>
      <xdr:grpSpPr bwMode="auto">
        <a:xfrm>
          <a:off x="17859375" y="1333500"/>
          <a:ext cx="247650" cy="190500"/>
          <a:chOff x="554" y="194"/>
          <a:chExt cx="19" cy="20"/>
        </a:xfrm>
      </xdr:grpSpPr>
      <xdr:sp macro="" textlink="">
        <xdr:nvSpPr>
          <xdr:cNvPr id="54" name="Oval 49">
            <a:extLst>
              <a:ext uri="{FF2B5EF4-FFF2-40B4-BE49-F238E27FC236}">
                <a16:creationId xmlns:a16="http://schemas.microsoft.com/office/drawing/2014/main" id="{A85F703B-7785-4F86-9408-444E6C1EBC32}"/>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 textlink="">
        <xdr:nvSpPr>
          <xdr:cNvPr id="55" name="Rectangle 50">
            <a:extLst>
              <a:ext uri="{FF2B5EF4-FFF2-40B4-BE49-F238E27FC236}">
                <a16:creationId xmlns:a16="http://schemas.microsoft.com/office/drawing/2014/main" id="{31EBDCE8-BA31-4275-9017-CB4084A0EA2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28575</xdr:rowOff>
    </xdr:from>
    <xdr:to>
      <xdr:col>6</xdr:col>
      <xdr:colOff>838200</xdr:colOff>
      <xdr:row>0</xdr:row>
      <xdr:rowOff>276225</xdr:rowOff>
    </xdr:to>
    <xdr:sp macro="[0]!Export_Tab" textlink="">
      <xdr:nvSpPr>
        <xdr:cNvPr id="3080" name="AutoShape 8">
          <a:extLst>
            <a:ext uri="{FF2B5EF4-FFF2-40B4-BE49-F238E27FC236}">
              <a16:creationId xmlns:a16="http://schemas.microsoft.com/office/drawing/2014/main" id="{20A15B88-6D78-472A-B89A-3B0F24405090}"/>
            </a:ext>
          </a:extLst>
        </xdr:cNvPr>
        <xdr:cNvSpPr>
          <a:spLocks noChangeArrowheads="1"/>
        </xdr:cNvSpPr>
      </xdr:nvSpPr>
      <xdr:spPr bwMode="auto">
        <a:xfrm>
          <a:off x="4257675" y="285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xdr:from>
      <xdr:col>3</xdr:col>
      <xdr:colOff>560930</xdr:colOff>
      <xdr:row>2</xdr:row>
      <xdr:rowOff>36613</xdr:rowOff>
    </xdr:from>
    <xdr:to>
      <xdr:col>3</xdr:col>
      <xdr:colOff>828676</xdr:colOff>
      <xdr:row>2</xdr:row>
      <xdr:rowOff>294339</xdr:rowOff>
    </xdr:to>
    <xdr:sp macro="[0]!Sheet1.Histavg1" textlink="">
      <xdr:nvSpPr>
        <xdr:cNvPr id="3" name="Flowchart: Terminator 2">
          <a:extLst>
            <a:ext uri="{FF2B5EF4-FFF2-40B4-BE49-F238E27FC236}">
              <a16:creationId xmlns:a16="http://schemas.microsoft.com/office/drawing/2014/main" id="{BA0C9551-FD73-417B-83B4-9CCA4E3B405E}"/>
            </a:ext>
          </a:extLst>
        </xdr:cNvPr>
        <xdr:cNvSpPr/>
      </xdr:nvSpPr>
      <xdr:spPr bwMode="auto">
        <a:xfrm>
          <a:off x="2427830" y="531913"/>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4</xdr:col>
      <xdr:colOff>561975</xdr:colOff>
      <xdr:row>2</xdr:row>
      <xdr:rowOff>38100</xdr:rowOff>
    </xdr:from>
    <xdr:to>
      <xdr:col>4</xdr:col>
      <xdr:colOff>829721</xdr:colOff>
      <xdr:row>2</xdr:row>
      <xdr:rowOff>295826</xdr:rowOff>
    </xdr:to>
    <xdr:sp macro="[0]!Sheet1.Histavg2" textlink="">
      <xdr:nvSpPr>
        <xdr:cNvPr id="5" name="Flowchart: Terminator 4">
          <a:extLst>
            <a:ext uri="{FF2B5EF4-FFF2-40B4-BE49-F238E27FC236}">
              <a16:creationId xmlns:a16="http://schemas.microsoft.com/office/drawing/2014/main" id="{E118F0A3-AADF-49BE-9926-D28625F90E15}"/>
            </a:ext>
          </a:extLst>
        </xdr:cNvPr>
        <xdr:cNvSpPr/>
      </xdr:nvSpPr>
      <xdr:spPr bwMode="auto">
        <a:xfrm>
          <a:off x="32766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5</xdr:col>
      <xdr:colOff>552450</xdr:colOff>
      <xdr:row>2</xdr:row>
      <xdr:rowOff>38100</xdr:rowOff>
    </xdr:from>
    <xdr:to>
      <xdr:col>5</xdr:col>
      <xdr:colOff>820196</xdr:colOff>
      <xdr:row>2</xdr:row>
      <xdr:rowOff>295826</xdr:rowOff>
    </xdr:to>
    <xdr:sp macro="[0]!Sheet1.Histavg3" textlink="">
      <xdr:nvSpPr>
        <xdr:cNvPr id="6" name="Flowchart: Terminator 5">
          <a:extLst>
            <a:ext uri="{FF2B5EF4-FFF2-40B4-BE49-F238E27FC236}">
              <a16:creationId xmlns:a16="http://schemas.microsoft.com/office/drawing/2014/main" id="{2661E5A2-8411-4565-8AAF-9965169BEB4D}"/>
            </a:ext>
          </a:extLst>
        </xdr:cNvPr>
        <xdr:cNvSpPr/>
      </xdr:nvSpPr>
      <xdr:spPr bwMode="auto">
        <a:xfrm>
          <a:off x="41148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6</xdr:col>
      <xdr:colOff>542925</xdr:colOff>
      <xdr:row>2</xdr:row>
      <xdr:rowOff>38100</xdr:rowOff>
    </xdr:from>
    <xdr:to>
      <xdr:col>6</xdr:col>
      <xdr:colOff>810671</xdr:colOff>
      <xdr:row>2</xdr:row>
      <xdr:rowOff>295826</xdr:rowOff>
    </xdr:to>
    <xdr:sp macro="[0]!Sheet1.Histavg4" textlink="">
      <xdr:nvSpPr>
        <xdr:cNvPr id="7" name="Flowchart: Terminator 6">
          <a:extLst>
            <a:ext uri="{FF2B5EF4-FFF2-40B4-BE49-F238E27FC236}">
              <a16:creationId xmlns:a16="http://schemas.microsoft.com/office/drawing/2014/main" id="{C7230CA6-CE2F-44F3-AE95-A86049C31C22}"/>
            </a:ext>
          </a:extLst>
        </xdr:cNvPr>
        <xdr:cNvSpPr/>
      </xdr:nvSpPr>
      <xdr:spPr bwMode="auto">
        <a:xfrm>
          <a:off x="49530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7</xdr:col>
      <xdr:colOff>533400</xdr:colOff>
      <xdr:row>2</xdr:row>
      <xdr:rowOff>38100</xdr:rowOff>
    </xdr:from>
    <xdr:to>
      <xdr:col>7</xdr:col>
      <xdr:colOff>801146</xdr:colOff>
      <xdr:row>2</xdr:row>
      <xdr:rowOff>295826</xdr:rowOff>
    </xdr:to>
    <xdr:sp macro="[0]!Sheet1.Histavg5" textlink="">
      <xdr:nvSpPr>
        <xdr:cNvPr id="8" name="Flowchart: Terminator 7">
          <a:extLst>
            <a:ext uri="{FF2B5EF4-FFF2-40B4-BE49-F238E27FC236}">
              <a16:creationId xmlns:a16="http://schemas.microsoft.com/office/drawing/2014/main" id="{26A8F3DD-4C0D-40ED-8FDB-0F853162FE07}"/>
            </a:ext>
          </a:extLst>
        </xdr:cNvPr>
        <xdr:cNvSpPr/>
      </xdr:nvSpPr>
      <xdr:spPr bwMode="auto">
        <a:xfrm>
          <a:off x="57912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8</xdr:col>
      <xdr:colOff>533400</xdr:colOff>
      <xdr:row>2</xdr:row>
      <xdr:rowOff>38100</xdr:rowOff>
    </xdr:from>
    <xdr:to>
      <xdr:col>8</xdr:col>
      <xdr:colOff>801146</xdr:colOff>
      <xdr:row>2</xdr:row>
      <xdr:rowOff>295826</xdr:rowOff>
    </xdr:to>
    <xdr:sp macro="[0]!HistoricalAVG" textlink="">
      <xdr:nvSpPr>
        <xdr:cNvPr id="9" name="Flowchart: Terminator 8">
          <a:extLst>
            <a:ext uri="{FF2B5EF4-FFF2-40B4-BE49-F238E27FC236}">
              <a16:creationId xmlns:a16="http://schemas.microsoft.com/office/drawing/2014/main" id="{84C10DC5-1F90-4470-84A0-6325C78A0983}"/>
            </a:ext>
          </a:extLst>
        </xdr:cNvPr>
        <xdr:cNvSpPr/>
      </xdr:nvSpPr>
      <xdr:spPr bwMode="auto">
        <a:xfrm>
          <a:off x="6638925"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9</xdr:col>
      <xdr:colOff>533400</xdr:colOff>
      <xdr:row>2</xdr:row>
      <xdr:rowOff>38100</xdr:rowOff>
    </xdr:from>
    <xdr:to>
      <xdr:col>9</xdr:col>
      <xdr:colOff>801146</xdr:colOff>
      <xdr:row>2</xdr:row>
      <xdr:rowOff>295826</xdr:rowOff>
    </xdr:to>
    <xdr:sp macro="[0]!HistoricalAVG" textlink="">
      <xdr:nvSpPr>
        <xdr:cNvPr id="10" name="Flowchart: Terminator 9">
          <a:extLst>
            <a:ext uri="{FF2B5EF4-FFF2-40B4-BE49-F238E27FC236}">
              <a16:creationId xmlns:a16="http://schemas.microsoft.com/office/drawing/2014/main" id="{7ADB85C5-335D-4676-AE53-6BEF2D362AFB}"/>
            </a:ext>
          </a:extLst>
        </xdr:cNvPr>
        <xdr:cNvSpPr/>
      </xdr:nvSpPr>
      <xdr:spPr bwMode="auto">
        <a:xfrm>
          <a:off x="748665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10</xdr:col>
      <xdr:colOff>542925</xdr:colOff>
      <xdr:row>2</xdr:row>
      <xdr:rowOff>47625</xdr:rowOff>
    </xdr:from>
    <xdr:to>
      <xdr:col>10</xdr:col>
      <xdr:colOff>810671</xdr:colOff>
      <xdr:row>2</xdr:row>
      <xdr:rowOff>305351</xdr:rowOff>
    </xdr:to>
    <xdr:sp macro="[0]!HistoricalAVG" textlink="">
      <xdr:nvSpPr>
        <xdr:cNvPr id="11" name="Flowchart: Terminator 10">
          <a:extLst>
            <a:ext uri="{FF2B5EF4-FFF2-40B4-BE49-F238E27FC236}">
              <a16:creationId xmlns:a16="http://schemas.microsoft.com/office/drawing/2014/main" id="{42AFB7BF-6544-45D5-B3C9-56D312EBA704}"/>
            </a:ext>
          </a:extLst>
        </xdr:cNvPr>
        <xdr:cNvSpPr/>
      </xdr:nvSpPr>
      <xdr:spPr bwMode="auto">
        <a:xfrm>
          <a:off x="8343900" y="542925"/>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208683</xdr:colOff>
      <xdr:row>17</xdr:row>
      <xdr:rowOff>103043</xdr:rowOff>
    </xdr:from>
    <xdr:to>
      <xdr:col>4</xdr:col>
      <xdr:colOff>464127</xdr:colOff>
      <xdr:row>20</xdr:row>
      <xdr:rowOff>122093</xdr:rowOff>
    </xdr:to>
    <xdr:sp macro="" textlink="">
      <xdr:nvSpPr>
        <xdr:cNvPr id="3" name="Down Arrow 2">
          <a:extLst>
            <a:ext uri="{FF2B5EF4-FFF2-40B4-BE49-F238E27FC236}">
              <a16:creationId xmlns:a16="http://schemas.microsoft.com/office/drawing/2014/main" id="{A30E6CFD-4899-47CE-8F85-149F74B59A8C}"/>
            </a:ext>
          </a:extLst>
        </xdr:cNvPr>
        <xdr:cNvSpPr/>
      </xdr:nvSpPr>
      <xdr:spPr>
        <a:xfrm>
          <a:off x="2761383" y="2855768"/>
          <a:ext cx="255444" cy="50482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203488</xdr:colOff>
      <xdr:row>45</xdr:row>
      <xdr:rowOff>103909</xdr:rowOff>
    </xdr:from>
    <xdr:to>
      <xdr:col>4</xdr:col>
      <xdr:colOff>468457</xdr:colOff>
      <xdr:row>48</xdr:row>
      <xdr:rowOff>113434</xdr:rowOff>
    </xdr:to>
    <xdr:sp macro="" textlink="">
      <xdr:nvSpPr>
        <xdr:cNvPr id="4" name="Down Arrow 3">
          <a:extLst>
            <a:ext uri="{FF2B5EF4-FFF2-40B4-BE49-F238E27FC236}">
              <a16:creationId xmlns:a16="http://schemas.microsoft.com/office/drawing/2014/main" id="{FD144BCB-4BA5-4F99-91EA-331368C89F29}"/>
            </a:ext>
          </a:extLst>
        </xdr:cNvPr>
        <xdr:cNvSpPr/>
      </xdr:nvSpPr>
      <xdr:spPr>
        <a:xfrm>
          <a:off x="7861588" y="2856634"/>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73</xdr:row>
      <xdr:rowOff>86591</xdr:rowOff>
    </xdr:from>
    <xdr:to>
      <xdr:col>4</xdr:col>
      <xdr:colOff>459797</xdr:colOff>
      <xdr:row>76</xdr:row>
      <xdr:rowOff>96116</xdr:rowOff>
    </xdr:to>
    <xdr:sp macro="" textlink="">
      <xdr:nvSpPr>
        <xdr:cNvPr id="5" name="Down Arrow 4">
          <a:extLst>
            <a:ext uri="{FF2B5EF4-FFF2-40B4-BE49-F238E27FC236}">
              <a16:creationId xmlns:a16="http://schemas.microsoft.com/office/drawing/2014/main" id="{C3DB8420-3C11-413C-8A24-0B101455F30D}"/>
            </a:ext>
          </a:extLst>
        </xdr:cNvPr>
        <xdr:cNvSpPr/>
      </xdr:nvSpPr>
      <xdr:spPr>
        <a:xfrm>
          <a:off x="12958328" y="2839316"/>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101</xdr:row>
      <xdr:rowOff>86591</xdr:rowOff>
    </xdr:from>
    <xdr:to>
      <xdr:col>4</xdr:col>
      <xdr:colOff>459797</xdr:colOff>
      <xdr:row>104</xdr:row>
      <xdr:rowOff>96116</xdr:rowOff>
    </xdr:to>
    <xdr:sp macro="" textlink="">
      <xdr:nvSpPr>
        <xdr:cNvPr id="6" name="Down Arrow 4">
          <a:extLst>
            <a:ext uri="{FF2B5EF4-FFF2-40B4-BE49-F238E27FC236}">
              <a16:creationId xmlns:a16="http://schemas.microsoft.com/office/drawing/2014/main" id="{B1EFF752-C960-476C-84E5-BF46B617B36B}"/>
            </a:ext>
          </a:extLst>
        </xdr:cNvPr>
        <xdr:cNvSpPr/>
      </xdr:nvSpPr>
      <xdr:spPr>
        <a:xfrm>
          <a:off x="4597495" y="13019424"/>
          <a:ext cx="264969" cy="48577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259291</xdr:colOff>
      <xdr:row>112</xdr:row>
      <xdr:rowOff>41275</xdr:rowOff>
    </xdr:from>
    <xdr:to>
      <xdr:col>6</xdr:col>
      <xdr:colOff>1068917</xdr:colOff>
      <xdr:row>135</xdr:row>
      <xdr:rowOff>148167</xdr:rowOff>
    </xdr:to>
    <xdr:graphicFrame macro="">
      <xdr:nvGraphicFramePr>
        <xdr:cNvPr id="2" name="Chart 1">
          <a:extLst>
            <a:ext uri="{FF2B5EF4-FFF2-40B4-BE49-F238E27FC236}">
              <a16:creationId xmlns:a16="http://schemas.microsoft.com/office/drawing/2014/main" id="{A325C8E6-AC7D-4DBD-8B48-28076DA3D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TESI/TESI%20Client/Hearst/2015%20Cost%20of%20Service/Hearst_2015%20Rate%20Design%20Model%20May%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anuela/Documents/TANDEM%20ENERGY%20SERVICES%20INC/CODES%20&amp;%20POLICIES/Minimum%20Filing%20Requirements/2014%20Minimum%20Filing%20Requirement/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OFLEX_HOME\GoFlex%20Home%20Personal\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lists2"/>
      <sheetName val="Sheet19"/>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 (2"/>
      <sheetName val="App.2-FB Calc of REG Improv (2"/>
      <sheetName val="App.2-FC Calc of REG Expans (2"/>
      <sheetName val="App.2-I LF_CDM_WF_OLD"/>
      <sheetName val="App.2-IA_Act_Frcst_Data"/>
      <sheetName val="App.2-Y_MIFRS Summary Impact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11"/>
      <sheetName val="2012"/>
      <sheetName val="2013"/>
      <sheetName val="2014"/>
      <sheetName val="Letter from the Vice-President"/>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 val="Cover Letter"/>
      <sheetName val="LDC Summary"/>
      <sheetName val="Graphs Savings"/>
      <sheetName val="Province Wide Summary"/>
      <sheetName val="Quick Summary Graphs"/>
      <sheetName val="Province-Wide Progress"/>
      <sheetName val="IESO VAS and CD Costs"/>
      <sheetName val="Retrofit Multi-Site App's"/>
      <sheetName val="Reference Tables"/>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6">
          <cell r="E16"/>
        </row>
      </sheetData>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19">
          <cell r="E19">
            <v>1346.575759190094</v>
          </cell>
        </row>
      </sheetData>
      <sheetData sheetId="151"/>
      <sheetData sheetId="152" refreshError="1"/>
      <sheetData sheetId="153" refreshError="1"/>
      <sheetData sheetId="154" refreshError="1"/>
      <sheetData sheetId="155" refreshError="1"/>
      <sheetData sheetId="156"/>
      <sheetData sheetId="157"/>
      <sheetData sheetId="158"/>
      <sheetData sheetId="159"/>
      <sheetData sheetId="160"/>
      <sheetData sheetId="161">
        <row r="11">
          <cell r="AR11">
            <v>7.0244986841696004</v>
          </cell>
        </row>
      </sheetData>
      <sheetData sheetId="162">
        <row r="12">
          <cell r="AR12">
            <v>492.44934342297472</v>
          </cell>
        </row>
      </sheetData>
      <sheetData sheetId="163">
        <row r="4">
          <cell r="AT4">
            <v>0</v>
          </cell>
        </row>
      </sheetData>
      <sheetData sheetId="164">
        <row r="4">
          <cell r="AU4">
            <v>307.00544339999999</v>
          </cell>
        </row>
      </sheetData>
      <sheetData sheetId="165" refreshError="1"/>
      <sheetData sheetId="166" refreshError="1"/>
      <sheetData sheetId="167" refreshError="1"/>
      <sheetData sheetId="168" refreshError="1"/>
      <sheetData sheetId="169">
        <row r="105">
          <cell r="BB105">
            <v>144137.12065022762</v>
          </cell>
        </row>
      </sheetData>
      <sheetData sheetId="170" refreshError="1"/>
      <sheetData sheetId="171">
        <row r="90">
          <cell r="CG90">
            <v>4113419</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854">
          <cell r="D854">
            <v>1329755.2734502701</v>
          </cell>
        </row>
      </sheetData>
      <sheetData sheetId="209" refreshError="1"/>
      <sheetData sheetId="210" refreshError="1"/>
      <sheetData sheetId="2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V109"/>
  <sheetViews>
    <sheetView showGridLines="0" topLeftCell="A64" zoomScale="90" zoomScaleNormal="90" workbookViewId="0">
      <selection activeCell="H30" sqref="H30"/>
    </sheetView>
  </sheetViews>
  <sheetFormatPr defaultColWidth="9.33203125" defaultRowHeight="12.75" x14ac:dyDescent="0.2"/>
  <cols>
    <col min="1" max="1" width="36.1640625" style="144" customWidth="1"/>
    <col min="2" max="2" width="21.6640625" style="202" customWidth="1"/>
    <col min="3" max="3" width="4.5" style="202" customWidth="1"/>
    <col min="4" max="6" width="16.33203125" style="145" customWidth="1"/>
    <col min="7" max="13" width="16.33203125" style="144" customWidth="1"/>
    <col min="14" max="14" width="15.1640625" style="296" bestFit="1" customWidth="1"/>
    <col min="15" max="15" width="17" style="296" bestFit="1" customWidth="1"/>
    <col min="16" max="16" width="14.1640625" style="296" bestFit="1" customWidth="1"/>
    <col min="17" max="28" width="16.33203125" style="144" customWidth="1"/>
    <col min="29" max="29" width="0" style="144" hidden="1" customWidth="1"/>
    <col min="30" max="16384" width="9.33203125" style="144"/>
  </cols>
  <sheetData>
    <row r="1" spans="1:22" x14ac:dyDescent="0.2">
      <c r="D1" s="144"/>
      <c r="E1" s="144"/>
      <c r="F1" s="144"/>
    </row>
    <row r="2" spans="1:22" ht="13.5" thickBot="1" x14ac:dyDescent="0.25">
      <c r="D2" s="144"/>
      <c r="E2" s="144"/>
      <c r="F2" s="144"/>
    </row>
    <row r="3" spans="1:22" s="201" customFormat="1" ht="16.5" thickTop="1" x14ac:dyDescent="0.2">
      <c r="A3" s="409" t="s">
        <v>55</v>
      </c>
      <c r="B3" s="409"/>
      <c r="C3" s="203"/>
      <c r="D3" s="407" t="s">
        <v>88</v>
      </c>
      <c r="E3" s="408"/>
      <c r="F3" s="408"/>
      <c r="G3" s="408"/>
      <c r="H3" s="408"/>
      <c r="I3" s="408"/>
      <c r="J3" s="408"/>
      <c r="K3" s="408"/>
      <c r="L3" s="408"/>
      <c r="M3" s="408"/>
      <c r="N3" s="408"/>
      <c r="O3" s="408"/>
      <c r="P3" s="408"/>
      <c r="Q3" s="408"/>
      <c r="R3" s="408"/>
      <c r="S3" s="408"/>
      <c r="T3" s="408"/>
      <c r="U3" s="408"/>
      <c r="V3" s="408"/>
    </row>
    <row r="4" spans="1:22" ht="39" customHeight="1" x14ac:dyDescent="0.2">
      <c r="A4" s="208" t="s">
        <v>54</v>
      </c>
      <c r="B4" s="288" t="s">
        <v>170</v>
      </c>
      <c r="D4" s="196"/>
      <c r="E4" s="196" t="str">
        <f>'Input - Customer Data'!A13</f>
        <v>Residential</v>
      </c>
      <c r="F4" s="196"/>
      <c r="G4" s="196" t="str">
        <f>'Input - Customer Data'!A14</f>
        <v>General Service &lt; 50 kW</v>
      </c>
      <c r="H4" s="196"/>
      <c r="I4" s="196" t="str">
        <f>'Input - Customer Data'!A15</f>
        <v>General Service 50 to 4999 kW</v>
      </c>
      <c r="J4" s="196"/>
      <c r="K4" s="196" t="str">
        <f>'Input - Customer Data'!A16</f>
        <v>Embedded</v>
      </c>
      <c r="L4" s="196"/>
      <c r="M4" s="196" t="str">
        <f>'Input - Customer Data'!A17</f>
        <v xml:space="preserve">Street Lighting </v>
      </c>
      <c r="N4" s="196"/>
      <c r="O4" s="196" t="str">
        <f>'Input - Customer Data'!A18</f>
        <v>Sentinel</v>
      </c>
      <c r="P4" s="196"/>
      <c r="Q4" s="196" t="str">
        <f>'Input - Customer Data'!A19</f>
        <v>USL</v>
      </c>
      <c r="R4" s="196"/>
      <c r="S4" s="196" t="str">
        <f>'Input - Customer Data'!A20</f>
        <v>other</v>
      </c>
      <c r="T4" s="196"/>
      <c r="U4" s="196" t="str">
        <f>'Input - Customer Data'!A21</f>
        <v>other</v>
      </c>
      <c r="V4" s="196"/>
    </row>
    <row r="5" spans="1:22" ht="24.75" customHeight="1" x14ac:dyDescent="0.2">
      <c r="A5" s="208" t="s">
        <v>53</v>
      </c>
      <c r="B5" s="289" t="s">
        <v>189</v>
      </c>
      <c r="D5" s="196" t="s">
        <v>87</v>
      </c>
      <c r="E5" s="196" t="s">
        <v>86</v>
      </c>
      <c r="F5" s="196" t="s">
        <v>85</v>
      </c>
      <c r="G5" s="196" t="s">
        <v>86</v>
      </c>
      <c r="H5" s="196" t="s">
        <v>85</v>
      </c>
      <c r="I5" s="196" t="s">
        <v>86</v>
      </c>
      <c r="J5" s="196" t="s">
        <v>85</v>
      </c>
      <c r="K5" s="196" t="s">
        <v>86</v>
      </c>
      <c r="L5" s="196" t="s">
        <v>85</v>
      </c>
      <c r="M5" s="196" t="s">
        <v>86</v>
      </c>
      <c r="N5" s="196" t="s">
        <v>85</v>
      </c>
      <c r="O5" s="196" t="s">
        <v>86</v>
      </c>
      <c r="P5" s="196" t="s">
        <v>85</v>
      </c>
      <c r="Q5" s="196" t="s">
        <v>86</v>
      </c>
      <c r="R5" s="196" t="s">
        <v>85</v>
      </c>
      <c r="S5" s="196" t="s">
        <v>86</v>
      </c>
      <c r="T5" s="196" t="s">
        <v>85</v>
      </c>
      <c r="U5" s="196" t="s">
        <v>86</v>
      </c>
      <c r="V5" s="196" t="s">
        <v>85</v>
      </c>
    </row>
    <row r="6" spans="1:22" x14ac:dyDescent="0.2">
      <c r="A6" s="209" t="s">
        <v>52</v>
      </c>
      <c r="B6" s="289">
        <v>2021</v>
      </c>
      <c r="C6" s="206"/>
      <c r="D6" s="240">
        <f>'Input - Customer Data'!B7-11</f>
        <v>2011</v>
      </c>
      <c r="E6" s="254">
        <f>D$67</f>
        <v>25559.5</v>
      </c>
      <c r="F6" s="148"/>
      <c r="G6" s="254">
        <f>D$71</f>
        <v>2507</v>
      </c>
      <c r="H6" s="148"/>
      <c r="I6" s="254">
        <f>D$76</f>
        <v>224.41666666666666</v>
      </c>
      <c r="J6" s="148"/>
      <c r="K6" s="254">
        <f>D$81</f>
        <v>1</v>
      </c>
      <c r="L6" s="148"/>
      <c r="M6" s="254">
        <f>D$86</f>
        <v>5706.333333333333</v>
      </c>
      <c r="N6" s="291"/>
      <c r="O6" s="254">
        <f>D$91</f>
        <v>828.25</v>
      </c>
      <c r="P6" s="291"/>
      <c r="Q6" s="254">
        <f>D$96</f>
        <v>38.666666666666664</v>
      </c>
      <c r="R6" s="148"/>
      <c r="S6" s="254"/>
      <c r="T6" s="148"/>
      <c r="U6" s="254"/>
      <c r="V6" s="148"/>
    </row>
    <row r="7" spans="1:22" x14ac:dyDescent="0.2">
      <c r="A7" s="209" t="s">
        <v>51</v>
      </c>
      <c r="B7" s="289">
        <v>2022</v>
      </c>
      <c r="C7" s="207"/>
      <c r="D7" s="240">
        <f>'Input - Customer Data'!B7-10</f>
        <v>2012</v>
      </c>
      <c r="E7" s="254">
        <f>E$67</f>
        <v>25711</v>
      </c>
      <c r="F7" s="154">
        <f t="shared" ref="F7:F15" si="0">E7/E6</f>
        <v>1.0059273459965963</v>
      </c>
      <c r="G7" s="254">
        <f>E$71</f>
        <v>2530.9166666666665</v>
      </c>
      <c r="H7" s="154">
        <f t="shared" ref="H7:H15" si="1">G7/G6</f>
        <v>1.0095399547932455</v>
      </c>
      <c r="I7" s="254">
        <f>E$76</f>
        <v>224.5</v>
      </c>
      <c r="J7" s="154">
        <f t="shared" ref="J7:J15" si="2">I7/I6</f>
        <v>1.000371333085778</v>
      </c>
      <c r="K7" s="254">
        <f>E$81</f>
        <v>1</v>
      </c>
      <c r="L7" s="154">
        <f t="shared" ref="L7:L15" si="3">K7/K6</f>
        <v>1</v>
      </c>
      <c r="M7" s="254">
        <f>E$86</f>
        <v>5711</v>
      </c>
      <c r="N7" s="297">
        <f t="shared" ref="N7:N15" si="4">M7/M6</f>
        <v>1.0008178047783165</v>
      </c>
      <c r="O7" s="254">
        <f>E$91</f>
        <v>781.91666666666663</v>
      </c>
      <c r="P7" s="297">
        <f t="shared" ref="P7:P15" si="5">O7/O6</f>
        <v>0.94405875842640097</v>
      </c>
      <c r="Q7" s="254">
        <f>E$96</f>
        <v>38.083333333333336</v>
      </c>
      <c r="R7" s="154">
        <f t="shared" ref="R7:R15" si="6">Q7/Q6</f>
        <v>0.9849137931034484</v>
      </c>
      <c r="S7" s="254"/>
      <c r="T7" s="154" t="e">
        <f t="shared" ref="T7:T14" si="7">S7/S6</f>
        <v>#DIV/0!</v>
      </c>
      <c r="U7" s="254"/>
      <c r="V7" s="154" t="e">
        <f t="shared" ref="V7:V14" si="8">U7/U6</f>
        <v>#DIV/0!</v>
      </c>
    </row>
    <row r="8" spans="1:22" x14ac:dyDescent="0.2">
      <c r="A8" s="209" t="s">
        <v>50</v>
      </c>
      <c r="B8" s="289">
        <v>2017</v>
      </c>
      <c r="C8" s="204"/>
      <c r="D8" s="240">
        <f>'Input - Customer Data'!B7-9</f>
        <v>2013</v>
      </c>
      <c r="E8" s="254">
        <f>F$67</f>
        <v>25797.833333333332</v>
      </c>
      <c r="F8" s="154">
        <f t="shared" si="0"/>
        <v>1.0033772833936188</v>
      </c>
      <c r="G8" s="254">
        <f>F$71</f>
        <v>2524.5833333333335</v>
      </c>
      <c r="H8" s="154">
        <f t="shared" si="1"/>
        <v>0.99749761285436778</v>
      </c>
      <c r="I8" s="254">
        <f>F$76</f>
        <v>225.08333333333334</v>
      </c>
      <c r="J8" s="154">
        <f t="shared" si="2"/>
        <v>1.0025983667409057</v>
      </c>
      <c r="K8" s="254">
        <f>F$81</f>
        <v>1</v>
      </c>
      <c r="L8" s="154">
        <f t="shared" si="3"/>
        <v>1</v>
      </c>
      <c r="M8" s="254">
        <f>F$86</f>
        <v>5699.25</v>
      </c>
      <c r="N8" s="297">
        <f t="shared" si="4"/>
        <v>0.99794256697601125</v>
      </c>
      <c r="O8" s="254">
        <f>F$91</f>
        <v>772.91666666666663</v>
      </c>
      <c r="P8" s="297">
        <f t="shared" si="5"/>
        <v>0.98848982201854418</v>
      </c>
      <c r="Q8" s="254">
        <f>F$96</f>
        <v>40.083333333333336</v>
      </c>
      <c r="R8" s="154">
        <f t="shared" si="6"/>
        <v>1.0525164113785559</v>
      </c>
      <c r="S8" s="254"/>
      <c r="T8" s="154" t="e">
        <f t="shared" si="7"/>
        <v>#DIV/0!</v>
      </c>
      <c r="U8" s="254"/>
      <c r="V8" s="154" t="e">
        <f t="shared" si="8"/>
        <v>#DIV/0!</v>
      </c>
    </row>
    <row r="9" spans="1:22" x14ac:dyDescent="0.2">
      <c r="C9" s="204"/>
      <c r="D9" s="240">
        <f>'Input - Customer Data'!B7-8</f>
        <v>2014</v>
      </c>
      <c r="E9" s="254">
        <f>G$67</f>
        <v>25863.166666666668</v>
      </c>
      <c r="F9" s="154">
        <f t="shared" si="0"/>
        <v>1.0025325124202937</v>
      </c>
      <c r="G9" s="254">
        <f>G$71</f>
        <v>2512.4166666666665</v>
      </c>
      <c r="H9" s="154">
        <f t="shared" si="1"/>
        <v>0.99518072289156612</v>
      </c>
      <c r="I9" s="254">
        <f>G$76</f>
        <v>225.08333333333334</v>
      </c>
      <c r="J9" s="154">
        <f t="shared" si="2"/>
        <v>1</v>
      </c>
      <c r="K9" s="254">
        <f>G$81</f>
        <v>1</v>
      </c>
      <c r="L9" s="154">
        <f t="shared" si="3"/>
        <v>1</v>
      </c>
      <c r="M9" s="254">
        <f>G$86</f>
        <v>5708.333333333333</v>
      </c>
      <c r="N9" s="297">
        <f t="shared" si="4"/>
        <v>1.0015937769589565</v>
      </c>
      <c r="O9" s="254">
        <f>G$91</f>
        <v>773.33333333333337</v>
      </c>
      <c r="P9" s="297">
        <f t="shared" si="5"/>
        <v>1.0005390835579515</v>
      </c>
      <c r="Q9" s="254">
        <f>G$96</f>
        <v>39.75</v>
      </c>
      <c r="R9" s="154">
        <f t="shared" si="6"/>
        <v>0.99168399168399157</v>
      </c>
      <c r="S9" s="254"/>
      <c r="T9" s="154" t="e">
        <f t="shared" si="7"/>
        <v>#DIV/0!</v>
      </c>
      <c r="U9" s="254"/>
      <c r="V9" s="154" t="e">
        <f t="shared" si="8"/>
        <v>#DIV/0!</v>
      </c>
    </row>
    <row r="10" spans="1:22" ht="13.5" thickBot="1" x14ac:dyDescent="0.25">
      <c r="C10" s="204"/>
      <c r="D10" s="240">
        <f>'Input - Customer Data'!B7-7</f>
        <v>2015</v>
      </c>
      <c r="E10" s="254">
        <f>H$67</f>
        <v>25920.25</v>
      </c>
      <c r="F10" s="154">
        <f t="shared" si="0"/>
        <v>1.0022071285418774</v>
      </c>
      <c r="G10" s="254">
        <f>H$71</f>
        <v>2492.1666666666665</v>
      </c>
      <c r="H10" s="154">
        <f t="shared" si="1"/>
        <v>0.99194003117848017</v>
      </c>
      <c r="I10" s="254">
        <f>H$76</f>
        <v>219.66666666666666</v>
      </c>
      <c r="J10" s="154">
        <f t="shared" si="2"/>
        <v>0.9759348389485375</v>
      </c>
      <c r="K10" s="254">
        <f>H$81</f>
        <v>1</v>
      </c>
      <c r="L10" s="154">
        <f t="shared" si="3"/>
        <v>1</v>
      </c>
      <c r="M10" s="254">
        <f>H$86</f>
        <v>5699.583333333333</v>
      </c>
      <c r="N10" s="297">
        <f t="shared" si="4"/>
        <v>0.9984671532846715</v>
      </c>
      <c r="O10" s="254">
        <f>H$91</f>
        <v>760.75</v>
      </c>
      <c r="P10" s="297">
        <f t="shared" si="5"/>
        <v>0.98372844827586203</v>
      </c>
      <c r="Q10" s="254">
        <f>H$96</f>
        <v>36.25</v>
      </c>
      <c r="R10" s="154">
        <f t="shared" si="6"/>
        <v>0.91194968553459121</v>
      </c>
      <c r="S10" s="254"/>
      <c r="T10" s="154" t="e">
        <f t="shared" si="7"/>
        <v>#DIV/0!</v>
      </c>
      <c r="U10" s="254"/>
      <c r="V10" s="154" t="e">
        <f t="shared" si="8"/>
        <v>#DIV/0!</v>
      </c>
    </row>
    <row r="11" spans="1:22" ht="16.5" thickTop="1" x14ac:dyDescent="0.2">
      <c r="A11" s="218" t="s">
        <v>61</v>
      </c>
      <c r="B11" s="219"/>
      <c r="D11" s="240">
        <f>'Input - Customer Data'!B7-6</f>
        <v>2016</v>
      </c>
      <c r="E11" s="254">
        <f>I$67</f>
        <v>26029.416666666668</v>
      </c>
      <c r="F11" s="154">
        <f t="shared" si="0"/>
        <v>1.0042116363332401</v>
      </c>
      <c r="G11" s="254">
        <f>I$71</f>
        <v>2502.6666666666665</v>
      </c>
      <c r="H11" s="154">
        <f t="shared" si="1"/>
        <v>1.0042132013642748</v>
      </c>
      <c r="I11" s="254">
        <f>I$76</f>
        <v>205.58333333333334</v>
      </c>
      <c r="J11" s="154">
        <f t="shared" si="2"/>
        <v>0.93588770864946902</v>
      </c>
      <c r="K11" s="254">
        <f>I$81</f>
        <v>1</v>
      </c>
      <c r="L11" s="154">
        <f t="shared" si="3"/>
        <v>1</v>
      </c>
      <c r="M11" s="254">
        <f>I$86</f>
        <v>5735.75</v>
      </c>
      <c r="N11" s="297">
        <f t="shared" si="4"/>
        <v>1.0063454930916003</v>
      </c>
      <c r="O11" s="254">
        <f>I$91</f>
        <v>732.5</v>
      </c>
      <c r="P11" s="297">
        <f t="shared" si="5"/>
        <v>0.96286559316464015</v>
      </c>
      <c r="Q11" s="254">
        <f>I$96</f>
        <v>35.916666666666664</v>
      </c>
      <c r="R11" s="154">
        <f t="shared" si="6"/>
        <v>0.99080459770114937</v>
      </c>
      <c r="S11" s="254"/>
      <c r="T11" s="154" t="e">
        <f t="shared" si="7"/>
        <v>#DIV/0!</v>
      </c>
      <c r="U11" s="254"/>
      <c r="V11" s="154" t="e">
        <f t="shared" si="8"/>
        <v>#DIV/0!</v>
      </c>
    </row>
    <row r="12" spans="1:22" x14ac:dyDescent="0.2">
      <c r="A12" s="220" t="s">
        <v>60</v>
      </c>
      <c r="B12" s="221"/>
      <c r="D12" s="240">
        <f>'Input - Customer Data'!B7-5</f>
        <v>2017</v>
      </c>
      <c r="E12" s="254">
        <f>J$67</f>
        <v>26228.416666666668</v>
      </c>
      <c r="F12" s="154">
        <f t="shared" si="0"/>
        <v>1.0076451963003397</v>
      </c>
      <c r="G12" s="254">
        <f>J$71</f>
        <v>2506.6666666666665</v>
      </c>
      <c r="H12" s="154">
        <f t="shared" si="1"/>
        <v>1.0015982951518381</v>
      </c>
      <c r="I12" s="254">
        <f>J$76</f>
        <v>198</v>
      </c>
      <c r="J12" s="154">
        <f t="shared" si="2"/>
        <v>0.96311309282529378</v>
      </c>
      <c r="K12" s="254">
        <f>J$81</f>
        <v>1</v>
      </c>
      <c r="L12" s="154">
        <f t="shared" si="3"/>
        <v>1</v>
      </c>
      <c r="M12" s="254">
        <f>J$86</f>
        <v>5742.916666666667</v>
      </c>
      <c r="N12" s="297">
        <f t="shared" si="4"/>
        <v>1.0012494733324617</v>
      </c>
      <c r="O12" s="254">
        <f>J$91</f>
        <v>705.66666666666663</v>
      </c>
      <c r="P12" s="297">
        <f t="shared" si="5"/>
        <v>0.96336746302616605</v>
      </c>
      <c r="Q12" s="254">
        <f>J$96</f>
        <v>49.25</v>
      </c>
      <c r="R12" s="154">
        <f t="shared" si="6"/>
        <v>1.3712296983758701</v>
      </c>
      <c r="S12" s="254"/>
      <c r="T12" s="154" t="e">
        <f t="shared" si="7"/>
        <v>#DIV/0!</v>
      </c>
      <c r="U12" s="254"/>
      <c r="V12" s="154" t="e">
        <f t="shared" si="8"/>
        <v>#DIV/0!</v>
      </c>
    </row>
    <row r="13" spans="1:22" x14ac:dyDescent="0.2">
      <c r="A13" s="252" t="s">
        <v>59</v>
      </c>
      <c r="B13" s="253"/>
      <c r="D13" s="240">
        <f>'Input - Customer Data'!B7-4</f>
        <v>2018</v>
      </c>
      <c r="E13" s="254">
        <f>K$67</f>
        <v>26464.833333333332</v>
      </c>
      <c r="F13" s="154">
        <f t="shared" si="0"/>
        <v>1.0090137605205549</v>
      </c>
      <c r="G13" s="254">
        <f>K$71</f>
        <v>2490.75</v>
      </c>
      <c r="H13" s="154">
        <f t="shared" si="1"/>
        <v>0.99365026595744688</v>
      </c>
      <c r="I13" s="254">
        <f>K$76</f>
        <v>197.66666666666666</v>
      </c>
      <c r="J13" s="154">
        <f t="shared" si="2"/>
        <v>0.99831649831649827</v>
      </c>
      <c r="K13" s="254">
        <f>K$81</f>
        <v>1</v>
      </c>
      <c r="L13" s="154">
        <f t="shared" si="3"/>
        <v>1</v>
      </c>
      <c r="M13" s="254">
        <f>K$86</f>
        <v>5774.416666666667</v>
      </c>
      <c r="N13" s="297">
        <f t="shared" si="4"/>
        <v>1.0054850177755206</v>
      </c>
      <c r="O13" s="254">
        <f>K$91</f>
        <v>698.25</v>
      </c>
      <c r="P13" s="297">
        <f t="shared" si="5"/>
        <v>0.9894898441190364</v>
      </c>
      <c r="Q13" s="254">
        <f>K$96</f>
        <v>48.083333333333336</v>
      </c>
      <c r="R13" s="154">
        <f t="shared" si="6"/>
        <v>0.97631133671742809</v>
      </c>
      <c r="S13" s="254"/>
      <c r="T13" s="154" t="e">
        <f t="shared" si="7"/>
        <v>#DIV/0!</v>
      </c>
      <c r="U13" s="254"/>
      <c r="V13" s="154" t="e">
        <f t="shared" si="8"/>
        <v>#DIV/0!</v>
      </c>
    </row>
    <row r="14" spans="1:22" x14ac:dyDescent="0.2">
      <c r="A14" s="252" t="s">
        <v>58</v>
      </c>
      <c r="B14" s="253"/>
      <c r="D14" s="240">
        <f>'Input - Customer Data'!B7-3</f>
        <v>2019</v>
      </c>
      <c r="E14" s="254">
        <f>L$67</f>
        <v>26647</v>
      </c>
      <c r="F14" s="154">
        <f t="shared" si="0"/>
        <v>1.0068833483427695</v>
      </c>
      <c r="G14" s="254">
        <f>L$71</f>
        <v>2495.6666666666665</v>
      </c>
      <c r="H14" s="154">
        <f t="shared" si="1"/>
        <v>1.0019739703569874</v>
      </c>
      <c r="I14" s="254">
        <f>L$76</f>
        <v>190.33333333333334</v>
      </c>
      <c r="J14" s="154">
        <f t="shared" si="2"/>
        <v>0.96290050590219234</v>
      </c>
      <c r="K14" s="254">
        <f>L$81</f>
        <v>1</v>
      </c>
      <c r="L14" s="154">
        <f t="shared" si="3"/>
        <v>1</v>
      </c>
      <c r="M14" s="254">
        <f>L$86</f>
        <v>5878.666666666667</v>
      </c>
      <c r="N14" s="297">
        <f t="shared" si="4"/>
        <v>1.0180537716652476</v>
      </c>
      <c r="O14" s="254">
        <f>L$91</f>
        <v>669.41666666666663</v>
      </c>
      <c r="P14" s="297">
        <f t="shared" si="5"/>
        <v>0.95870628953335713</v>
      </c>
      <c r="Q14" s="254">
        <f>L$96</f>
        <v>47.166666666666664</v>
      </c>
      <c r="R14" s="154">
        <f t="shared" si="6"/>
        <v>0.98093587521663772</v>
      </c>
      <c r="S14" s="254"/>
      <c r="T14" s="154" t="e">
        <f t="shared" si="7"/>
        <v>#DIV/0!</v>
      </c>
      <c r="U14" s="254"/>
      <c r="V14" s="154" t="e">
        <f t="shared" si="8"/>
        <v>#DIV/0!</v>
      </c>
    </row>
    <row r="15" spans="1:22" x14ac:dyDescent="0.2">
      <c r="A15" s="252" t="s">
        <v>186</v>
      </c>
      <c r="B15" s="253"/>
      <c r="D15" s="240">
        <f>'Input - Customer Data'!B7-2</f>
        <v>2020</v>
      </c>
      <c r="E15" s="254">
        <f>M$67</f>
        <v>26915.666666666668</v>
      </c>
      <c r="F15" s="154">
        <f t="shared" si="0"/>
        <v>1.0100824357963998</v>
      </c>
      <c r="G15" s="254">
        <f>M$71</f>
        <v>2513.5833333333335</v>
      </c>
      <c r="H15" s="154">
        <f t="shared" si="1"/>
        <v>1.0071791104581276</v>
      </c>
      <c r="I15" s="254">
        <f>M$76</f>
        <v>193.16666666666666</v>
      </c>
      <c r="J15" s="154">
        <f t="shared" si="2"/>
        <v>1.0148861646234675</v>
      </c>
      <c r="K15" s="254">
        <f>M$81</f>
        <v>1</v>
      </c>
      <c r="L15" s="154">
        <f t="shared" si="3"/>
        <v>1</v>
      </c>
      <c r="M15" s="254">
        <f>M$86</f>
        <v>5997.166666666667</v>
      </c>
      <c r="N15" s="297">
        <f t="shared" si="4"/>
        <v>1.0201576321161261</v>
      </c>
      <c r="O15" s="254">
        <f>M$91</f>
        <v>644.66666666666663</v>
      </c>
      <c r="P15" s="297">
        <f t="shared" si="5"/>
        <v>0.96302751151500066</v>
      </c>
      <c r="Q15" s="254">
        <f>M$96</f>
        <v>46</v>
      </c>
      <c r="R15" s="396">
        <f t="shared" si="6"/>
        <v>0.97526501766784457</v>
      </c>
      <c r="S15" s="254"/>
      <c r="T15" s="154"/>
      <c r="U15" s="254"/>
      <c r="V15" s="154"/>
    </row>
    <row r="16" spans="1:22" x14ac:dyDescent="0.2">
      <c r="A16" s="252" t="s">
        <v>146</v>
      </c>
      <c r="B16" s="253"/>
      <c r="D16" s="192"/>
      <c r="E16" s="153"/>
      <c r="F16" s="149"/>
      <c r="G16" s="153"/>
      <c r="H16" s="149"/>
      <c r="I16" s="153"/>
      <c r="J16" s="149"/>
      <c r="K16" s="153"/>
      <c r="L16" s="149"/>
      <c r="M16" s="153"/>
      <c r="N16" s="298"/>
      <c r="O16" s="153"/>
      <c r="P16" s="298"/>
      <c r="Q16" s="153"/>
      <c r="R16" s="149"/>
      <c r="S16" s="153"/>
      <c r="T16" s="149"/>
      <c r="U16" s="153"/>
      <c r="V16" s="149"/>
    </row>
    <row r="17" spans="1:22" x14ac:dyDescent="0.2">
      <c r="A17" s="252" t="s">
        <v>125</v>
      </c>
      <c r="B17" s="253"/>
      <c r="D17" s="193" t="s">
        <v>84</v>
      </c>
      <c r="E17" s="153"/>
      <c r="F17" s="395">
        <f>GEOMEAN(F11:F15)</f>
        <v>1.007565274079713</v>
      </c>
      <c r="G17" s="151"/>
      <c r="H17" s="395">
        <f>GEOMEAN(H11:H15)</f>
        <v>1.0017128409446141</v>
      </c>
      <c r="I17" s="151"/>
      <c r="J17" s="395">
        <f>J15</f>
        <v>1.0148861646234675</v>
      </c>
      <c r="K17" s="151"/>
      <c r="L17" s="152">
        <f>GEOMEAN(L7:L15)</f>
        <v>1</v>
      </c>
      <c r="M17" s="151"/>
      <c r="N17" s="299">
        <f>GEOMEAN(N7:N15)</f>
        <v>1.0055386671648727</v>
      </c>
      <c r="O17" s="151"/>
      <c r="P17" s="299">
        <f>GEOMEAN(P7:P15)</f>
        <v>0.97254162146705725</v>
      </c>
      <c r="Q17" s="151"/>
      <c r="R17" s="152">
        <f>GEOMEAN(R7:R15)</f>
        <v>1.019483313726254</v>
      </c>
      <c r="S17" s="151"/>
      <c r="T17" s="152" t="e">
        <f>GEOMEAN(T7:T15)</f>
        <v>#DIV/0!</v>
      </c>
      <c r="U17" s="151"/>
      <c r="V17" s="152" t="e">
        <f>GEOMEAN(V7:V15)</f>
        <v>#DIV/0!</v>
      </c>
    </row>
    <row r="18" spans="1:22" x14ac:dyDescent="0.2">
      <c r="A18" s="365" t="s">
        <v>132</v>
      </c>
      <c r="B18" s="366"/>
      <c r="D18" s="193"/>
      <c r="E18" s="153"/>
      <c r="F18" s="152"/>
      <c r="G18" s="151"/>
      <c r="H18" s="152"/>
      <c r="I18" s="151"/>
      <c r="J18" s="152"/>
      <c r="K18" s="151"/>
      <c r="L18" s="152"/>
      <c r="M18" s="151"/>
      <c r="N18" s="299"/>
      <c r="O18" s="151"/>
      <c r="P18" s="299"/>
      <c r="Q18" s="151"/>
      <c r="R18" s="152"/>
      <c r="S18" s="151"/>
      <c r="T18" s="152"/>
      <c r="U18" s="151"/>
      <c r="V18" s="152"/>
    </row>
    <row r="19" spans="1:22" x14ac:dyDescent="0.2">
      <c r="A19" s="365" t="s">
        <v>121</v>
      </c>
      <c r="B19" s="366"/>
      <c r="D19" s="240">
        <f>'Input - Customer Data'!B6</f>
        <v>2021</v>
      </c>
      <c r="E19" s="254">
        <f>E15*F17</f>
        <v>27119.291062038195</v>
      </c>
      <c r="F19" s="154" t="s">
        <v>57</v>
      </c>
      <c r="G19" s="254">
        <f>G15*H17</f>
        <v>2517.8887017843663</v>
      </c>
      <c r="H19" s="154"/>
      <c r="I19" s="254">
        <f>I15*J17</f>
        <v>196.04217746643312</v>
      </c>
      <c r="J19" s="154"/>
      <c r="K19" s="254">
        <f>K15*L17</f>
        <v>1</v>
      </c>
      <c r="L19" s="154"/>
      <c r="M19" s="254">
        <f>M15*N17</f>
        <v>6030.3829767656025</v>
      </c>
      <c r="N19" s="297"/>
      <c r="O19" s="254">
        <f>O15*P17</f>
        <v>626.96516530576287</v>
      </c>
      <c r="P19" s="297"/>
      <c r="Q19" s="254">
        <f>Q15*R17</f>
        <v>46.896232431407682</v>
      </c>
      <c r="R19" s="154"/>
      <c r="S19" s="254" t="e">
        <f>S14*T17</f>
        <v>#DIV/0!</v>
      </c>
      <c r="T19" s="154"/>
      <c r="U19" s="254" t="e">
        <f>U14*V17</f>
        <v>#DIV/0!</v>
      </c>
      <c r="V19" s="154"/>
    </row>
    <row r="20" spans="1:22" x14ac:dyDescent="0.2">
      <c r="A20" s="380" t="s">
        <v>56</v>
      </c>
      <c r="B20" s="381"/>
      <c r="D20" s="240">
        <f>'Input - Customer Data'!B7</f>
        <v>2022</v>
      </c>
      <c r="E20" s="254">
        <f>E19*F17</f>
        <v>27324.455931770026</v>
      </c>
      <c r="F20" s="154" t="s">
        <v>57</v>
      </c>
      <c r="G20" s="254">
        <f>G19*H17</f>
        <v>2522.2014446467638</v>
      </c>
      <c r="H20" s="154"/>
      <c r="I20" s="254">
        <f>I19*J17</f>
        <v>198.96049359334145</v>
      </c>
      <c r="J20" s="154"/>
      <c r="K20" s="254">
        <f>K19*L17</f>
        <v>1</v>
      </c>
      <c r="L20" s="154"/>
      <c r="M20" s="254">
        <f>M19*N17</f>
        <v>6063.7832609506213</v>
      </c>
      <c r="N20" s="297"/>
      <c r="O20" s="254">
        <f>O19*P17</f>
        <v>609.74971846982817</v>
      </c>
      <c r="P20" s="297"/>
      <c r="Q20" s="254">
        <f>Q19*R17</f>
        <v>47.809926440448123</v>
      </c>
      <c r="R20" s="154"/>
      <c r="S20" s="254" t="e">
        <f>S19*T17</f>
        <v>#DIV/0!</v>
      </c>
      <c r="T20" s="154"/>
      <c r="U20" s="254" t="e">
        <f>U19*V17</f>
        <v>#DIV/0!</v>
      </c>
      <c r="V20" s="154"/>
    </row>
    <row r="21" spans="1:22" x14ac:dyDescent="0.2">
      <c r="A21" s="380" t="s">
        <v>56</v>
      </c>
      <c r="B21" s="381"/>
      <c r="D21" s="141"/>
      <c r="E21" s="141"/>
      <c r="F21" s="141"/>
      <c r="G21" s="141"/>
      <c r="H21" s="141"/>
      <c r="I21" s="141"/>
      <c r="J21" s="141"/>
      <c r="K21" s="141"/>
      <c r="L21" s="141"/>
      <c r="M21" s="141"/>
      <c r="N21" s="210"/>
      <c r="O21" s="210"/>
      <c r="P21" s="210"/>
      <c r="Q21" s="141"/>
      <c r="R21" s="141"/>
      <c r="S21" s="141"/>
      <c r="T21" s="141"/>
      <c r="U21" s="141"/>
      <c r="V21" s="141"/>
    </row>
    <row r="22" spans="1:22" ht="13.5" thickBot="1" x14ac:dyDescent="0.25">
      <c r="A22" s="380"/>
      <c r="B22" s="381"/>
      <c r="D22" s="150" t="s">
        <v>83</v>
      </c>
      <c r="E22" s="141"/>
      <c r="F22" s="141"/>
      <c r="G22" s="141"/>
      <c r="H22" s="141"/>
      <c r="I22" s="141"/>
      <c r="J22" s="141"/>
      <c r="K22" s="141"/>
      <c r="L22" s="141"/>
      <c r="M22" s="141"/>
      <c r="N22" s="210"/>
      <c r="O22" s="210"/>
      <c r="P22" s="210"/>
      <c r="Q22" s="141"/>
      <c r="R22" s="141"/>
      <c r="S22" s="141"/>
      <c r="T22" s="141"/>
      <c r="U22" s="141"/>
      <c r="V22" s="141"/>
    </row>
    <row r="23" spans="1:22" ht="15.75" x14ac:dyDescent="0.2">
      <c r="A23" s="380"/>
      <c r="B23" s="381"/>
      <c r="D23" s="405" t="s">
        <v>82</v>
      </c>
      <c r="E23" s="406"/>
      <c r="F23" s="406"/>
      <c r="G23" s="406"/>
      <c r="H23" s="406"/>
      <c r="I23" s="406"/>
      <c r="J23" s="406"/>
      <c r="K23" s="406"/>
      <c r="L23" s="406"/>
      <c r="M23" s="406"/>
      <c r="N23" s="406"/>
      <c r="O23" s="406"/>
      <c r="P23" s="406"/>
      <c r="Q23" s="406"/>
      <c r="R23" s="406"/>
      <c r="S23" s="406"/>
      <c r="T23" s="406"/>
      <c r="U23" s="406"/>
      <c r="V23" s="406"/>
    </row>
    <row r="24" spans="1:22" s="201" customFormat="1" x14ac:dyDescent="0.2">
      <c r="A24" s="380"/>
      <c r="B24" s="381"/>
      <c r="C24" s="203"/>
      <c r="D24" s="197">
        <f>'Input - Customer Data'!B6</f>
        <v>2021</v>
      </c>
      <c r="E24" s="226">
        <f>E19</f>
        <v>27119.291062038195</v>
      </c>
      <c r="F24" s="149">
        <f>E24/E15</f>
        <v>1.007565274079713</v>
      </c>
      <c r="G24" s="226">
        <f>G19</f>
        <v>2517.8887017843663</v>
      </c>
      <c r="H24" s="149">
        <f>G24/G15</f>
        <v>1.0017128409446141</v>
      </c>
      <c r="I24" s="226">
        <f>I19</f>
        <v>196.04217746643312</v>
      </c>
      <c r="J24" s="149">
        <f>I24/I15</f>
        <v>1.0148861646234675</v>
      </c>
      <c r="K24" s="226">
        <f>K19</f>
        <v>1</v>
      </c>
      <c r="L24" s="149">
        <f>K24/K15</f>
        <v>1</v>
      </c>
      <c r="M24" s="226">
        <f>M19</f>
        <v>6030.3829767656025</v>
      </c>
      <c r="N24" s="298">
        <f>M24/M15</f>
        <v>1.0055386671648727</v>
      </c>
      <c r="O24" s="301">
        <f>O19</f>
        <v>626.96516530576287</v>
      </c>
      <c r="P24" s="298">
        <f>O24/O15</f>
        <v>0.97254162146705725</v>
      </c>
      <c r="Q24" s="194">
        <f>Q19</f>
        <v>46.896232431407682</v>
      </c>
      <c r="R24" s="149">
        <f>Q24/Q15</f>
        <v>1.019483313726254</v>
      </c>
      <c r="S24" s="194" t="e">
        <f>S19</f>
        <v>#DIV/0!</v>
      </c>
      <c r="T24" s="149" t="e">
        <f>S24/S15</f>
        <v>#DIV/0!</v>
      </c>
      <c r="U24" s="194" t="e">
        <f>U19</f>
        <v>#DIV/0!</v>
      </c>
      <c r="V24" s="149" t="e">
        <f>U24/U15</f>
        <v>#DIV/0!</v>
      </c>
    </row>
    <row r="25" spans="1:22" x14ac:dyDescent="0.2">
      <c r="A25" s="380"/>
      <c r="B25" s="381"/>
      <c r="D25" s="197">
        <f>'Input - Customer Data'!B7</f>
        <v>2022</v>
      </c>
      <c r="E25" s="226">
        <f>E20</f>
        <v>27324.455931770026</v>
      </c>
      <c r="F25" s="149">
        <f>E25/E24</f>
        <v>1.007565274079713</v>
      </c>
      <c r="G25" s="226">
        <f>G20</f>
        <v>2522.2014446467638</v>
      </c>
      <c r="H25" s="149">
        <f>G25/G24</f>
        <v>1.0017128409446141</v>
      </c>
      <c r="I25" s="226">
        <f>I20</f>
        <v>198.96049359334145</v>
      </c>
      <c r="J25" s="149">
        <f>I25/I24</f>
        <v>1.0148861646234675</v>
      </c>
      <c r="K25" s="226">
        <f>K20</f>
        <v>1</v>
      </c>
      <c r="L25" s="149">
        <f>K25/K24</f>
        <v>1</v>
      </c>
      <c r="M25" s="226">
        <f>M20</f>
        <v>6063.7832609506213</v>
      </c>
      <c r="N25" s="298">
        <f>M25/M24</f>
        <v>1.0055386671648727</v>
      </c>
      <c r="O25" s="301">
        <f>O20</f>
        <v>609.74971846982817</v>
      </c>
      <c r="P25" s="298">
        <f>O25/O24</f>
        <v>0.97254162146705714</v>
      </c>
      <c r="Q25" s="194">
        <f>Q20</f>
        <v>47.809926440448123</v>
      </c>
      <c r="R25" s="149">
        <f>Q25/Q24</f>
        <v>1.019483313726254</v>
      </c>
      <c r="S25" s="194" t="e">
        <f>S20</f>
        <v>#DIV/0!</v>
      </c>
      <c r="T25" s="149" t="e">
        <f>S25/S24</f>
        <v>#DIV/0!</v>
      </c>
      <c r="U25" s="194" t="e">
        <f>U20</f>
        <v>#DIV/0!</v>
      </c>
      <c r="V25" s="149" t="e">
        <f>U25/U24</f>
        <v>#DIV/0!</v>
      </c>
    </row>
    <row r="26" spans="1:22" x14ac:dyDescent="0.2">
      <c r="D26" s="141"/>
      <c r="E26" s="141"/>
      <c r="F26" s="141"/>
      <c r="G26" s="141"/>
      <c r="H26" s="141"/>
      <c r="I26" s="141"/>
      <c r="J26" s="141"/>
      <c r="K26" s="141"/>
      <c r="L26" s="141"/>
      <c r="M26" s="141"/>
      <c r="N26" s="210"/>
      <c r="O26" s="210"/>
      <c r="P26" s="210"/>
      <c r="Q26" s="141"/>
      <c r="R26" s="141"/>
      <c r="S26" s="141"/>
      <c r="T26" s="141"/>
    </row>
    <row r="27" spans="1:22" x14ac:dyDescent="0.2">
      <c r="A27" s="141" t="s">
        <v>116</v>
      </c>
      <c r="B27" s="157"/>
      <c r="C27" s="205" t="s">
        <v>57</v>
      </c>
    </row>
    <row r="28" spans="1:22" x14ac:dyDescent="0.2">
      <c r="A28" s="141"/>
      <c r="B28" s="157"/>
      <c r="C28" s="205"/>
    </row>
    <row r="29" spans="1:22" x14ac:dyDescent="0.2">
      <c r="A29" s="141"/>
      <c r="B29" s="157"/>
      <c r="C29" s="205"/>
    </row>
    <row r="30" spans="1:22" x14ac:dyDescent="0.2">
      <c r="A30" s="141"/>
      <c r="B30" s="157"/>
      <c r="C30" s="205"/>
    </row>
    <row r="31" spans="1:22" ht="13.5" thickBot="1" x14ac:dyDescent="0.25">
      <c r="A31" s="141"/>
      <c r="B31" s="157"/>
      <c r="C31" s="205"/>
    </row>
    <row r="32" spans="1:22" ht="16.5" thickTop="1" x14ac:dyDescent="0.2">
      <c r="A32" s="302" t="s">
        <v>106</v>
      </c>
      <c r="B32" s="141"/>
      <c r="C32" s="303"/>
      <c r="D32" s="376">
        <f>$B$6-10</f>
        <v>2011</v>
      </c>
      <c r="E32" s="376">
        <f>$B$6-9</f>
        <v>2012</v>
      </c>
      <c r="F32" s="376">
        <f>$B$6-8</f>
        <v>2013</v>
      </c>
      <c r="G32" s="376">
        <f>$B$6-7</f>
        <v>2014</v>
      </c>
      <c r="H32" s="376">
        <f>$B$6-6</f>
        <v>2015</v>
      </c>
      <c r="I32" s="376">
        <f>$B$6-5</f>
        <v>2016</v>
      </c>
      <c r="J32" s="376">
        <f>$B$6-4</f>
        <v>2017</v>
      </c>
      <c r="K32" s="376">
        <f>$B$6-3</f>
        <v>2018</v>
      </c>
      <c r="L32" s="376">
        <f>$B$6-2</f>
        <v>2019</v>
      </c>
      <c r="M32" s="376">
        <f>$B$6-1</f>
        <v>2020</v>
      </c>
      <c r="N32" s="376"/>
    </row>
    <row r="33" spans="1:15" x14ac:dyDescent="0.2">
      <c r="A33" s="200" t="s">
        <v>73</v>
      </c>
      <c r="B33" s="144"/>
      <c r="C33" s="141"/>
      <c r="D33" s="284">
        <f>'Input - Adjustments &amp; Variables'!B5</f>
        <v>52646061.059999987</v>
      </c>
      <c r="E33" s="284">
        <f>'Input - Adjustments &amp; Variables'!B17</f>
        <v>49830132.730000034</v>
      </c>
      <c r="F33" s="284">
        <f>'Input - Adjustments &amp; Variables'!B29</f>
        <v>50854515.269999981</v>
      </c>
      <c r="G33" s="284">
        <f>'Input - Adjustments &amp; Variables'!B41</f>
        <v>52863793.569999993</v>
      </c>
      <c r="H33" s="284">
        <f>'Input - Adjustments &amp; Variables'!B53</f>
        <v>50100445.24000001</v>
      </c>
      <c r="I33" s="284">
        <f>'Input - Adjustments &amp; Variables'!B65</f>
        <v>44500830.719999984</v>
      </c>
      <c r="J33" s="284">
        <f>'Input - Adjustments &amp; Variables'!B77</f>
        <v>43062641.590000018</v>
      </c>
      <c r="K33" s="284">
        <f>'Input - Adjustments &amp; Variables'!B89</f>
        <v>47052385.459999971</v>
      </c>
      <c r="L33" s="284">
        <f>'Input - Adjustments &amp; Variables'!B101</f>
        <v>46622026.859999999</v>
      </c>
      <c r="M33" s="284">
        <f>'Input - Adjustments &amp; Variables'!B113</f>
        <v>44000407</v>
      </c>
      <c r="N33" s="284"/>
    </row>
    <row r="34" spans="1:15" x14ac:dyDescent="0.2">
      <c r="A34" s="200" t="s">
        <v>72</v>
      </c>
      <c r="B34" s="144"/>
      <c r="C34" s="141"/>
      <c r="D34" s="284">
        <f>'Input - Adjustments &amp; Variables'!B6</f>
        <v>47886036.089999989</v>
      </c>
      <c r="E34" s="284">
        <f>'Input - Adjustments &amp; Variables'!B18</f>
        <v>46681742.650000036</v>
      </c>
      <c r="F34" s="284">
        <f>'Input - Adjustments &amp; Variables'!B30</f>
        <v>45891597.809999987</v>
      </c>
      <c r="G34" s="284">
        <f>'Input - Adjustments &amp; Variables'!B42</f>
        <v>46902074.210000008</v>
      </c>
      <c r="H34" s="284">
        <f>'Input - Adjustments &amp; Variables'!B54</f>
        <v>46271066.69000002</v>
      </c>
      <c r="I34" s="284">
        <f>'Input - Adjustments &amp; Variables'!B66</f>
        <v>40982390.300000004</v>
      </c>
      <c r="J34" s="284">
        <f>'Input - Adjustments &amp; Variables'!B78</f>
        <v>37522207.099999994</v>
      </c>
      <c r="K34" s="284">
        <f>'Input - Adjustments &amp; Variables'!B90</f>
        <v>39540897.230000019</v>
      </c>
      <c r="L34" s="284">
        <f>'Input - Adjustments &amp; Variables'!B102</f>
        <v>41188691.579999998</v>
      </c>
      <c r="M34" s="284">
        <f>'Input - Adjustments &amp; Variables'!B114</f>
        <v>41219886</v>
      </c>
      <c r="N34" s="284"/>
    </row>
    <row r="35" spans="1:15" x14ac:dyDescent="0.2">
      <c r="A35" s="200" t="s">
        <v>71</v>
      </c>
      <c r="B35" s="144"/>
      <c r="C35" s="141"/>
      <c r="D35" s="284">
        <f>'Input - Adjustments &amp; Variables'!B7</f>
        <v>50044994.409999982</v>
      </c>
      <c r="E35" s="284">
        <f>'Input - Adjustments &amp; Variables'!B19</f>
        <v>45705990.230000004</v>
      </c>
      <c r="F35" s="284">
        <f>'Input - Adjustments &amp; Variables'!B31</f>
        <v>45408057.419999965</v>
      </c>
      <c r="G35" s="284">
        <f>'Input - Adjustments &amp; Variables'!B43</f>
        <v>49147286.989999995</v>
      </c>
      <c r="H35" s="284">
        <f>'Input - Adjustments &amp; Variables'!B55</f>
        <v>44501238.159999989</v>
      </c>
      <c r="I35" s="284">
        <f>'Input - Adjustments &amp; Variables'!B67</f>
        <v>39758543.469999999</v>
      </c>
      <c r="J35" s="284">
        <f>'Input - Adjustments &amp; Variables'!B79</f>
        <v>41370878.749999993</v>
      </c>
      <c r="K35" s="284">
        <f>'Input - Adjustments &amp; Variables'!B91</f>
        <v>41548740.249999993</v>
      </c>
      <c r="L35" s="284">
        <f>'Input - Adjustments &amp; Variables'!B103</f>
        <v>42070897.649999976</v>
      </c>
      <c r="M35" s="284">
        <f>'Input - Adjustments &amp; Variables'!B115</f>
        <v>39943443</v>
      </c>
      <c r="N35" s="284"/>
    </row>
    <row r="36" spans="1:15" x14ac:dyDescent="0.2">
      <c r="A36" s="200" t="s">
        <v>70</v>
      </c>
      <c r="B36" s="144"/>
      <c r="C36" s="141"/>
      <c r="D36" s="284">
        <f>'Input - Adjustments &amp; Variables'!B8</f>
        <v>43929197.81000001</v>
      </c>
      <c r="E36" s="284">
        <f>'Input - Adjustments &amp; Variables'!B20</f>
        <v>42394150.290000021</v>
      </c>
      <c r="F36" s="284">
        <f>'Input - Adjustments &amp; Variables'!B32</f>
        <v>40508542.919999994</v>
      </c>
      <c r="G36" s="284">
        <f>'Input - Adjustments &amp; Variables'!B44</f>
        <v>41905954.449999988</v>
      </c>
      <c r="H36" s="284">
        <f>'Input - Adjustments &amp; Variables'!B56</f>
        <v>37785791.490000002</v>
      </c>
      <c r="I36" s="284">
        <f>'Input - Adjustments &amp; Variables'!B68</f>
        <v>36143916.349999994</v>
      </c>
      <c r="J36" s="284">
        <f>'Input - Adjustments &amp; Variables'!B80</f>
        <v>35639117.619999968</v>
      </c>
      <c r="K36" s="284">
        <f>'Input - Adjustments &amp; Variables'!B92</f>
        <v>38285930.12999998</v>
      </c>
      <c r="L36" s="284">
        <f>'Input - Adjustments &amp; Variables'!B104</f>
        <v>36296821.840000033</v>
      </c>
      <c r="M36" s="284">
        <f>'Input - Adjustments &amp; Variables'!B116</f>
        <v>34785312</v>
      </c>
      <c r="N36" s="284"/>
    </row>
    <row r="37" spans="1:15" x14ac:dyDescent="0.2">
      <c r="A37" s="200" t="s">
        <v>69</v>
      </c>
      <c r="B37" s="144"/>
      <c r="C37" s="141"/>
      <c r="D37" s="284">
        <f>'Input - Adjustments &amp; Variables'!B9</f>
        <v>43129960.770000003</v>
      </c>
      <c r="E37" s="284">
        <f>'Input - Adjustments &amp; Variables'!B21</f>
        <v>44171430.339999989</v>
      </c>
      <c r="F37" s="284">
        <f>'Input - Adjustments &amp; Variables'!B33</f>
        <v>40367332.749999978</v>
      </c>
      <c r="G37" s="284">
        <f>'Input - Adjustments &amp; Variables'!B45</f>
        <v>40009171.760000005</v>
      </c>
      <c r="H37" s="284">
        <f>'Input - Adjustments &amp; Variables'!B57</f>
        <v>36307057.780000001</v>
      </c>
      <c r="I37" s="284">
        <f>'Input - Adjustments &amp; Variables'!B69</f>
        <v>35571116.150000006</v>
      </c>
      <c r="J37" s="284">
        <f>'Input - Adjustments &amp; Variables'!B81</f>
        <v>36632679.980000012</v>
      </c>
      <c r="K37" s="284">
        <f>'Input - Adjustments &amp; Variables'!B93</f>
        <v>36063657.63000001</v>
      </c>
      <c r="L37" s="284">
        <f>'Input - Adjustments &amp; Variables'!B105</f>
        <v>35335301.459999986</v>
      </c>
      <c r="M37" s="284">
        <f>'Input - Adjustments &amp; Variables'!B117</f>
        <v>35305256</v>
      </c>
      <c r="N37" s="284"/>
    </row>
    <row r="38" spans="1:15" x14ac:dyDescent="0.2">
      <c r="A38" s="200" t="s">
        <v>68</v>
      </c>
      <c r="B38" s="144"/>
      <c r="C38" s="141"/>
      <c r="D38" s="284">
        <f>'Input - Adjustments &amp; Variables'!B10</f>
        <v>45531832.089999981</v>
      </c>
      <c r="E38" s="284">
        <f>'Input - Adjustments &amp; Variables'!B22</f>
        <v>47092605</v>
      </c>
      <c r="F38" s="284">
        <f>'Input - Adjustments &amp; Variables'!B34</f>
        <v>41861470.480000004</v>
      </c>
      <c r="G38" s="284">
        <f>'Input - Adjustments &amp; Variables'!B46</f>
        <v>45061481.739999995</v>
      </c>
      <c r="H38" s="284">
        <f>'Input - Adjustments &amp; Variables'!B58</f>
        <v>37811947.970000021</v>
      </c>
      <c r="I38" s="284">
        <f>'Input - Adjustments &amp; Variables'!B70</f>
        <v>39220373.289999992</v>
      </c>
      <c r="J38" s="284">
        <f>'Input - Adjustments &amp; Variables'!B82</f>
        <v>38109511.749999993</v>
      </c>
      <c r="K38" s="284">
        <f>'Input - Adjustments &amp; Variables'!B94</f>
        <v>38564071.070000008</v>
      </c>
      <c r="L38" s="284">
        <f>'Input - Adjustments &amp; Variables'!B106</f>
        <v>36918421.580000013</v>
      </c>
      <c r="M38" s="284">
        <f>'Input - Adjustments &amp; Variables'!B118</f>
        <v>39004716</v>
      </c>
      <c r="N38" s="284"/>
    </row>
    <row r="39" spans="1:15" x14ac:dyDescent="0.2">
      <c r="A39" s="200" t="s">
        <v>67</v>
      </c>
      <c r="B39" s="144"/>
      <c r="C39" s="141"/>
      <c r="D39" s="284">
        <f>'Input - Adjustments &amp; Variables'!B11</f>
        <v>56530774.029999986</v>
      </c>
      <c r="E39" s="284">
        <f>'Input - Adjustments &amp; Variables'!B23</f>
        <v>56616414.859999955</v>
      </c>
      <c r="F39" s="284">
        <f>'Input - Adjustments &amp; Variables'!B35</f>
        <v>51710807.499999985</v>
      </c>
      <c r="G39" s="284">
        <f>'Input - Adjustments &amp; Variables'!B47</f>
        <v>46747535.099999979</v>
      </c>
      <c r="H39" s="284">
        <f>'Input - Adjustments &amp; Variables'!B59</f>
        <v>44310484.200000025</v>
      </c>
      <c r="I39" s="284">
        <f>'Input - Adjustments &amp; Variables'!B71</f>
        <v>47066419.799999982</v>
      </c>
      <c r="J39" s="284">
        <f>'Input - Adjustments &amp; Variables'!B83</f>
        <v>43845120.699999988</v>
      </c>
      <c r="K39" s="284">
        <f>'Input - Adjustments &amp; Variables'!B95</f>
        <v>49628857.740000024</v>
      </c>
      <c r="L39" s="284">
        <f>'Input - Adjustments &amp; Variables'!B107</f>
        <v>48958080.650000021</v>
      </c>
      <c r="M39" s="284">
        <f>'Input - Adjustments &amp; Variables'!B119</f>
        <v>51209111</v>
      </c>
      <c r="N39" s="284"/>
    </row>
    <row r="40" spans="1:15" x14ac:dyDescent="0.2">
      <c r="A40" s="200" t="s">
        <v>66</v>
      </c>
      <c r="B40" s="144"/>
      <c r="C40" s="141"/>
      <c r="D40" s="284">
        <f>'Input - Adjustments &amp; Variables'!B12</f>
        <v>53168646.089999974</v>
      </c>
      <c r="E40" s="284">
        <f>'Input - Adjustments &amp; Variables'!B24</f>
        <v>53263093.910000011</v>
      </c>
      <c r="F40" s="284">
        <f>'Input - Adjustments &amp; Variables'!B36</f>
        <v>47450772.329999983</v>
      </c>
      <c r="G40" s="284">
        <f>'Input - Adjustments &amp; Variables'!B48</f>
        <v>44915574.590000011</v>
      </c>
      <c r="H40" s="284">
        <f>'Input - Adjustments &amp; Variables'!B60</f>
        <v>43495493.139999993</v>
      </c>
      <c r="I40" s="284">
        <f>'Input - Adjustments &amp; Variables'!B72</f>
        <v>50793950.229999974</v>
      </c>
      <c r="J40" s="284">
        <f>'Input - Adjustments &amp; Variables'!B84</f>
        <v>43171748.199999966</v>
      </c>
      <c r="K40" s="284">
        <f>'Input - Adjustments &amp; Variables'!B96</f>
        <v>48629695.239999965</v>
      </c>
      <c r="L40" s="284">
        <f>'Input - Adjustments &amp; Variables'!B108</f>
        <v>45777930.170000002</v>
      </c>
      <c r="M40" s="284">
        <f>'Input - Adjustments &amp; Variables'!B120</f>
        <v>45776807</v>
      </c>
      <c r="N40" s="284"/>
    </row>
    <row r="41" spans="1:15" x14ac:dyDescent="0.2">
      <c r="A41" s="200" t="s">
        <v>65</v>
      </c>
      <c r="B41" s="144"/>
      <c r="C41" s="141"/>
      <c r="D41" s="284">
        <f>'Input - Adjustments &amp; Variables'!B13</f>
        <v>45998198.719999947</v>
      </c>
      <c r="E41" s="284">
        <f>'Input - Adjustments &amp; Variables'!B25</f>
        <v>44675833.469999984</v>
      </c>
      <c r="F41" s="284">
        <f>'Input - Adjustments &amp; Variables'!B37</f>
        <v>40219617.969999991</v>
      </c>
      <c r="G41" s="284">
        <f>'Input - Adjustments &amp; Variables'!B49</f>
        <v>39557943.620000012</v>
      </c>
      <c r="H41" s="284">
        <f>'Input - Adjustments &amp; Variables'!B61</f>
        <v>41484817.669999972</v>
      </c>
      <c r="I41" s="284">
        <f>'Input - Adjustments &amp; Variables'!B73</f>
        <v>39568638.049999982</v>
      </c>
      <c r="J41" s="284">
        <f>'Input - Adjustments &amp; Variables'!B85</f>
        <v>38578980.680000037</v>
      </c>
      <c r="K41" s="284">
        <f>'Input - Adjustments &amp; Variables'!B97</f>
        <v>41064153.550000027</v>
      </c>
      <c r="L41" s="284">
        <f>'Input - Adjustments &amp; Variables'!B109</f>
        <v>37514501.140000001</v>
      </c>
      <c r="M41" s="284">
        <f>'Input - Adjustments &amp; Variables'!B121</f>
        <v>36368524</v>
      </c>
      <c r="N41" s="284"/>
    </row>
    <row r="42" spans="1:15" x14ac:dyDescent="0.2">
      <c r="A42" s="200" t="s">
        <v>64</v>
      </c>
      <c r="B42" s="144"/>
      <c r="C42" s="141"/>
      <c r="D42" s="284">
        <f>'Input - Adjustments &amp; Variables'!B14</f>
        <v>43453458.649999976</v>
      </c>
      <c r="E42" s="284">
        <f>'Input - Adjustments &amp; Variables'!B26</f>
        <v>43218262.50000003</v>
      </c>
      <c r="F42" s="284">
        <f>'Input - Adjustments &amp; Variables'!B38</f>
        <v>40606721.039999992</v>
      </c>
      <c r="G42" s="284">
        <f>'Input - Adjustments &amp; Variables'!B50</f>
        <v>39850442.429999992</v>
      </c>
      <c r="H42" s="284">
        <f>'Input - Adjustments &amp; Variables'!B62</f>
        <v>38178097.399999984</v>
      </c>
      <c r="I42" s="284">
        <f>'Input - Adjustments &amp; Variables'!B74</f>
        <v>35855555.68999996</v>
      </c>
      <c r="J42" s="284">
        <f>'Input - Adjustments &amp; Variables'!B86</f>
        <v>35892870.779999956</v>
      </c>
      <c r="K42" s="284">
        <f>'Input - Adjustments &amp; Variables'!B98</f>
        <v>37443471.689999975</v>
      </c>
      <c r="L42" s="284">
        <f>'Input - Adjustments &amp; Variables'!B110</f>
        <v>36374484.030000001</v>
      </c>
      <c r="M42" s="284">
        <f>'Input - Adjustments &amp; Variables'!B122</f>
        <v>35464048</v>
      </c>
      <c r="N42" s="284"/>
    </row>
    <row r="43" spans="1:15" x14ac:dyDescent="0.2">
      <c r="A43" s="200" t="s">
        <v>63</v>
      </c>
      <c r="B43" s="144"/>
      <c r="C43" s="141"/>
      <c r="D43" s="284">
        <f>'Input - Adjustments &amp; Variables'!B15</f>
        <v>42419852.18999999</v>
      </c>
      <c r="E43" s="284">
        <f>'Input - Adjustments &amp; Variables'!B27</f>
        <v>44348257.809999987</v>
      </c>
      <c r="F43" s="284">
        <f>'Input - Adjustments &amp; Variables'!B39</f>
        <v>41891121.289999954</v>
      </c>
      <c r="G43" s="284">
        <f>'Input - Adjustments &amp; Variables'!B51</f>
        <v>43491696.789999977</v>
      </c>
      <c r="H43" s="284">
        <f>'Input - Adjustments &amp; Variables'!B63</f>
        <v>36946837.530000001</v>
      </c>
      <c r="I43" s="284">
        <f>'Input - Adjustments &amp; Variables'!B75</f>
        <v>36559281.450000003</v>
      </c>
      <c r="J43" s="284">
        <f>'Input - Adjustments &amp; Variables'!B87</f>
        <v>38713504.909999996</v>
      </c>
      <c r="K43" s="284">
        <f>'Input - Adjustments &amp; Variables'!B99</f>
        <v>39843675.400000006</v>
      </c>
      <c r="L43" s="284">
        <f>'Input - Adjustments &amp; Variables'!B111</f>
        <v>40089238.080000013</v>
      </c>
      <c r="M43" s="284">
        <f>'Input - Adjustments &amp; Variables'!B123</f>
        <v>36859381</v>
      </c>
      <c r="N43" s="284"/>
    </row>
    <row r="44" spans="1:15" x14ac:dyDescent="0.2">
      <c r="A44" s="200" t="s">
        <v>62</v>
      </c>
      <c r="B44" s="144"/>
      <c r="C44" s="141"/>
      <c r="D44" s="284">
        <f>'Input - Adjustments &amp; Variables'!B16</f>
        <v>46217938.279999964</v>
      </c>
      <c r="E44" s="284">
        <f>'Input - Adjustments &amp; Variables'!B28</f>
        <v>45574164.490000024</v>
      </c>
      <c r="F44" s="284">
        <f>'Input - Adjustments &amp; Variables'!B40</f>
        <v>46416068.759999998</v>
      </c>
      <c r="G44" s="284">
        <f>'Input - Adjustments &amp; Variables'!B52</f>
        <v>44870993.049999982</v>
      </c>
      <c r="H44" s="284">
        <f>'Input - Adjustments &amp; Variables'!B64</f>
        <v>39604094.129999995</v>
      </c>
      <c r="I44" s="284">
        <f>'Input - Adjustments &amp; Variables'!B76</f>
        <v>42534516.759999998</v>
      </c>
      <c r="J44" s="284">
        <f>'Input - Adjustments &amp; Variables'!B88</f>
        <v>43791007.450000025</v>
      </c>
      <c r="K44" s="284">
        <f>'Input - Adjustments &amp; Variables'!B100</f>
        <v>41914947.409999989</v>
      </c>
      <c r="L44" s="284">
        <f>'Input - Adjustments &amp; Variables'!B112</f>
        <v>42739198.629999965</v>
      </c>
      <c r="M44" s="284">
        <f>'Input - Adjustments &amp; Variables'!B124</f>
        <v>42748295</v>
      </c>
      <c r="N44" s="284"/>
    </row>
    <row r="45" spans="1:15" x14ac:dyDescent="0.2">
      <c r="A45" s="200" t="s">
        <v>77</v>
      </c>
      <c r="B45" s="144"/>
      <c r="C45" s="303"/>
      <c r="D45" s="285">
        <f>SUM(D33:D44)</f>
        <v>570956950.18999982</v>
      </c>
      <c r="E45" s="285">
        <f t="shared" ref="E45:M45" si="9">SUM(E33:E44)</f>
        <v>563572078.28000009</v>
      </c>
      <c r="F45" s="285">
        <f t="shared" si="9"/>
        <v>533186625.53999984</v>
      </c>
      <c r="G45" s="285">
        <f t="shared" si="9"/>
        <v>535323948.29999995</v>
      </c>
      <c r="H45" s="285">
        <f t="shared" si="9"/>
        <v>496797371.39999998</v>
      </c>
      <c r="I45" s="285">
        <f t="shared" si="9"/>
        <v>488555532.25999981</v>
      </c>
      <c r="J45" s="285">
        <f t="shared" si="9"/>
        <v>476330269.50999999</v>
      </c>
      <c r="K45" s="285">
        <f t="shared" si="9"/>
        <v>499580482.79999995</v>
      </c>
      <c r="L45" s="285">
        <f t="shared" si="9"/>
        <v>489885593.67000008</v>
      </c>
      <c r="M45" s="285">
        <f t="shared" si="9"/>
        <v>482685186</v>
      </c>
      <c r="N45" s="285">
        <f>SUM(N33:N44)</f>
        <v>0</v>
      </c>
      <c r="O45" s="295">
        <f>SUM(D45:M45)</f>
        <v>5136874037.9499998</v>
      </c>
    </row>
    <row r="46" spans="1:15" x14ac:dyDescent="0.2">
      <c r="A46" s="141"/>
      <c r="B46" s="141"/>
      <c r="C46" s="303"/>
      <c r="D46" s="142"/>
      <c r="E46" s="142"/>
      <c r="F46" s="142"/>
      <c r="G46" s="141"/>
      <c r="H46" s="141"/>
      <c r="I46" s="141"/>
      <c r="J46" s="141"/>
      <c r="K46" s="141"/>
      <c r="L46" s="141"/>
      <c r="M46" s="141"/>
      <c r="N46" s="141"/>
    </row>
    <row r="47" spans="1:15" ht="13.5" thickBot="1" x14ac:dyDescent="0.25">
      <c r="A47" s="141"/>
      <c r="B47" s="141"/>
      <c r="C47" s="303"/>
      <c r="D47" s="142"/>
      <c r="E47" s="142"/>
      <c r="F47" s="142"/>
      <c r="G47" s="141"/>
      <c r="H47" s="141"/>
      <c r="I47" s="141"/>
      <c r="J47" s="141"/>
      <c r="K47" s="141"/>
      <c r="L47" s="141"/>
      <c r="M47" s="141"/>
      <c r="N47" s="141"/>
    </row>
    <row r="48" spans="1:15" ht="16.5" thickTop="1" x14ac:dyDescent="0.2">
      <c r="A48" s="302" t="s">
        <v>145</v>
      </c>
      <c r="B48" s="141"/>
      <c r="C48" s="303"/>
      <c r="D48" s="376">
        <f>D32</f>
        <v>2011</v>
      </c>
      <c r="E48" s="376">
        <f t="shared" ref="E48:M48" si="10">E32</f>
        <v>2012</v>
      </c>
      <c r="F48" s="376">
        <f t="shared" si="10"/>
        <v>2013</v>
      </c>
      <c r="G48" s="376">
        <f t="shared" si="10"/>
        <v>2014</v>
      </c>
      <c r="H48" s="376">
        <f t="shared" si="10"/>
        <v>2015</v>
      </c>
      <c r="I48" s="376">
        <f t="shared" si="10"/>
        <v>2016</v>
      </c>
      <c r="J48" s="376">
        <f t="shared" si="10"/>
        <v>2017</v>
      </c>
      <c r="K48" s="376">
        <f t="shared" si="10"/>
        <v>2018</v>
      </c>
      <c r="L48" s="376">
        <f t="shared" si="10"/>
        <v>2019</v>
      </c>
      <c r="M48" s="376">
        <f t="shared" si="10"/>
        <v>2020</v>
      </c>
      <c r="N48" s="376"/>
    </row>
    <row r="49" spans="1:15" x14ac:dyDescent="0.2">
      <c r="A49" s="200" t="s">
        <v>73</v>
      </c>
      <c r="B49" s="144"/>
      <c r="C49" s="141"/>
      <c r="D49" s="284">
        <f>'Input - Adjustments &amp; Variables'!Z5</f>
        <v>28443</v>
      </c>
      <c r="E49" s="284">
        <f>'Input - Adjustments &amp; Variables'!Z17</f>
        <v>28599</v>
      </c>
      <c r="F49" s="284">
        <f>'Input - Adjustments &amp; Variables'!Z29</f>
        <v>28708</v>
      </c>
      <c r="G49" s="284">
        <f>'Input - Adjustments &amp; Variables'!Z41</f>
        <v>28748</v>
      </c>
      <c r="H49" s="284">
        <f>'Input - Adjustments &amp; Variables'!Z53</f>
        <v>28776</v>
      </c>
      <c r="I49" s="284">
        <f>'Input - Adjustments &amp; Variables'!Z65</f>
        <v>28830</v>
      </c>
      <c r="J49" s="284">
        <f>'Input - Adjustments &amp; Variables'!Z77</f>
        <v>28933</v>
      </c>
      <c r="K49" s="284">
        <f>'Input - Adjustments &amp; Variables'!Z89</f>
        <v>29201</v>
      </c>
      <c r="L49" s="284">
        <f>'Input - Adjustments &amp; Variables'!Z101</f>
        <v>29344</v>
      </c>
      <c r="M49" s="284">
        <f>'Input - Adjustments &amp; Variables'!Z113</f>
        <v>29597</v>
      </c>
      <c r="N49" s="284"/>
    </row>
    <row r="50" spans="1:15" x14ac:dyDescent="0.2">
      <c r="A50" s="200" t="s">
        <v>72</v>
      </c>
      <c r="B50" s="144"/>
      <c r="C50" s="141"/>
      <c r="D50" s="284">
        <f>'Input - Adjustments &amp; Variables'!Z6</f>
        <v>28447</v>
      </c>
      <c r="E50" s="284">
        <f>'Input - Adjustments &amp; Variables'!Z18</f>
        <v>28605</v>
      </c>
      <c r="F50" s="284">
        <f>'Input - Adjustments &amp; Variables'!Z30</f>
        <v>28707</v>
      </c>
      <c r="G50" s="284">
        <f>'Input - Adjustments &amp; Variables'!Z42</f>
        <v>28744</v>
      </c>
      <c r="H50" s="284">
        <f>'Input - Adjustments &amp; Variables'!Z54</f>
        <v>28756</v>
      </c>
      <c r="I50" s="284">
        <f>'Input - Adjustments &amp; Variables'!Z66</f>
        <v>28843</v>
      </c>
      <c r="J50" s="284">
        <f>'Input - Adjustments &amp; Variables'!Z78</f>
        <v>28960</v>
      </c>
      <c r="K50" s="284">
        <f>'Input - Adjustments &amp; Variables'!Z90</f>
        <v>29208</v>
      </c>
      <c r="L50" s="284">
        <f>'Input - Adjustments &amp; Variables'!Z102</f>
        <v>29330</v>
      </c>
      <c r="M50" s="284">
        <f>'Input - Adjustments &amp; Variables'!Z114</f>
        <v>29634</v>
      </c>
      <c r="N50" s="284"/>
    </row>
    <row r="51" spans="1:15" x14ac:dyDescent="0.2">
      <c r="A51" s="200" t="s">
        <v>71</v>
      </c>
      <c r="B51" s="144"/>
      <c r="C51" s="141"/>
      <c r="D51" s="284">
        <f>'Input - Adjustments &amp; Variables'!Z7</f>
        <v>28437</v>
      </c>
      <c r="E51" s="284">
        <f>'Input - Adjustments &amp; Variables'!Z19</f>
        <v>28561</v>
      </c>
      <c r="F51" s="284">
        <f>'Input - Adjustments &amp; Variables'!Z31</f>
        <v>28697</v>
      </c>
      <c r="G51" s="284">
        <f>'Input - Adjustments &amp; Variables'!Z43</f>
        <v>28756</v>
      </c>
      <c r="H51" s="284">
        <f>'Input - Adjustments &amp; Variables'!Z55</f>
        <v>28748</v>
      </c>
      <c r="I51" s="284">
        <f>'Input - Adjustments &amp; Variables'!Z67</f>
        <v>28835</v>
      </c>
      <c r="J51" s="284">
        <f>'Input - Adjustments &amp; Variables'!Z79</f>
        <v>28960</v>
      </c>
      <c r="K51" s="284">
        <f>'Input - Adjustments &amp; Variables'!Z91</f>
        <v>29230</v>
      </c>
      <c r="L51" s="284">
        <f>'Input - Adjustments &amp; Variables'!Z103</f>
        <v>29340</v>
      </c>
      <c r="M51" s="284">
        <f>'Input - Adjustments &amp; Variables'!Z115</f>
        <v>29659</v>
      </c>
      <c r="N51" s="284"/>
    </row>
    <row r="52" spans="1:15" x14ac:dyDescent="0.2">
      <c r="A52" s="200" t="s">
        <v>70</v>
      </c>
      <c r="B52" s="144"/>
      <c r="C52" s="141"/>
      <c r="D52" s="284">
        <f>'Input - Adjustments &amp; Variables'!Z8</f>
        <v>28398</v>
      </c>
      <c r="E52" s="284">
        <f>'Input - Adjustments &amp; Variables'!Z20</f>
        <v>28583</v>
      </c>
      <c r="F52" s="284">
        <f>'Input - Adjustments &amp; Variables'!Z32</f>
        <v>28661</v>
      </c>
      <c r="G52" s="284">
        <f>'Input - Adjustments &amp; Variables'!Z44</f>
        <v>28739</v>
      </c>
      <c r="H52" s="284">
        <f>'Input - Adjustments &amp; Variables'!Z56</f>
        <v>28733</v>
      </c>
      <c r="I52" s="284">
        <f>'Input - Adjustments &amp; Variables'!Z68</f>
        <v>28853</v>
      </c>
      <c r="J52" s="284">
        <f>'Input - Adjustments &amp; Variables'!Z80</f>
        <v>28969</v>
      </c>
      <c r="K52" s="284">
        <f>'Input - Adjustments &amp; Variables'!Z92</f>
        <v>29230</v>
      </c>
      <c r="L52" s="284">
        <f>'Input - Adjustments &amp; Variables'!Z104</f>
        <v>29411</v>
      </c>
      <c r="M52" s="284">
        <f>'Input - Adjustments &amp; Variables'!Z116</f>
        <v>29701</v>
      </c>
      <c r="N52" s="284"/>
    </row>
    <row r="53" spans="1:15" x14ac:dyDescent="0.2">
      <c r="A53" s="200" t="s">
        <v>69</v>
      </c>
      <c r="B53" s="144"/>
      <c r="C53" s="141"/>
      <c r="D53" s="284">
        <f>'Input - Adjustments &amp; Variables'!Z9</f>
        <v>28386</v>
      </c>
      <c r="E53" s="284">
        <f>'Input - Adjustments &amp; Variables'!Z21</f>
        <v>28574</v>
      </c>
      <c r="F53" s="284">
        <f>'Input - Adjustments &amp; Variables'!Z33</f>
        <v>28653</v>
      </c>
      <c r="G53" s="284">
        <f>'Input - Adjustments &amp; Variables'!Z45</f>
        <v>28715</v>
      </c>
      <c r="H53" s="284">
        <f>'Input - Adjustments &amp; Variables'!Z57</f>
        <v>28701</v>
      </c>
      <c r="I53" s="284">
        <f>'Input - Adjustments &amp; Variables'!Z69</f>
        <v>28859</v>
      </c>
      <c r="J53" s="284">
        <f>'Input - Adjustments &amp; Variables'!Z81</f>
        <v>29025</v>
      </c>
      <c r="K53" s="284">
        <f>'Input - Adjustments &amp; Variables'!Z93</f>
        <v>29232</v>
      </c>
      <c r="L53" s="284">
        <f>'Input - Adjustments &amp; Variables'!Z105</f>
        <v>29394</v>
      </c>
      <c r="M53" s="284">
        <f>'Input - Adjustments &amp; Variables'!Z117</f>
        <v>29709</v>
      </c>
      <c r="N53" s="284"/>
    </row>
    <row r="54" spans="1:15" x14ac:dyDescent="0.2">
      <c r="A54" s="200" t="s">
        <v>68</v>
      </c>
      <c r="B54" s="144"/>
      <c r="C54" s="141"/>
      <c r="D54" s="284">
        <f>'Input - Adjustments &amp; Variables'!Z10</f>
        <v>28410</v>
      </c>
      <c r="E54" s="284">
        <f>'Input - Adjustments &amp; Variables'!Z22</f>
        <v>28616</v>
      </c>
      <c r="F54" s="284">
        <f>'Input - Adjustments &amp; Variables'!Z34</f>
        <v>28656</v>
      </c>
      <c r="G54" s="284">
        <f>'Input - Adjustments &amp; Variables'!Z46</f>
        <v>28716</v>
      </c>
      <c r="H54" s="284">
        <f>'Input - Adjustments &amp; Variables'!Z58</f>
        <v>28699</v>
      </c>
      <c r="I54" s="284">
        <f>'Input - Adjustments &amp; Variables'!Z70</f>
        <v>28872</v>
      </c>
      <c r="J54" s="284">
        <f>'Input - Adjustments &amp; Variables'!Z82</f>
        <v>29019</v>
      </c>
      <c r="K54" s="284">
        <f>'Input - Adjustments &amp; Variables'!Z94</f>
        <v>29229</v>
      </c>
      <c r="L54" s="284">
        <f>'Input - Adjustments &amp; Variables'!Z106</f>
        <v>29406</v>
      </c>
      <c r="M54" s="284">
        <f>'Input - Adjustments &amp; Variables'!Z118</f>
        <v>29739</v>
      </c>
      <c r="N54" s="284"/>
    </row>
    <row r="55" spans="1:15" x14ac:dyDescent="0.2">
      <c r="A55" s="200" t="s">
        <v>67</v>
      </c>
      <c r="B55" s="144"/>
      <c r="C55" s="141"/>
      <c r="D55" s="284">
        <f>'Input - Adjustments &amp; Variables'!Z11</f>
        <v>28362</v>
      </c>
      <c r="E55" s="284">
        <f>'Input - Adjustments &amp; Variables'!Z23</f>
        <v>28618</v>
      </c>
      <c r="F55" s="284">
        <f>'Input - Adjustments &amp; Variables'!Z35</f>
        <v>28691</v>
      </c>
      <c r="G55" s="284">
        <f>'Input - Adjustments &amp; Variables'!Z47</f>
        <v>28720</v>
      </c>
      <c r="H55" s="284">
        <f>'Input - Adjustments &amp; Variables'!Z59</f>
        <v>28743</v>
      </c>
      <c r="I55" s="284">
        <f>'Input - Adjustments &amp; Variables'!Z71</f>
        <v>28792</v>
      </c>
      <c r="J55" s="284">
        <f>'Input - Adjustments &amp; Variables'!Z83</f>
        <v>29037</v>
      </c>
      <c r="K55" s="284">
        <f>'Input - Adjustments &amp; Variables'!Z95</f>
        <v>29248</v>
      </c>
      <c r="L55" s="284">
        <f>'Input - Adjustments &amp; Variables'!Z107</f>
        <v>29415</v>
      </c>
      <c r="M55" s="284">
        <f>'Input - Adjustments &amp; Variables'!Z119</f>
        <v>29749</v>
      </c>
      <c r="N55" s="284"/>
    </row>
    <row r="56" spans="1:15" x14ac:dyDescent="0.2">
      <c r="A56" s="200" t="s">
        <v>66</v>
      </c>
      <c r="B56" s="144"/>
      <c r="C56" s="141"/>
      <c r="D56" s="284">
        <f>'Input - Adjustments &amp; Variables'!Z12</f>
        <v>28364</v>
      </c>
      <c r="E56" s="284">
        <f>'Input - Adjustments &amp; Variables'!Z24</f>
        <v>28610</v>
      </c>
      <c r="F56" s="284">
        <f>'Input - Adjustments &amp; Variables'!Z36</f>
        <v>28674</v>
      </c>
      <c r="G56" s="284">
        <f>'Input - Adjustments &amp; Variables'!Z48</f>
        <v>28724</v>
      </c>
      <c r="H56" s="284">
        <f>'Input - Adjustments &amp; Variables'!Z60</f>
        <v>28760</v>
      </c>
      <c r="I56" s="284">
        <f>'Input - Adjustments &amp; Variables'!Z72</f>
        <v>28833</v>
      </c>
      <c r="J56" s="284">
        <f>'Input - Adjustments &amp; Variables'!Z84</f>
        <v>29054</v>
      </c>
      <c r="K56" s="284">
        <f>'Input - Adjustments &amp; Variables'!Z96</f>
        <v>29265</v>
      </c>
      <c r="L56" s="284">
        <f>'Input - Adjustments &amp; Variables'!Z108</f>
        <v>29440</v>
      </c>
      <c r="M56" s="284">
        <f>'Input - Adjustments &amp; Variables'!Z120</f>
        <v>29752</v>
      </c>
      <c r="N56" s="284"/>
    </row>
    <row r="57" spans="1:15" x14ac:dyDescent="0.2">
      <c r="A57" s="200" t="s">
        <v>65</v>
      </c>
      <c r="B57" s="144"/>
      <c r="C57" s="141"/>
      <c r="D57" s="284">
        <f>'Input - Adjustments &amp; Variables'!Z13</f>
        <v>28384</v>
      </c>
      <c r="E57" s="284">
        <f>'Input - Adjustments &amp; Variables'!Z25</f>
        <v>28614</v>
      </c>
      <c r="F57" s="284">
        <f>'Input - Adjustments &amp; Variables'!Z37</f>
        <v>28700</v>
      </c>
      <c r="G57" s="284">
        <f>'Input - Adjustments &amp; Variables'!Z49</f>
        <v>28750</v>
      </c>
      <c r="H57" s="284">
        <f>'Input - Adjustments &amp; Variables'!Z61</f>
        <v>28792</v>
      </c>
      <c r="I57" s="284">
        <f>'Input - Adjustments &amp; Variables'!Z73</f>
        <v>28864</v>
      </c>
      <c r="J57" s="284">
        <f>'Input - Adjustments &amp; Variables'!Z85</f>
        <v>29085</v>
      </c>
      <c r="K57" s="284">
        <f>'Input - Adjustments &amp; Variables'!Z97</f>
        <v>29273</v>
      </c>
      <c r="L57" s="284">
        <f>'Input - Adjustments &amp; Variables'!Z109</f>
        <v>29481</v>
      </c>
      <c r="M57" s="284">
        <f>'Input - Adjustments &amp; Variables'!Z121</f>
        <v>29726</v>
      </c>
      <c r="N57" s="284"/>
    </row>
    <row r="58" spans="1:15" x14ac:dyDescent="0.2">
      <c r="A58" s="200" t="s">
        <v>64</v>
      </c>
      <c r="B58" s="144"/>
      <c r="C58" s="141"/>
      <c r="D58" s="284">
        <f>'Input - Adjustments &amp; Variables'!Z14</f>
        <v>28497</v>
      </c>
      <c r="E58" s="284">
        <f>'Input - Adjustments &amp; Variables'!Z26</f>
        <v>28631</v>
      </c>
      <c r="F58" s="284">
        <f>'Input - Adjustments &amp; Variables'!Z38</f>
        <v>28700</v>
      </c>
      <c r="G58" s="284">
        <f>'Input - Adjustments &amp; Variables'!Z50</f>
        <v>28746</v>
      </c>
      <c r="H58" s="284">
        <f>'Input - Adjustments &amp; Variables'!Z62</f>
        <v>28795</v>
      </c>
      <c r="I58" s="284">
        <f>'Input - Adjustments &amp; Variables'!Z74</f>
        <v>28858</v>
      </c>
      <c r="J58" s="284">
        <f>'Input - Adjustments &amp; Variables'!Z86</f>
        <v>29091</v>
      </c>
      <c r="K58" s="284">
        <f>'Input - Adjustments &amp; Variables'!Z98</f>
        <v>29290</v>
      </c>
      <c r="L58" s="284">
        <f>'Input - Adjustments &amp; Variables'!Z110</f>
        <v>29505</v>
      </c>
      <c r="M58" s="284">
        <f>'Input - Adjustments &amp; Variables'!Z122</f>
        <v>29745</v>
      </c>
      <c r="N58" s="284"/>
    </row>
    <row r="59" spans="1:15" x14ac:dyDescent="0.2">
      <c r="A59" s="200" t="s">
        <v>63</v>
      </c>
      <c r="B59" s="144"/>
      <c r="C59" s="141"/>
      <c r="D59" s="284">
        <f>'Input - Adjustments &amp; Variables'!Z15</f>
        <v>28559</v>
      </c>
      <c r="E59" s="284">
        <f>'Input - Adjustments &amp; Variables'!Z27</f>
        <v>28647</v>
      </c>
      <c r="F59" s="284">
        <f>'Input - Adjustments &amp; Variables'!Z39</f>
        <v>28704</v>
      </c>
      <c r="G59" s="284">
        <f>'Input - Adjustments &amp; Variables'!Z51</f>
        <v>28745</v>
      </c>
      <c r="H59" s="284">
        <f>'Input - Adjustments &amp; Variables'!Z63</f>
        <v>28801</v>
      </c>
      <c r="I59" s="284">
        <f>'Input - Adjustments &amp; Variables'!Z75</f>
        <v>28896</v>
      </c>
      <c r="J59" s="284">
        <f>'Input - Adjustments &amp; Variables'!Z87</f>
        <v>29149</v>
      </c>
      <c r="K59" s="284">
        <f>'Input - Adjustments &amp; Variables'!Z99</f>
        <v>29307</v>
      </c>
      <c r="L59" s="284">
        <f>'Input - Adjustments &amp; Variables'!Z111</f>
        <v>29533</v>
      </c>
      <c r="M59" s="284">
        <f>'Input - Adjustments &amp; Variables'!Z123</f>
        <v>29783</v>
      </c>
      <c r="N59" s="284"/>
    </row>
    <row r="60" spans="1:15" x14ac:dyDescent="0.2">
      <c r="A60" s="200" t="s">
        <v>62</v>
      </c>
      <c r="B60" s="144"/>
      <c r="C60" s="141"/>
      <c r="D60" s="284">
        <f>'Input - Adjustments &amp; Variables'!Z16</f>
        <v>28539</v>
      </c>
      <c r="E60" s="284">
        <f>'Input - Adjustments &amp; Variables'!Z28</f>
        <v>28658</v>
      </c>
      <c r="F60" s="284">
        <f>'Input - Adjustments &amp; Variables'!Z40</f>
        <v>28722</v>
      </c>
      <c r="G60" s="284">
        <f>'Input - Adjustments &amp; Variables'!Z52</f>
        <v>28755</v>
      </c>
      <c r="H60" s="284">
        <f>'Input - Adjustments &amp; Variables'!Z64</f>
        <v>28826</v>
      </c>
      <c r="I60" s="284">
        <f>'Input - Adjustments &amp; Variables'!Z76</f>
        <v>28913</v>
      </c>
      <c r="J60" s="284">
        <f>'Input - Adjustments &amp; Variables'!Z88</f>
        <v>29158</v>
      </c>
      <c r="K60" s="284">
        <f>'Input - Adjustments &amp; Variables'!Z100</f>
        <v>29323</v>
      </c>
      <c r="L60" s="284">
        <f>'Input - Adjustments &amp; Variables'!Z112</f>
        <v>29573</v>
      </c>
      <c r="M60" s="284">
        <f>'Input - Adjustments &amp; Variables'!Z124</f>
        <v>29827</v>
      </c>
      <c r="N60" s="284"/>
    </row>
    <row r="61" spans="1:15" x14ac:dyDescent="0.2">
      <c r="A61" s="200" t="s">
        <v>77</v>
      </c>
      <c r="B61" s="144"/>
      <c r="C61" s="303"/>
      <c r="D61" s="285">
        <f>SUM(D49:D60)</f>
        <v>341226</v>
      </c>
      <c r="E61" s="285">
        <f t="shared" ref="E61:M61" si="11">SUM(E49:E60)</f>
        <v>343316</v>
      </c>
      <c r="F61" s="285">
        <f t="shared" si="11"/>
        <v>344273</v>
      </c>
      <c r="G61" s="285">
        <f t="shared" si="11"/>
        <v>344858</v>
      </c>
      <c r="H61" s="285">
        <f t="shared" si="11"/>
        <v>345130</v>
      </c>
      <c r="I61" s="285">
        <f t="shared" si="11"/>
        <v>346248</v>
      </c>
      <c r="J61" s="285">
        <f t="shared" si="11"/>
        <v>348440</v>
      </c>
      <c r="K61" s="285">
        <f t="shared" si="11"/>
        <v>351036</v>
      </c>
      <c r="L61" s="285">
        <f t="shared" si="11"/>
        <v>353172</v>
      </c>
      <c r="M61" s="285">
        <f t="shared" si="11"/>
        <v>356621</v>
      </c>
      <c r="N61" s="285">
        <f>SUM(N49:N60)</f>
        <v>0</v>
      </c>
      <c r="O61" s="295">
        <f>SUM(D61:M61)</f>
        <v>3474320</v>
      </c>
    </row>
    <row r="62" spans="1:15" x14ac:dyDescent="0.2">
      <c r="A62" s="141"/>
      <c r="B62" s="141"/>
      <c r="C62" s="303"/>
      <c r="D62" s="142"/>
      <c r="E62" s="142"/>
      <c r="F62" s="142"/>
      <c r="G62" s="141"/>
      <c r="H62" s="141"/>
      <c r="I62" s="141"/>
      <c r="J62" s="141"/>
      <c r="K62" s="141"/>
      <c r="L62" s="141"/>
      <c r="M62" s="141"/>
      <c r="N62" s="141"/>
    </row>
    <row r="63" spans="1:15" ht="13.5" thickBot="1" x14ac:dyDescent="0.25">
      <c r="A63" s="141"/>
      <c r="B63" s="141"/>
      <c r="C63" s="303"/>
      <c r="D63" s="142"/>
      <c r="E63" s="142"/>
      <c r="F63" s="142"/>
      <c r="G63" s="141"/>
      <c r="H63" s="141"/>
      <c r="I63" s="141"/>
      <c r="J63" s="141"/>
      <c r="K63" s="141"/>
      <c r="L63" s="141"/>
      <c r="M63" s="141"/>
      <c r="N63" s="141"/>
    </row>
    <row r="64" spans="1:15" ht="16.5" thickTop="1" x14ac:dyDescent="0.2">
      <c r="A64" s="302" t="s">
        <v>127</v>
      </c>
      <c r="B64" s="141"/>
      <c r="C64" s="303"/>
      <c r="D64" s="376">
        <f>D32</f>
        <v>2011</v>
      </c>
      <c r="E64" s="376">
        <f t="shared" ref="E64:M64" si="12">E48</f>
        <v>2012</v>
      </c>
      <c r="F64" s="376">
        <f t="shared" si="12"/>
        <v>2013</v>
      </c>
      <c r="G64" s="376">
        <f t="shared" si="12"/>
        <v>2014</v>
      </c>
      <c r="H64" s="376">
        <f t="shared" si="12"/>
        <v>2015</v>
      </c>
      <c r="I64" s="376">
        <f t="shared" si="12"/>
        <v>2016</v>
      </c>
      <c r="J64" s="376">
        <f t="shared" si="12"/>
        <v>2017</v>
      </c>
      <c r="K64" s="376">
        <f t="shared" si="12"/>
        <v>2018</v>
      </c>
      <c r="L64" s="376">
        <f t="shared" si="12"/>
        <v>2019</v>
      </c>
      <c r="M64" s="376">
        <f t="shared" si="12"/>
        <v>2020</v>
      </c>
      <c r="N64" s="376" t="s">
        <v>57</v>
      </c>
    </row>
    <row r="65" spans="1:15" x14ac:dyDescent="0.2">
      <c r="A65" s="304" t="s">
        <v>59</v>
      </c>
      <c r="B65" s="201"/>
      <c r="C65" s="305"/>
      <c r="D65" s="286"/>
      <c r="E65" s="286"/>
      <c r="F65" s="286"/>
      <c r="G65" s="286"/>
      <c r="H65" s="286"/>
      <c r="I65" s="286"/>
      <c r="J65" s="286"/>
      <c r="K65" s="286"/>
      <c r="L65" s="286"/>
      <c r="M65" s="286"/>
      <c r="N65" s="286"/>
      <c r="O65" s="300"/>
    </row>
    <row r="66" spans="1:15" x14ac:dyDescent="0.2">
      <c r="A66" s="281" t="s">
        <v>128</v>
      </c>
      <c r="B66" s="201"/>
      <c r="C66" s="305"/>
      <c r="D66" s="284">
        <v>206782921.40000001</v>
      </c>
      <c r="E66" s="284">
        <v>202637718.53299999</v>
      </c>
      <c r="F66" s="284">
        <v>206257082.428</v>
      </c>
      <c r="G66" s="284">
        <v>202495777.38000003</v>
      </c>
      <c r="H66" s="284">
        <v>199739669.07999998</v>
      </c>
      <c r="I66" s="284">
        <v>202182964.05000001</v>
      </c>
      <c r="J66" s="284">
        <v>192333396.59142745</v>
      </c>
      <c r="K66" s="284">
        <v>213384791.97681683</v>
      </c>
      <c r="L66" s="284">
        <v>208333695.23086321</v>
      </c>
      <c r="M66" s="284">
        <v>220200219.65924728</v>
      </c>
      <c r="N66" s="284"/>
      <c r="O66" s="295"/>
    </row>
    <row r="67" spans="1:15" x14ac:dyDescent="0.2">
      <c r="A67" s="281" t="s">
        <v>129</v>
      </c>
      <c r="B67" s="201"/>
      <c r="C67" s="305"/>
      <c r="D67" s="284">
        <v>25559.5</v>
      </c>
      <c r="E67" s="284">
        <v>25711</v>
      </c>
      <c r="F67" s="284">
        <v>25797.833333333332</v>
      </c>
      <c r="G67" s="284">
        <v>25863.166666666668</v>
      </c>
      <c r="H67" s="284">
        <v>25920.25</v>
      </c>
      <c r="I67" s="284">
        <v>26029.416666666668</v>
      </c>
      <c r="J67" s="284">
        <v>26228.416666666668</v>
      </c>
      <c r="K67" s="284">
        <v>26464.833333333332</v>
      </c>
      <c r="L67" s="284">
        <v>26647</v>
      </c>
      <c r="M67" s="284">
        <v>26915.666666666668</v>
      </c>
      <c r="N67" s="284"/>
    </row>
    <row r="68" spans="1:15" x14ac:dyDescent="0.2">
      <c r="A68" s="281"/>
      <c r="B68" s="201"/>
      <c r="C68" s="305"/>
      <c r="D68" s="286"/>
      <c r="E68" s="286"/>
      <c r="F68" s="286"/>
      <c r="G68" s="286"/>
      <c r="H68" s="286"/>
      <c r="I68" s="286"/>
      <c r="J68" s="286"/>
      <c r="K68" s="286"/>
      <c r="L68" s="286"/>
      <c r="M68" s="286"/>
      <c r="N68" s="286"/>
    </row>
    <row r="69" spans="1:15" x14ac:dyDescent="0.2">
      <c r="A69" s="304" t="s">
        <v>58</v>
      </c>
      <c r="B69" s="201"/>
      <c r="C69" s="305"/>
      <c r="D69" s="286"/>
      <c r="E69" s="286"/>
      <c r="F69" s="286"/>
      <c r="G69" s="286"/>
      <c r="H69" s="286"/>
      <c r="I69" s="286"/>
      <c r="J69" s="286"/>
      <c r="K69" s="286"/>
      <c r="L69" s="286"/>
      <c r="M69" s="286"/>
      <c r="N69" s="286"/>
    </row>
    <row r="70" spans="1:15" x14ac:dyDescent="0.2">
      <c r="A70" s="281" t="s">
        <v>128</v>
      </c>
      <c r="B70" s="201"/>
      <c r="C70" s="305"/>
      <c r="D70" s="284">
        <v>71478285.230000004</v>
      </c>
      <c r="E70" s="284">
        <v>70359939.605000004</v>
      </c>
      <c r="F70" s="284">
        <v>68674576.604000002</v>
      </c>
      <c r="G70" s="284">
        <v>69135015.260000005</v>
      </c>
      <c r="H70" s="284">
        <v>68487698.590000004</v>
      </c>
      <c r="I70" s="284">
        <v>69095397.390000001</v>
      </c>
      <c r="J70" s="284">
        <v>66385178.073323995</v>
      </c>
      <c r="K70" s="284">
        <v>68552191.048737228</v>
      </c>
      <c r="L70" s="284">
        <v>68296619.869135812</v>
      </c>
      <c r="M70" s="284">
        <v>63219121.669230707</v>
      </c>
      <c r="N70" s="284"/>
      <c r="O70" s="295"/>
    </row>
    <row r="71" spans="1:15" x14ac:dyDescent="0.2">
      <c r="A71" s="281" t="s">
        <v>129</v>
      </c>
      <c r="B71" s="201"/>
      <c r="C71" s="305"/>
      <c r="D71" s="284">
        <v>2507</v>
      </c>
      <c r="E71" s="284">
        <v>2530.9166666666665</v>
      </c>
      <c r="F71" s="284">
        <v>2524.5833333333335</v>
      </c>
      <c r="G71" s="284">
        <v>2512.4166666666665</v>
      </c>
      <c r="H71" s="284">
        <v>2492.1666666666665</v>
      </c>
      <c r="I71" s="284">
        <v>2502.6666666666665</v>
      </c>
      <c r="J71" s="284">
        <v>2506.6666666666665</v>
      </c>
      <c r="K71" s="284">
        <v>2490.75</v>
      </c>
      <c r="L71" s="284">
        <v>2495.6666666666665</v>
      </c>
      <c r="M71" s="284">
        <v>2513.5833333333335</v>
      </c>
      <c r="N71" s="284"/>
    </row>
    <row r="72" spans="1:15" x14ac:dyDescent="0.2">
      <c r="A72" s="281"/>
      <c r="B72" s="201"/>
      <c r="C72" s="305"/>
      <c r="D72" s="286"/>
      <c r="E72" s="286"/>
      <c r="F72" s="286"/>
      <c r="G72" s="286"/>
      <c r="H72" s="286"/>
      <c r="I72" s="286"/>
      <c r="J72" s="286"/>
      <c r="K72" s="286"/>
      <c r="L72" s="286"/>
      <c r="M72" s="286"/>
      <c r="N72" s="286"/>
    </row>
    <row r="73" spans="1:15" x14ac:dyDescent="0.2">
      <c r="A73" s="304" t="s">
        <v>186</v>
      </c>
      <c r="B73" s="144"/>
      <c r="C73" s="303"/>
      <c r="D73" s="286"/>
      <c r="E73" s="286"/>
      <c r="F73" s="286"/>
      <c r="G73" s="286"/>
      <c r="H73" s="286"/>
      <c r="I73" s="286"/>
      <c r="J73" s="286"/>
      <c r="K73" s="286"/>
      <c r="L73" s="286"/>
      <c r="M73" s="286"/>
      <c r="N73" s="286"/>
    </row>
    <row r="74" spans="1:15" x14ac:dyDescent="0.2">
      <c r="A74" s="281" t="s">
        <v>128</v>
      </c>
      <c r="B74" s="144"/>
      <c r="C74" s="303"/>
      <c r="D74" s="284">
        <v>250365636.15600002</v>
      </c>
      <c r="E74" s="284">
        <v>252871258.60249999</v>
      </c>
      <c r="F74" s="284">
        <v>218765504.61700001</v>
      </c>
      <c r="G74" s="284">
        <v>227548065.41000003</v>
      </c>
      <c r="H74" s="284">
        <v>194707775.59</v>
      </c>
      <c r="I74" s="284">
        <v>185839670.57999998</v>
      </c>
      <c r="J74" s="284">
        <v>185980426.04825354</v>
      </c>
      <c r="K74" s="284">
        <v>186317853.54878309</v>
      </c>
      <c r="L74" s="284">
        <v>183204907.69893607</v>
      </c>
      <c r="M74" s="284">
        <v>169630766.96221483</v>
      </c>
      <c r="N74" s="284"/>
      <c r="O74" s="295"/>
    </row>
    <row r="75" spans="1:15" x14ac:dyDescent="0.2">
      <c r="A75" s="281" t="s">
        <v>130</v>
      </c>
      <c r="B75" s="144"/>
      <c r="C75" s="303"/>
      <c r="D75" s="284">
        <v>753237.76</v>
      </c>
      <c r="E75" s="284">
        <v>760470.64199999999</v>
      </c>
      <c r="F75" s="284">
        <v>689936.48</v>
      </c>
      <c r="G75" s="284">
        <v>664361.51</v>
      </c>
      <c r="H75" s="284">
        <v>615145.36</v>
      </c>
      <c r="I75" s="284">
        <v>580036.22</v>
      </c>
      <c r="J75" s="284">
        <v>588371.79999999993</v>
      </c>
      <c r="K75" s="284">
        <v>580250.94000000006</v>
      </c>
      <c r="L75" s="284">
        <v>553966.00999999966</v>
      </c>
      <c r="M75" s="284">
        <v>527483.83000000007</v>
      </c>
      <c r="N75" s="284"/>
      <c r="O75" s="295"/>
    </row>
    <row r="76" spans="1:15" x14ac:dyDescent="0.2">
      <c r="A76" s="281" t="s">
        <v>129</v>
      </c>
      <c r="B76" s="144"/>
      <c r="C76" s="303"/>
      <c r="D76" s="284">
        <v>224.41666666666666</v>
      </c>
      <c r="E76" s="284">
        <v>224.5</v>
      </c>
      <c r="F76" s="284">
        <v>225.08333333333334</v>
      </c>
      <c r="G76" s="284">
        <v>225.08333333333334</v>
      </c>
      <c r="H76" s="284">
        <v>219.66666666666666</v>
      </c>
      <c r="I76" s="284">
        <v>205.58333333333334</v>
      </c>
      <c r="J76" s="284">
        <v>198</v>
      </c>
      <c r="K76" s="284">
        <v>197.66666666666666</v>
      </c>
      <c r="L76" s="284">
        <v>190.33333333333334</v>
      </c>
      <c r="M76" s="284">
        <v>193.16666666666666</v>
      </c>
      <c r="N76" s="284"/>
    </row>
    <row r="77" spans="1:15" x14ac:dyDescent="0.2">
      <c r="A77" s="282"/>
      <c r="B77" s="144"/>
      <c r="C77" s="303"/>
      <c r="D77" s="286"/>
      <c r="E77" s="286"/>
      <c r="F77" s="286"/>
      <c r="G77" s="286"/>
      <c r="H77" s="286"/>
      <c r="I77" s="286"/>
      <c r="J77" s="286"/>
      <c r="K77" s="286"/>
      <c r="L77" s="286"/>
      <c r="M77" s="286"/>
      <c r="N77" s="286"/>
    </row>
    <row r="78" spans="1:15" x14ac:dyDescent="0.2">
      <c r="A78" s="304" t="s">
        <v>146</v>
      </c>
      <c r="B78" s="144"/>
      <c r="C78" s="303"/>
      <c r="D78" s="286"/>
      <c r="E78" s="286"/>
      <c r="F78" s="286"/>
      <c r="G78" s="286"/>
      <c r="H78" s="286"/>
      <c r="I78" s="286"/>
      <c r="J78" s="286"/>
      <c r="K78" s="286"/>
      <c r="L78" s="286"/>
      <c r="M78" s="286"/>
      <c r="N78" s="286"/>
    </row>
    <row r="79" spans="1:15" x14ac:dyDescent="0.2">
      <c r="A79" s="281" t="s">
        <v>128</v>
      </c>
      <c r="B79" s="144"/>
      <c r="C79" s="303"/>
      <c r="D79" s="284">
        <v>5010546.66</v>
      </c>
      <c r="E79" s="284">
        <v>5264498.6195</v>
      </c>
      <c r="F79" s="284">
        <v>4854403.5</v>
      </c>
      <c r="G79" s="284">
        <v>4975331.1999999993</v>
      </c>
      <c r="H79" s="284">
        <v>5138938.0000000009</v>
      </c>
      <c r="I79" s="284">
        <v>5604942.4199999999</v>
      </c>
      <c r="J79" s="284">
        <v>4768119.9723423496</v>
      </c>
      <c r="K79" s="284">
        <v>5218945.2166489204</v>
      </c>
      <c r="L79" s="284">
        <v>5234524.4083762597</v>
      </c>
      <c r="M79" s="284">
        <v>5321959.9988488881</v>
      </c>
      <c r="N79" s="284"/>
      <c r="O79" s="295"/>
    </row>
    <row r="80" spans="1:15" x14ac:dyDescent="0.2">
      <c r="A80" s="281" t="s">
        <v>130</v>
      </c>
      <c r="B80" s="144"/>
      <c r="C80" s="303"/>
      <c r="D80" s="284">
        <v>12008.64</v>
      </c>
      <c r="E80" s="284">
        <v>12682.68</v>
      </c>
      <c r="F80" s="284">
        <v>12041.64</v>
      </c>
      <c r="G80" s="284">
        <v>12958.4</v>
      </c>
      <c r="H80" s="284">
        <v>13742.4</v>
      </c>
      <c r="I80" s="284">
        <v>16375.72</v>
      </c>
      <c r="J80" s="284">
        <v>12501.41</v>
      </c>
      <c r="K80" s="284">
        <v>13532.36</v>
      </c>
      <c r="L80" s="284">
        <v>13275.64</v>
      </c>
      <c r="M80" s="284">
        <v>14339.56</v>
      </c>
      <c r="N80" s="284"/>
    </row>
    <row r="81" spans="1:15" x14ac:dyDescent="0.2">
      <c r="A81" s="281" t="s">
        <v>129</v>
      </c>
      <c r="B81" s="144"/>
      <c r="C81" s="303"/>
      <c r="D81" s="284">
        <v>1</v>
      </c>
      <c r="E81" s="284">
        <v>1</v>
      </c>
      <c r="F81" s="284">
        <v>1</v>
      </c>
      <c r="G81" s="284">
        <v>1</v>
      </c>
      <c r="H81" s="284">
        <v>1</v>
      </c>
      <c r="I81" s="284">
        <v>1</v>
      </c>
      <c r="J81" s="284">
        <v>1</v>
      </c>
      <c r="K81" s="284">
        <v>1</v>
      </c>
      <c r="L81" s="284">
        <v>1</v>
      </c>
      <c r="M81" s="284">
        <v>1</v>
      </c>
      <c r="N81" s="284"/>
    </row>
    <row r="82" spans="1:15" x14ac:dyDescent="0.2">
      <c r="A82" s="282"/>
      <c r="B82" s="144"/>
      <c r="C82" s="303"/>
      <c r="D82" s="286"/>
      <c r="E82" s="286"/>
      <c r="F82" s="286"/>
      <c r="G82" s="286"/>
      <c r="H82" s="286"/>
      <c r="I82" s="286"/>
      <c r="J82" s="286"/>
      <c r="K82" s="286"/>
      <c r="L82" s="286"/>
      <c r="M82" s="286"/>
      <c r="N82" s="286"/>
    </row>
    <row r="83" spans="1:15" x14ac:dyDescent="0.2">
      <c r="A83" s="304" t="s">
        <v>125</v>
      </c>
      <c r="B83" s="144"/>
      <c r="C83" s="303"/>
      <c r="D83" s="286"/>
      <c r="E83" s="286"/>
      <c r="F83" s="286"/>
      <c r="G83" s="286"/>
      <c r="H83" s="286"/>
      <c r="I83" s="286"/>
      <c r="J83" s="286"/>
      <c r="K83" s="286"/>
      <c r="L83" s="286"/>
      <c r="M83" s="286"/>
      <c r="N83" s="286"/>
    </row>
    <row r="84" spans="1:15" x14ac:dyDescent="0.2">
      <c r="A84" s="281" t="s">
        <v>128</v>
      </c>
      <c r="B84" s="144"/>
      <c r="C84" s="303"/>
      <c r="D84" s="284">
        <v>4475401.3080000002</v>
      </c>
      <c r="E84" s="284">
        <v>4830575.8319999995</v>
      </c>
      <c r="F84" s="284">
        <v>4446652.6829999993</v>
      </c>
      <c r="G84" s="284">
        <v>4336774.25</v>
      </c>
      <c r="H84" s="284">
        <v>3697574.9299999997</v>
      </c>
      <c r="I84" s="284">
        <v>2159285.8400000003</v>
      </c>
      <c r="J84" s="284">
        <v>1392668.2526115859</v>
      </c>
      <c r="K84" s="284">
        <v>1390046.9705603039</v>
      </c>
      <c r="L84" s="284">
        <v>1401777.7587844254</v>
      </c>
      <c r="M84" s="284">
        <v>1425844.3209876544</v>
      </c>
      <c r="N84" s="284"/>
    </row>
    <row r="85" spans="1:15" x14ac:dyDescent="0.2">
      <c r="A85" s="281" t="s">
        <v>130</v>
      </c>
      <c r="B85" s="144"/>
      <c r="C85" s="303"/>
      <c r="D85" s="284">
        <v>11787.854000000001</v>
      </c>
      <c r="E85" s="284">
        <v>12882.322</v>
      </c>
      <c r="F85" s="284">
        <v>13844.464000000002</v>
      </c>
      <c r="G85" s="284">
        <v>13285.41</v>
      </c>
      <c r="H85" s="284">
        <v>11208.64</v>
      </c>
      <c r="I85" s="284">
        <v>6413.35</v>
      </c>
      <c r="J85" s="284">
        <v>4209.0200000000004</v>
      </c>
      <c r="K85" s="284">
        <v>4251.8</v>
      </c>
      <c r="L85" s="284">
        <v>4285.630000000001</v>
      </c>
      <c r="M85" s="284">
        <v>4348.49</v>
      </c>
      <c r="N85" s="284"/>
    </row>
    <row r="86" spans="1:15" x14ac:dyDescent="0.2">
      <c r="A86" s="281" t="s">
        <v>190</v>
      </c>
      <c r="B86" s="144"/>
      <c r="C86" s="303"/>
      <c r="D86" s="284">
        <v>5706.333333333333</v>
      </c>
      <c r="E86" s="284">
        <v>5711</v>
      </c>
      <c r="F86" s="284">
        <v>5699.25</v>
      </c>
      <c r="G86" s="284">
        <v>5708.333333333333</v>
      </c>
      <c r="H86" s="284">
        <v>5699.583333333333</v>
      </c>
      <c r="I86" s="284">
        <v>5735.75</v>
      </c>
      <c r="J86" s="284">
        <v>5742.916666666667</v>
      </c>
      <c r="K86" s="284">
        <v>5774.416666666667</v>
      </c>
      <c r="L86" s="284">
        <v>5878.666666666667</v>
      </c>
      <c r="M86" s="284">
        <v>5997.166666666667</v>
      </c>
      <c r="N86" s="284"/>
    </row>
    <row r="87" spans="1:15" x14ac:dyDescent="0.2">
      <c r="A87" s="282"/>
      <c r="B87" s="144"/>
      <c r="C87" s="303"/>
      <c r="D87" s="286"/>
      <c r="E87" s="286"/>
      <c r="F87" s="286"/>
      <c r="G87" s="286"/>
      <c r="H87" s="286"/>
      <c r="I87" s="286"/>
      <c r="J87" s="286"/>
      <c r="K87" s="286"/>
      <c r="L87" s="286"/>
      <c r="M87" s="286"/>
      <c r="N87" s="286"/>
    </row>
    <row r="88" spans="1:15" x14ac:dyDescent="0.2">
      <c r="A88" s="306" t="s">
        <v>132</v>
      </c>
      <c r="B88" s="144"/>
      <c r="C88" s="303"/>
      <c r="D88" s="286"/>
      <c r="E88" s="286"/>
      <c r="F88" s="286"/>
      <c r="G88" s="286"/>
      <c r="H88" s="286"/>
      <c r="I88" s="286"/>
      <c r="J88" s="286"/>
      <c r="K88" s="286"/>
      <c r="L88" s="286"/>
      <c r="M88" s="286"/>
      <c r="N88" s="286"/>
    </row>
    <row r="89" spans="1:15" x14ac:dyDescent="0.2">
      <c r="A89" s="281" t="s">
        <v>128</v>
      </c>
      <c r="B89" s="144"/>
      <c r="C89" s="303"/>
      <c r="D89" s="284">
        <v>761036.95</v>
      </c>
      <c r="E89" s="284">
        <v>713312.87300000002</v>
      </c>
      <c r="F89" s="284">
        <v>636304.67499999993</v>
      </c>
      <c r="G89" s="284">
        <v>697285.83000000007</v>
      </c>
      <c r="H89" s="284">
        <v>690656.66999999993</v>
      </c>
      <c r="I89" s="284">
        <v>667141.85</v>
      </c>
      <c r="J89" s="284">
        <v>631149.96201329515</v>
      </c>
      <c r="K89" s="284">
        <v>606042.11775878421</v>
      </c>
      <c r="L89" s="284">
        <v>565913.01442882093</v>
      </c>
      <c r="M89" s="284">
        <v>525914.78338748356</v>
      </c>
      <c r="N89" s="284"/>
      <c r="O89" s="295"/>
    </row>
    <row r="90" spans="1:15" x14ac:dyDescent="0.2">
      <c r="A90" s="281" t="s">
        <v>130</v>
      </c>
      <c r="B90" s="144"/>
      <c r="C90" s="303"/>
      <c r="D90" s="284">
        <v>2333.1769999999997</v>
      </c>
      <c r="E90" s="284">
        <v>2174.4479999999999</v>
      </c>
      <c r="F90" s="284">
        <v>2091</v>
      </c>
      <c r="G90" s="284">
        <v>2125.66</v>
      </c>
      <c r="H90" s="284">
        <v>2268.02</v>
      </c>
      <c r="I90" s="284">
        <v>2173.14</v>
      </c>
      <c r="J90" s="284">
        <v>2037.9700000000007</v>
      </c>
      <c r="K90" s="284">
        <v>1951.2900000000013</v>
      </c>
      <c r="L90" s="284">
        <v>1856.1200000000003</v>
      </c>
      <c r="M90" s="284">
        <v>1722.9099999999978</v>
      </c>
      <c r="N90" s="284"/>
      <c r="O90" s="295"/>
    </row>
    <row r="91" spans="1:15" x14ac:dyDescent="0.2">
      <c r="A91" s="281" t="s">
        <v>190</v>
      </c>
      <c r="B91" s="144"/>
      <c r="C91" s="303"/>
      <c r="D91" s="284">
        <v>828.25</v>
      </c>
      <c r="E91" s="284">
        <v>781.91666666666663</v>
      </c>
      <c r="F91" s="284">
        <v>772.91666666666663</v>
      </c>
      <c r="G91" s="284">
        <v>773.33333333333337</v>
      </c>
      <c r="H91" s="284">
        <v>760.75</v>
      </c>
      <c r="I91" s="284">
        <v>732.5</v>
      </c>
      <c r="J91" s="284">
        <v>705.66666666666663</v>
      </c>
      <c r="K91" s="284">
        <v>698.25</v>
      </c>
      <c r="L91" s="284">
        <v>669.41666666666663</v>
      </c>
      <c r="M91" s="284">
        <v>644.66666666666663</v>
      </c>
      <c r="N91" s="284"/>
    </row>
    <row r="92" spans="1:15" x14ac:dyDescent="0.2">
      <c r="A92" s="281"/>
      <c r="B92" s="144"/>
      <c r="C92" s="303"/>
      <c r="D92" s="286"/>
      <c r="E92" s="286"/>
      <c r="F92" s="286"/>
      <c r="G92" s="286"/>
      <c r="H92" s="286"/>
      <c r="I92" s="286"/>
      <c r="J92" s="286"/>
      <c r="K92" s="286"/>
      <c r="L92" s="286"/>
      <c r="M92" s="286"/>
      <c r="N92" s="286"/>
    </row>
    <row r="93" spans="1:15" x14ac:dyDescent="0.2">
      <c r="A93" s="306" t="s">
        <v>121</v>
      </c>
      <c r="B93" s="144"/>
      <c r="C93" s="303"/>
      <c r="D93" s="286"/>
      <c r="E93" s="286"/>
      <c r="F93" s="286"/>
      <c r="G93" s="286"/>
      <c r="H93" s="286"/>
      <c r="I93" s="286"/>
      <c r="J93" s="286"/>
      <c r="K93" s="286"/>
      <c r="L93" s="286"/>
      <c r="M93" s="286"/>
      <c r="N93" s="286"/>
    </row>
    <row r="94" spans="1:15" x14ac:dyDescent="0.2">
      <c r="A94" s="281" t="s">
        <v>128</v>
      </c>
      <c r="B94" s="144"/>
      <c r="C94" s="303"/>
      <c r="D94" s="284">
        <v>1527928.1810000001</v>
      </c>
      <c r="E94" s="284">
        <v>1530261.9540000001</v>
      </c>
      <c r="F94" s="284">
        <v>1532801.659</v>
      </c>
      <c r="G94" s="284">
        <v>1503002.9500000002</v>
      </c>
      <c r="H94" s="284">
        <v>1500542.3199999998</v>
      </c>
      <c r="I94" s="284">
        <v>1416419.3800000001</v>
      </c>
      <c r="J94" s="284">
        <v>1308270.2299999995</v>
      </c>
      <c r="K94" s="284">
        <v>1307305.7299999995</v>
      </c>
      <c r="L94" s="284">
        <v>1299487.2900000005</v>
      </c>
      <c r="M94" s="284">
        <v>1307649.58</v>
      </c>
      <c r="N94" s="284"/>
    </row>
    <row r="95" spans="1:15" x14ac:dyDescent="0.2">
      <c r="A95" s="281" t="s">
        <v>130</v>
      </c>
      <c r="B95" s="144"/>
      <c r="C95" s="303"/>
      <c r="D95" s="284"/>
      <c r="E95" s="284"/>
      <c r="F95" s="284"/>
      <c r="G95" s="284"/>
      <c r="H95" s="284"/>
      <c r="I95" s="284"/>
      <c r="J95" s="284"/>
      <c r="K95" s="284"/>
      <c r="L95" s="284"/>
      <c r="M95" s="284"/>
      <c r="N95" s="284"/>
    </row>
    <row r="96" spans="1:15" x14ac:dyDescent="0.2">
      <c r="A96" s="281" t="s">
        <v>129</v>
      </c>
      <c r="B96" s="144"/>
      <c r="C96" s="303"/>
      <c r="D96" s="284">
        <v>38.666666666666664</v>
      </c>
      <c r="E96" s="284">
        <v>38.083333333333336</v>
      </c>
      <c r="F96" s="284">
        <v>40.083333333333336</v>
      </c>
      <c r="G96" s="284">
        <v>39.75</v>
      </c>
      <c r="H96" s="284">
        <v>36.25</v>
      </c>
      <c r="I96" s="284">
        <v>35.916666666666664</v>
      </c>
      <c r="J96" s="284">
        <v>49.25</v>
      </c>
      <c r="K96" s="284">
        <v>48.083333333333336</v>
      </c>
      <c r="L96" s="284">
        <v>47.166666666666664</v>
      </c>
      <c r="M96" s="284">
        <v>46</v>
      </c>
      <c r="N96" s="284"/>
    </row>
    <row r="97" spans="1:15" x14ac:dyDescent="0.2">
      <c r="A97" s="307"/>
      <c r="B97" s="144"/>
      <c r="C97" s="303"/>
      <c r="D97" s="287"/>
      <c r="E97" s="287"/>
      <c r="F97" s="287"/>
      <c r="G97" s="287"/>
      <c r="H97" s="287"/>
      <c r="I97" s="287"/>
      <c r="J97" s="287"/>
      <c r="K97" s="287"/>
      <c r="L97" s="287"/>
      <c r="M97" s="287"/>
      <c r="N97" s="287"/>
    </row>
    <row r="98" spans="1:15" x14ac:dyDescent="0.2">
      <c r="A98" s="307"/>
      <c r="B98" s="144"/>
      <c r="C98" s="303"/>
      <c r="D98" s="287"/>
      <c r="E98" s="287"/>
      <c r="F98" s="287"/>
      <c r="G98" s="287"/>
      <c r="H98" s="287"/>
      <c r="I98" s="287"/>
      <c r="J98" s="287"/>
      <c r="K98" s="287"/>
      <c r="L98" s="287"/>
      <c r="M98" s="287"/>
      <c r="N98" s="287"/>
    </row>
    <row r="99" spans="1:15" x14ac:dyDescent="0.2">
      <c r="A99" s="307"/>
      <c r="B99" s="144"/>
      <c r="C99" s="303"/>
      <c r="D99" s="287"/>
      <c r="E99" s="287"/>
      <c r="F99" s="287"/>
      <c r="G99" s="287"/>
      <c r="H99" s="287"/>
      <c r="I99" s="287"/>
      <c r="J99" s="287"/>
      <c r="K99" s="287"/>
      <c r="L99" s="287"/>
      <c r="M99" s="287"/>
      <c r="N99" s="287"/>
    </row>
    <row r="100" spans="1:15" x14ac:dyDescent="0.2">
      <c r="A100" s="306" t="s">
        <v>77</v>
      </c>
      <c r="B100" s="144"/>
      <c r="C100" s="303"/>
      <c r="D100" s="376">
        <f>D32</f>
        <v>2011</v>
      </c>
      <c r="E100" s="376">
        <f t="shared" ref="E100:M100" si="13">E32</f>
        <v>2012</v>
      </c>
      <c r="F100" s="376">
        <f t="shared" si="13"/>
        <v>2013</v>
      </c>
      <c r="G100" s="376">
        <f t="shared" si="13"/>
        <v>2014</v>
      </c>
      <c r="H100" s="376">
        <f t="shared" si="13"/>
        <v>2015</v>
      </c>
      <c r="I100" s="376">
        <f t="shared" si="13"/>
        <v>2016</v>
      </c>
      <c r="J100" s="376">
        <f t="shared" si="13"/>
        <v>2017</v>
      </c>
      <c r="K100" s="376">
        <f t="shared" si="13"/>
        <v>2018</v>
      </c>
      <c r="L100" s="376">
        <f t="shared" si="13"/>
        <v>2019</v>
      </c>
      <c r="M100" s="376">
        <f t="shared" si="13"/>
        <v>2020</v>
      </c>
      <c r="N100" s="376"/>
    </row>
    <row r="101" spans="1:15" x14ac:dyDescent="0.2">
      <c r="A101" s="281" t="s">
        <v>128</v>
      </c>
      <c r="B101" s="144"/>
      <c r="C101" s="303"/>
      <c r="D101" s="284">
        <f>D66+D70+D74+D79+D84+D89+D94</f>
        <v>540401755.88500011</v>
      </c>
      <c r="E101" s="284">
        <f t="shared" ref="E101:M101" si="14">E66+E70+E74+E79+E84+E89+E94</f>
        <v>538207566.01900005</v>
      </c>
      <c r="F101" s="284">
        <f t="shared" si="14"/>
        <v>505167326.16600007</v>
      </c>
      <c r="G101" s="284">
        <f t="shared" si="14"/>
        <v>510691252.28000003</v>
      </c>
      <c r="H101" s="284">
        <f t="shared" si="14"/>
        <v>473962855.18000001</v>
      </c>
      <c r="I101" s="284">
        <f t="shared" si="14"/>
        <v>466965821.50999999</v>
      </c>
      <c r="J101" s="284">
        <f t="shared" si="14"/>
        <v>452799209.12997222</v>
      </c>
      <c r="K101" s="284">
        <f t="shared" si="14"/>
        <v>476777176.6093052</v>
      </c>
      <c r="L101" s="284">
        <f t="shared" si="14"/>
        <v>468336925.27052456</v>
      </c>
      <c r="M101" s="284">
        <f t="shared" si="14"/>
        <v>461631476.97391683</v>
      </c>
      <c r="N101" s="284">
        <f>N66+N70+N74+N79+N84+N89</f>
        <v>0</v>
      </c>
      <c r="O101" s="295"/>
    </row>
    <row r="102" spans="1:15" x14ac:dyDescent="0.2">
      <c r="A102" s="281" t="s">
        <v>130</v>
      </c>
      <c r="B102" s="144"/>
      <c r="C102" s="303"/>
      <c r="D102" s="284">
        <f>D75+D80+D85+D90</f>
        <v>779367.4310000001</v>
      </c>
      <c r="E102" s="284">
        <f t="shared" ref="E102:M102" si="15">E75+E80+E85+E90</f>
        <v>788210.09200000006</v>
      </c>
      <c r="F102" s="284">
        <f t="shared" si="15"/>
        <v>717913.58400000003</v>
      </c>
      <c r="G102" s="284">
        <f t="shared" si="15"/>
        <v>692730.9800000001</v>
      </c>
      <c r="H102" s="284">
        <f t="shared" si="15"/>
        <v>642364.42000000004</v>
      </c>
      <c r="I102" s="284">
        <f t="shared" si="15"/>
        <v>604998.42999999993</v>
      </c>
      <c r="J102" s="284">
        <f t="shared" si="15"/>
        <v>607120.19999999995</v>
      </c>
      <c r="K102" s="284">
        <f t="shared" si="15"/>
        <v>599986.39000000013</v>
      </c>
      <c r="L102" s="284">
        <f t="shared" si="15"/>
        <v>573383.39999999967</v>
      </c>
      <c r="M102" s="284">
        <f t="shared" si="15"/>
        <v>547894.79000000015</v>
      </c>
      <c r="N102" s="284">
        <f>N75+N85+N90</f>
        <v>0</v>
      </c>
      <c r="O102" s="295"/>
    </row>
    <row r="103" spans="1:15" x14ac:dyDescent="0.2">
      <c r="A103" s="281" t="s">
        <v>192</v>
      </c>
      <c r="B103" s="144"/>
      <c r="C103" s="303"/>
      <c r="D103" s="284">
        <f>D67+D71+D76+D81</f>
        <v>28291.916666666668</v>
      </c>
      <c r="E103" s="284">
        <f t="shared" ref="E103:M103" si="16">E67+E71+E76+E81</f>
        <v>28467.416666666668</v>
      </c>
      <c r="F103" s="284">
        <f t="shared" si="16"/>
        <v>28548.499999999996</v>
      </c>
      <c r="G103" s="284">
        <f t="shared" si="16"/>
        <v>28601.666666666668</v>
      </c>
      <c r="H103" s="284">
        <f t="shared" si="16"/>
        <v>28633.083333333336</v>
      </c>
      <c r="I103" s="284">
        <f t="shared" si="16"/>
        <v>28738.666666666668</v>
      </c>
      <c r="J103" s="284">
        <f t="shared" si="16"/>
        <v>28934.083333333336</v>
      </c>
      <c r="K103" s="284">
        <f t="shared" si="16"/>
        <v>29154.25</v>
      </c>
      <c r="L103" s="284">
        <f t="shared" si="16"/>
        <v>29334</v>
      </c>
      <c r="M103" s="284">
        <f t="shared" si="16"/>
        <v>29623.416666666668</v>
      </c>
      <c r="N103" s="284">
        <f>N67+N71+N76</f>
        <v>0</v>
      </c>
    </row>
    <row r="104" spans="1:15" x14ac:dyDescent="0.2">
      <c r="A104" s="281" t="s">
        <v>191</v>
      </c>
      <c r="B104" s="144"/>
      <c r="C104" s="303"/>
      <c r="D104" s="284">
        <f>D86+D91+D96</f>
        <v>6573.25</v>
      </c>
      <c r="E104" s="284">
        <f t="shared" ref="E104:M104" si="17">E86+E91+E96</f>
        <v>6531</v>
      </c>
      <c r="F104" s="284">
        <f t="shared" si="17"/>
        <v>6512.25</v>
      </c>
      <c r="G104" s="284">
        <f t="shared" si="17"/>
        <v>6521.4166666666661</v>
      </c>
      <c r="H104" s="284">
        <f t="shared" si="17"/>
        <v>6496.583333333333</v>
      </c>
      <c r="I104" s="284">
        <f t="shared" si="17"/>
        <v>6504.166666666667</v>
      </c>
      <c r="J104" s="284">
        <f t="shared" si="17"/>
        <v>6497.8333333333339</v>
      </c>
      <c r="K104" s="284">
        <f t="shared" si="17"/>
        <v>6520.75</v>
      </c>
      <c r="L104" s="284">
        <f t="shared" si="17"/>
        <v>6595.2500000000009</v>
      </c>
      <c r="M104" s="284">
        <f t="shared" si="17"/>
        <v>6687.8333333333339</v>
      </c>
      <c r="N104" s="284">
        <f>N80+N86+N91</f>
        <v>0</v>
      </c>
    </row>
    <row r="105" spans="1:15" ht="15" x14ac:dyDescent="0.2">
      <c r="A105" s="308" t="s">
        <v>81</v>
      </c>
      <c r="B105" s="308"/>
      <c r="C105" s="309"/>
      <c r="D105" s="310"/>
      <c r="E105" s="310"/>
      <c r="F105" s="309"/>
      <c r="G105" s="309"/>
      <c r="H105" s="309"/>
      <c r="I105" s="309"/>
      <c r="J105" s="309"/>
      <c r="K105" s="309"/>
      <c r="L105" s="309"/>
      <c r="M105" s="309"/>
      <c r="N105" s="311"/>
      <c r="O105" s="311"/>
    </row>
    <row r="106" spans="1:15" ht="14.25" x14ac:dyDescent="0.2">
      <c r="A106" s="310" t="s">
        <v>80</v>
      </c>
      <c r="B106" s="310"/>
      <c r="C106" s="310"/>
      <c r="D106" s="310"/>
      <c r="E106" s="310"/>
      <c r="F106" s="309"/>
      <c r="G106" s="309"/>
      <c r="H106" s="309"/>
      <c r="I106" s="309"/>
      <c r="J106" s="309"/>
      <c r="K106" s="309"/>
      <c r="L106" s="309"/>
      <c r="M106" s="309"/>
      <c r="N106" s="311"/>
      <c r="O106" s="311"/>
    </row>
    <row r="107" spans="1:15" ht="14.25" x14ac:dyDescent="0.2">
      <c r="A107" s="310" t="s">
        <v>79</v>
      </c>
      <c r="B107" s="310"/>
      <c r="C107" s="310"/>
      <c r="D107" s="310"/>
      <c r="E107" s="310"/>
      <c r="F107" s="309"/>
      <c r="G107" s="309"/>
      <c r="H107" s="309"/>
      <c r="I107" s="309"/>
      <c r="J107" s="309"/>
      <c r="K107" s="309"/>
      <c r="L107" s="309"/>
      <c r="M107" s="309"/>
      <c r="N107" s="311"/>
      <c r="O107" s="311"/>
    </row>
    <row r="108" spans="1:15" ht="14.25" x14ac:dyDescent="0.2">
      <c r="A108" s="310"/>
      <c r="B108" s="310"/>
      <c r="C108" s="310"/>
      <c r="D108" s="310"/>
      <c r="E108" s="310"/>
      <c r="F108" s="309"/>
      <c r="G108" s="309"/>
      <c r="H108" s="309"/>
      <c r="I108" s="309"/>
      <c r="J108" s="309"/>
      <c r="K108" s="309"/>
      <c r="L108" s="309"/>
      <c r="M108" s="309"/>
      <c r="N108" s="311"/>
      <c r="O108" s="311"/>
    </row>
    <row r="109" spans="1:15" ht="15" x14ac:dyDescent="0.25">
      <c r="A109" s="312" t="s">
        <v>78</v>
      </c>
      <c r="B109" s="312"/>
      <c r="C109" s="312"/>
      <c r="D109" s="313"/>
      <c r="E109" s="142"/>
      <c r="F109" s="313"/>
      <c r="G109" s="142"/>
      <c r="H109" s="142"/>
      <c r="I109" s="313"/>
      <c r="J109" s="142"/>
      <c r="K109" s="142"/>
      <c r="L109" s="313"/>
      <c r="M109" s="142"/>
      <c r="N109" s="210"/>
      <c r="O109" s="210"/>
    </row>
  </sheetData>
  <sheetProtection selectLockedCells="1" selectUnlockedCells="1"/>
  <mergeCells count="3">
    <mergeCell ref="D23:V23"/>
    <mergeCell ref="D3:V3"/>
    <mergeCell ref="A3:B3"/>
  </mergeCells>
  <phoneticPr fontId="26" type="noConversion"/>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A9E8-DCEF-4B96-B16E-7FD1DB1FFF39}">
  <sheetPr>
    <tabColor theme="4" tint="0.59999389629810485"/>
  </sheetPr>
  <dimension ref="A1:V248"/>
  <sheetViews>
    <sheetView workbookViewId="0">
      <selection activeCell="F25" sqref="F25"/>
    </sheetView>
  </sheetViews>
  <sheetFormatPr defaultColWidth="9.33203125" defaultRowHeight="12.75" x14ac:dyDescent="0.2"/>
  <cols>
    <col min="1" max="2" width="9.33203125" style="141"/>
    <col min="3" max="19" width="12.83203125" style="141" customWidth="1"/>
    <col min="20" max="21" width="12" style="141" bestFit="1" customWidth="1"/>
    <col min="22" max="22" width="15.33203125" style="141" bestFit="1" customWidth="1"/>
    <col min="23" max="23" width="12" style="141" bestFit="1" customWidth="1"/>
    <col min="24" max="16384" width="9.33203125" style="141"/>
  </cols>
  <sheetData>
    <row r="1" spans="1:22" x14ac:dyDescent="0.2">
      <c r="B1" s="410"/>
      <c r="C1" s="411" t="s">
        <v>175</v>
      </c>
      <c r="D1" s="411"/>
      <c r="E1" s="411"/>
      <c r="F1" s="411"/>
      <c r="G1" s="411"/>
      <c r="H1" s="411"/>
      <c r="I1" s="411"/>
      <c r="J1" s="411"/>
      <c r="K1" s="411"/>
      <c r="L1" s="411"/>
      <c r="M1" s="411"/>
      <c r="N1" s="411"/>
      <c r="O1" s="411"/>
      <c r="P1" s="411"/>
      <c r="Q1" s="411"/>
      <c r="R1" s="411"/>
      <c r="S1" s="411"/>
    </row>
    <row r="2" spans="1:22" x14ac:dyDescent="0.2">
      <c r="B2" s="410"/>
      <c r="C2" s="141">
        <v>2006</v>
      </c>
      <c r="D2" s="141">
        <v>2007</v>
      </c>
      <c r="E2" s="141">
        <v>2008</v>
      </c>
      <c r="F2" s="141">
        <v>2009</v>
      </c>
      <c r="G2" s="141">
        <v>2010</v>
      </c>
      <c r="H2" s="141">
        <v>2011</v>
      </c>
      <c r="I2" s="141">
        <v>2012</v>
      </c>
      <c r="J2" s="141">
        <v>2013</v>
      </c>
      <c r="K2" s="141">
        <v>2014</v>
      </c>
      <c r="L2" s="141">
        <v>2015</v>
      </c>
      <c r="M2" s="141">
        <v>2016</v>
      </c>
      <c r="N2" s="141">
        <v>2017</v>
      </c>
      <c r="O2" s="141">
        <v>2018</v>
      </c>
      <c r="P2" s="141">
        <v>2019</v>
      </c>
      <c r="Q2" s="141">
        <v>2020</v>
      </c>
      <c r="R2" s="141">
        <v>2021</v>
      </c>
      <c r="S2" s="141">
        <v>2022</v>
      </c>
    </row>
    <row r="3" spans="1:22" x14ac:dyDescent="0.2">
      <c r="A3" s="412" t="s">
        <v>176</v>
      </c>
      <c r="B3" s="141">
        <v>2006</v>
      </c>
      <c r="C3" s="370">
        <v>1346575.759190094</v>
      </c>
      <c r="D3" s="370">
        <v>1346575.759190094</v>
      </c>
      <c r="E3" s="370">
        <v>1346575.759190094</v>
      </c>
      <c r="F3" s="370">
        <v>1346575.759190094</v>
      </c>
      <c r="G3" s="370">
        <v>233870.39274956362</v>
      </c>
      <c r="H3" s="370">
        <v>233870.39274956362</v>
      </c>
      <c r="I3" s="370">
        <v>213927.73678348644</v>
      </c>
      <c r="J3" s="370">
        <v>213927.73678348644</v>
      </c>
      <c r="K3" s="370">
        <v>201018.06942352472</v>
      </c>
      <c r="L3" s="370">
        <v>201018.06942352472</v>
      </c>
      <c r="M3" s="370">
        <v>189917.73542775618</v>
      </c>
      <c r="N3" s="370">
        <v>189917.73542775618</v>
      </c>
      <c r="O3" s="370">
        <v>189917.73542775618</v>
      </c>
      <c r="P3" s="370">
        <v>189917.73542775618</v>
      </c>
      <c r="Q3" s="370">
        <v>171911.20878431978</v>
      </c>
      <c r="R3" s="370">
        <v>149427.84378962513</v>
      </c>
      <c r="S3" s="370">
        <v>149427.84378962513</v>
      </c>
      <c r="U3" s="141" t="s">
        <v>133</v>
      </c>
      <c r="V3" s="141">
        <v>1</v>
      </c>
    </row>
    <row r="4" spans="1:22" x14ac:dyDescent="0.2">
      <c r="A4" s="412"/>
      <c r="B4" s="141">
        <v>2007</v>
      </c>
      <c r="D4" s="370">
        <v>2774355.8738935241</v>
      </c>
      <c r="E4" s="370">
        <v>2204491.7339191372</v>
      </c>
      <c r="F4" s="370">
        <v>2133401.2120559206</v>
      </c>
      <c r="G4" s="370">
        <v>2133401.2120559206</v>
      </c>
      <c r="H4" s="370">
        <v>762545.940748233</v>
      </c>
      <c r="I4" s="370">
        <v>700823.08772981528</v>
      </c>
      <c r="J4" s="370">
        <v>700823.08772981528</v>
      </c>
      <c r="K4" s="370">
        <v>700823.08772981528</v>
      </c>
      <c r="L4" s="370">
        <v>279181.01480831468</v>
      </c>
      <c r="M4" s="370">
        <v>246139.80096464042</v>
      </c>
      <c r="N4" s="370">
        <v>175716.6588577331</v>
      </c>
      <c r="O4" s="370">
        <v>175716.6588577331</v>
      </c>
      <c r="P4" s="370">
        <v>175716.6588577331</v>
      </c>
      <c r="Q4" s="370">
        <v>175716.6588577331</v>
      </c>
      <c r="R4" s="370">
        <v>80440.524231915915</v>
      </c>
      <c r="S4" s="370">
        <v>12951.075417703969</v>
      </c>
      <c r="U4" s="141" t="s">
        <v>134</v>
      </c>
      <c r="V4" s="141">
        <v>2</v>
      </c>
    </row>
    <row r="5" spans="1:22" x14ac:dyDescent="0.2">
      <c r="A5" s="412"/>
      <c r="B5" s="141">
        <v>2008</v>
      </c>
      <c r="C5" s="370"/>
      <c r="D5" s="370"/>
      <c r="E5" s="370">
        <v>1073898.0549253344</v>
      </c>
      <c r="F5" s="370">
        <v>783731.95939004805</v>
      </c>
      <c r="G5" s="370">
        <v>783731.95939004805</v>
      </c>
      <c r="H5" s="370">
        <v>783731.95939004805</v>
      </c>
      <c r="I5" s="370">
        <v>721537.8979334709</v>
      </c>
      <c r="J5" s="370">
        <v>721431.5179334709</v>
      </c>
      <c r="K5" s="370">
        <v>656778.00533310068</v>
      </c>
      <c r="L5" s="370">
        <v>608476.35656577221</v>
      </c>
      <c r="M5" s="370">
        <v>423418.85433244373</v>
      </c>
      <c r="N5" s="370">
        <v>317944.9175091589</v>
      </c>
      <c r="O5" s="370">
        <v>269912.28357925301</v>
      </c>
      <c r="P5" s="370">
        <v>269912.28357925301</v>
      </c>
      <c r="Q5" s="370">
        <v>263722.56290655449</v>
      </c>
      <c r="R5" s="370">
        <v>255932.22529575517</v>
      </c>
      <c r="S5" s="370">
        <v>252425.64153032494</v>
      </c>
      <c r="U5" s="141" t="s">
        <v>135</v>
      </c>
      <c r="V5" s="141">
        <v>3</v>
      </c>
    </row>
    <row r="6" spans="1:22" x14ac:dyDescent="0.2">
      <c r="A6" s="412"/>
      <c r="B6" s="141">
        <v>2009</v>
      </c>
      <c r="C6" s="370"/>
      <c r="D6" s="370"/>
      <c r="E6" s="370"/>
      <c r="F6" s="370">
        <v>1901148.810360821</v>
      </c>
      <c r="G6" s="370">
        <v>1689114.5663239053</v>
      </c>
      <c r="H6" s="370">
        <v>1689114.5663239053</v>
      </c>
      <c r="I6" s="370">
        <v>1688434.1620206591</v>
      </c>
      <c r="J6" s="370">
        <v>1663488.0954432415</v>
      </c>
      <c r="K6" s="370">
        <v>1583044.5620843829</v>
      </c>
      <c r="L6" s="370">
        <v>1549709.6844928213</v>
      </c>
      <c r="M6" s="370">
        <v>1548982.3413866393</v>
      </c>
      <c r="N6" s="370">
        <v>995372.7465778623</v>
      </c>
      <c r="O6" s="370">
        <v>341678.75449021306</v>
      </c>
      <c r="P6" s="370">
        <v>290833.24714300863</v>
      </c>
      <c r="Q6" s="370">
        <v>180978.17974463443</v>
      </c>
      <c r="R6" s="370">
        <v>163046.69865044559</v>
      </c>
      <c r="S6" s="370">
        <v>163046.69865044559</v>
      </c>
      <c r="U6" s="141" t="s">
        <v>136</v>
      </c>
      <c r="V6" s="141">
        <v>4</v>
      </c>
    </row>
    <row r="7" spans="1:22" x14ac:dyDescent="0.2">
      <c r="A7" s="412"/>
      <c r="B7" s="141">
        <v>2010</v>
      </c>
      <c r="C7" s="370"/>
      <c r="D7" s="370"/>
      <c r="E7" s="370"/>
      <c r="F7" s="370"/>
      <c r="G7" s="370">
        <v>2267594.7925424725</v>
      </c>
      <c r="H7" s="370">
        <v>1896725.5184710093</v>
      </c>
      <c r="I7" s="370">
        <v>1894850.5754228963</v>
      </c>
      <c r="J7" s="370">
        <v>1894177.5197159457</v>
      </c>
      <c r="K7" s="370">
        <v>1844846.1752305815</v>
      </c>
      <c r="L7" s="370">
        <v>1668736.1577916197</v>
      </c>
      <c r="M7" s="370">
        <v>1661793.9237223372</v>
      </c>
      <c r="N7" s="370">
        <v>1517223.3344295414</v>
      </c>
      <c r="O7" s="370">
        <v>1207990.4088999855</v>
      </c>
      <c r="P7" s="370">
        <v>375649.02894375508</v>
      </c>
      <c r="Q7" s="370">
        <v>171259.01188228891</v>
      </c>
      <c r="R7" s="370">
        <v>171259.01188228891</v>
      </c>
      <c r="S7" s="370">
        <v>169414.84136054732</v>
      </c>
      <c r="U7" s="141" t="s">
        <v>69</v>
      </c>
      <c r="V7" s="141">
        <v>5</v>
      </c>
    </row>
    <row r="8" spans="1:22" x14ac:dyDescent="0.2">
      <c r="A8" s="412"/>
      <c r="B8" s="141">
        <v>2011</v>
      </c>
      <c r="C8" s="370"/>
      <c r="D8" s="370"/>
      <c r="E8" s="370"/>
      <c r="F8" s="370"/>
      <c r="G8" s="370"/>
      <c r="H8" s="370">
        <v>1915653.5210567387</v>
      </c>
      <c r="I8" s="370">
        <v>1908233.1560567389</v>
      </c>
      <c r="J8" s="370">
        <v>1908233.1560567389</v>
      </c>
      <c r="K8" s="370">
        <v>1895689.3046039932</v>
      </c>
      <c r="L8" s="370">
        <v>1851185.7073686048</v>
      </c>
      <c r="M8" s="370">
        <v>1756127.0038918422</v>
      </c>
      <c r="N8" s="370">
        <v>1682459.5377406878</v>
      </c>
      <c r="O8" s="370">
        <v>1681719.9209841068</v>
      </c>
      <c r="P8" s="370">
        <v>1678668.5457810522</v>
      </c>
      <c r="Q8" s="370">
        <v>1549281.3874139036</v>
      </c>
      <c r="R8" s="370">
        <v>1463212.6230128207</v>
      </c>
      <c r="S8" s="370">
        <v>1431014.8654721188</v>
      </c>
      <c r="U8" s="141" t="s">
        <v>137</v>
      </c>
      <c r="V8" s="141">
        <v>6</v>
      </c>
    </row>
    <row r="9" spans="1:22" x14ac:dyDescent="0.2">
      <c r="A9" s="412"/>
      <c r="B9" s="141">
        <v>2012</v>
      </c>
      <c r="C9" s="370"/>
      <c r="D9" s="370"/>
      <c r="E9" s="370"/>
      <c r="F9" s="370"/>
      <c r="G9" s="370"/>
      <c r="H9" s="370"/>
      <c r="I9" s="370">
        <v>1274120.0925229061</v>
      </c>
      <c r="J9" s="370">
        <v>1268860.2975076472</v>
      </c>
      <c r="K9" s="370">
        <v>1263462.9171727672</v>
      </c>
      <c r="L9" s="370">
        <v>1198982.5810037379</v>
      </c>
      <c r="M9" s="370">
        <v>983180.31979202293</v>
      </c>
      <c r="N9" s="370">
        <v>557555.23580948391</v>
      </c>
      <c r="O9" s="370">
        <v>511706.18671281292</v>
      </c>
      <c r="P9" s="370">
        <v>511212.5762178505</v>
      </c>
      <c r="Q9" s="370">
        <v>497143.18488350348</v>
      </c>
      <c r="R9" s="370">
        <v>393746.85142963851</v>
      </c>
      <c r="S9" s="370">
        <v>344922.817271112</v>
      </c>
      <c r="U9" s="141" t="s">
        <v>138</v>
      </c>
      <c r="V9" s="141">
        <v>7</v>
      </c>
    </row>
    <row r="10" spans="1:22" x14ac:dyDescent="0.2">
      <c r="A10" s="412"/>
      <c r="B10" s="141">
        <v>2013</v>
      </c>
      <c r="C10" s="370"/>
      <c r="D10" s="370"/>
      <c r="E10" s="370"/>
      <c r="F10" s="370"/>
      <c r="G10" s="370"/>
      <c r="H10" s="370"/>
      <c r="I10" s="370"/>
      <c r="J10" s="370">
        <v>2274204.0744519136</v>
      </c>
      <c r="K10" s="370">
        <v>2245076.8604897987</v>
      </c>
      <c r="L10" s="370">
        <v>2203795.4087574901</v>
      </c>
      <c r="M10" s="370">
        <v>2026706.7460537371</v>
      </c>
      <c r="N10" s="370">
        <v>1711796.7295298434</v>
      </c>
      <c r="O10" s="370">
        <v>1665946.3873186097</v>
      </c>
      <c r="P10" s="370">
        <v>1653519.2713060358</v>
      </c>
      <c r="Q10" s="370">
        <v>1628813.1187469831</v>
      </c>
      <c r="R10" s="370">
        <v>1525650.5223745122</v>
      </c>
      <c r="S10" s="370">
        <v>1331954.2872700831</v>
      </c>
      <c r="U10" s="141" t="s">
        <v>139</v>
      </c>
      <c r="V10" s="141">
        <v>8</v>
      </c>
    </row>
    <row r="11" spans="1:22" x14ac:dyDescent="0.2">
      <c r="A11" s="412"/>
      <c r="B11" s="141">
        <v>2014</v>
      </c>
      <c r="C11" s="370"/>
      <c r="D11" s="370"/>
      <c r="E11" s="370"/>
      <c r="F11" s="370"/>
      <c r="G11" s="370"/>
      <c r="H11" s="370"/>
      <c r="I11" s="370"/>
      <c r="J11" s="370"/>
      <c r="K11" s="370">
        <v>2958530.5549300467</v>
      </c>
      <c r="L11" s="370">
        <v>2840561.0612170468</v>
      </c>
      <c r="M11" s="370">
        <v>2741372.8774043466</v>
      </c>
      <c r="N11" s="370">
        <v>2601648.2885443466</v>
      </c>
      <c r="O11" s="370">
        <v>2493459.3441734877</v>
      </c>
      <c r="P11" s="370">
        <v>2479008.4248086</v>
      </c>
      <c r="Q11" s="370">
        <v>2472686.4245686</v>
      </c>
      <c r="R11" s="370">
        <v>2468285.4449185999</v>
      </c>
      <c r="S11" s="370">
        <v>2416045.8869586</v>
      </c>
      <c r="U11" s="141" t="s">
        <v>140</v>
      </c>
      <c r="V11" s="141">
        <v>9</v>
      </c>
    </row>
    <row r="12" spans="1:22" x14ac:dyDescent="0.2">
      <c r="A12" s="412"/>
      <c r="B12" s="141">
        <v>2015</v>
      </c>
      <c r="C12" s="370"/>
      <c r="D12" s="370"/>
      <c r="E12" s="370"/>
      <c r="F12" s="370"/>
      <c r="G12" s="370"/>
      <c r="H12" s="370"/>
      <c r="I12" s="370"/>
      <c r="J12" s="370"/>
      <c r="K12" s="370"/>
      <c r="L12" s="370">
        <v>9094492</v>
      </c>
      <c r="M12" s="370">
        <v>9073874</v>
      </c>
      <c r="N12" s="370">
        <v>9072100</v>
      </c>
      <c r="O12" s="370">
        <v>9103303</v>
      </c>
      <c r="P12" s="370">
        <v>9094791</v>
      </c>
      <c r="Q12" s="370">
        <v>9089500</v>
      </c>
      <c r="R12" s="370">
        <v>9087014</v>
      </c>
      <c r="S12" s="370">
        <v>9086682</v>
      </c>
      <c r="U12" s="141" t="s">
        <v>141</v>
      </c>
      <c r="V12" s="141">
        <v>10</v>
      </c>
    </row>
    <row r="13" spans="1:22" x14ac:dyDescent="0.2">
      <c r="A13" s="412"/>
      <c r="B13" s="141">
        <v>2016</v>
      </c>
      <c r="C13" s="370"/>
      <c r="D13" s="370"/>
      <c r="E13" s="370"/>
      <c r="F13" s="370"/>
      <c r="G13" s="370"/>
      <c r="H13" s="370"/>
      <c r="I13" s="370"/>
      <c r="J13" s="370"/>
      <c r="K13" s="370"/>
      <c r="L13" s="370"/>
      <c r="M13" s="370">
        <v>8147801</v>
      </c>
      <c r="N13" s="370">
        <v>8147800</v>
      </c>
      <c r="O13" s="370">
        <v>8151083</v>
      </c>
      <c r="P13" s="370">
        <v>8054813</v>
      </c>
      <c r="Q13" s="370">
        <v>7921426</v>
      </c>
      <c r="R13" s="370">
        <v>7657163</v>
      </c>
      <c r="S13" s="370">
        <v>7301456</v>
      </c>
      <c r="U13" s="141" t="s">
        <v>142</v>
      </c>
      <c r="V13" s="141">
        <v>11</v>
      </c>
    </row>
    <row r="14" spans="1:22" x14ac:dyDescent="0.2">
      <c r="A14" s="412"/>
      <c r="B14" s="141">
        <v>2017</v>
      </c>
      <c r="C14" s="370"/>
      <c r="D14" s="370"/>
      <c r="E14" s="370"/>
      <c r="F14" s="370"/>
      <c r="G14" s="370"/>
      <c r="H14" s="370"/>
      <c r="I14" s="370"/>
      <c r="J14" s="370"/>
      <c r="K14" s="370"/>
      <c r="L14" s="370"/>
      <c r="M14" s="370"/>
      <c r="N14" s="370">
        <v>7868109.1206502272</v>
      </c>
      <c r="O14" s="370">
        <v>7149392.5027437462</v>
      </c>
      <c r="P14" s="370">
        <v>7145507.5027437462</v>
      </c>
      <c r="Q14" s="370">
        <v>7119848.5027437462</v>
      </c>
      <c r="R14" s="370">
        <v>7072986.5027437462</v>
      </c>
      <c r="S14" s="370">
        <v>6601113.5027437462</v>
      </c>
      <c r="U14" s="141" t="s">
        <v>143</v>
      </c>
      <c r="V14" s="141">
        <v>12</v>
      </c>
    </row>
    <row r="15" spans="1:22" x14ac:dyDescent="0.2">
      <c r="A15" s="412"/>
      <c r="B15" s="141">
        <v>2018</v>
      </c>
      <c r="C15" s="370"/>
      <c r="D15" s="370"/>
      <c r="E15" s="370"/>
      <c r="F15" s="370"/>
      <c r="G15" s="370"/>
      <c r="H15" s="370"/>
      <c r="I15" s="370"/>
      <c r="J15" s="370"/>
      <c r="K15" s="370"/>
      <c r="L15" s="370"/>
      <c r="M15" s="370"/>
      <c r="N15" s="370"/>
      <c r="O15" s="370">
        <v>4108439.093633391</v>
      </c>
      <c r="P15" s="370">
        <v>4082069.7280041878</v>
      </c>
      <c r="Q15" s="370">
        <v>4082069.7280041878</v>
      </c>
      <c r="R15" s="370">
        <v>4082069.7280041878</v>
      </c>
      <c r="S15" s="370">
        <v>4082069.7280041878</v>
      </c>
      <c r="U15" s="141" t="s">
        <v>77</v>
      </c>
      <c r="V15" s="141">
        <f>SUM(V3:V14)</f>
        <v>78</v>
      </c>
    </row>
    <row r="16" spans="1:22" x14ac:dyDescent="0.2">
      <c r="A16" s="412"/>
      <c r="B16" s="141">
        <v>2019</v>
      </c>
      <c r="C16" s="370"/>
      <c r="D16" s="370"/>
      <c r="E16" s="370"/>
      <c r="F16" s="370"/>
      <c r="G16" s="370"/>
      <c r="H16" s="370"/>
      <c r="I16" s="370"/>
      <c r="J16" s="370"/>
      <c r="K16" s="370"/>
      <c r="L16" s="370"/>
      <c r="M16" s="370"/>
      <c r="N16" s="370"/>
      <c r="O16" s="370"/>
      <c r="P16" s="370">
        <v>1750962.8558282065</v>
      </c>
      <c r="Q16" s="370">
        <v>1750962.8558282065</v>
      </c>
      <c r="R16" s="370">
        <v>1750962.8558282065</v>
      </c>
      <c r="S16" s="370">
        <v>1750962.8558282065</v>
      </c>
    </row>
    <row r="17" spans="1:22" x14ac:dyDescent="0.2">
      <c r="A17" s="412"/>
      <c r="B17" s="141">
        <v>2020</v>
      </c>
      <c r="C17" s="370"/>
      <c r="D17" s="370"/>
      <c r="E17" s="370"/>
      <c r="F17" s="370"/>
      <c r="G17" s="370"/>
      <c r="H17" s="370"/>
      <c r="I17" s="370"/>
      <c r="J17" s="370"/>
      <c r="K17" s="370"/>
      <c r="L17" s="370"/>
      <c r="M17" s="370"/>
      <c r="N17" s="370"/>
      <c r="O17" s="370"/>
      <c r="P17" s="370"/>
      <c r="Q17" s="370"/>
      <c r="R17" s="370"/>
      <c r="S17" s="370"/>
    </row>
    <row r="18" spans="1:22" x14ac:dyDescent="0.2">
      <c r="A18" s="412"/>
      <c r="B18" s="141">
        <v>2021</v>
      </c>
      <c r="C18" s="370"/>
      <c r="D18" s="370"/>
      <c r="E18" s="370"/>
      <c r="F18" s="370"/>
      <c r="G18" s="370"/>
      <c r="H18" s="370"/>
      <c r="I18" s="370"/>
      <c r="J18" s="370"/>
      <c r="K18" s="370"/>
      <c r="L18" s="370"/>
      <c r="M18" s="370"/>
      <c r="N18" s="370"/>
      <c r="O18" s="370"/>
      <c r="P18" s="370"/>
      <c r="Q18" s="370"/>
      <c r="R18" s="370"/>
      <c r="S18" s="370"/>
    </row>
    <row r="19" spans="1:22" x14ac:dyDescent="0.2">
      <c r="B19" s="150" t="s">
        <v>77</v>
      </c>
      <c r="C19" s="371">
        <f>SUM(C3:C18)</f>
        <v>1346575.759190094</v>
      </c>
      <c r="D19" s="371">
        <f t="shared" ref="D19:S19" si="0">SUM(D3:D18)</f>
        <v>4120931.6330836182</v>
      </c>
      <c r="E19" s="371">
        <f t="shared" si="0"/>
        <v>4624965.5480345655</v>
      </c>
      <c r="F19" s="371">
        <f t="shared" si="0"/>
        <v>6164857.7409968833</v>
      </c>
      <c r="G19" s="371">
        <f t="shared" si="0"/>
        <v>7107712.9230619101</v>
      </c>
      <c r="H19" s="371">
        <f t="shared" si="0"/>
        <v>7281641.8987394981</v>
      </c>
      <c r="I19" s="371">
        <f t="shared" si="0"/>
        <v>8401926.7084699739</v>
      </c>
      <c r="J19" s="371">
        <f t="shared" si="0"/>
        <v>10645145.485622261</v>
      </c>
      <c r="K19" s="371">
        <f t="shared" si="0"/>
        <v>13349269.536998011</v>
      </c>
      <c r="L19" s="371">
        <f t="shared" si="0"/>
        <v>21496138.041428931</v>
      </c>
      <c r="M19" s="371">
        <f t="shared" si="0"/>
        <v>28799314.602975767</v>
      </c>
      <c r="N19" s="371">
        <f t="shared" si="0"/>
        <v>34837644.305076636</v>
      </c>
      <c r="O19" s="371">
        <f t="shared" si="0"/>
        <v>37050265.276821092</v>
      </c>
      <c r="P19" s="371">
        <f t="shared" si="0"/>
        <v>37752581.858641185</v>
      </c>
      <c r="Q19" s="371">
        <f t="shared" si="0"/>
        <v>37075318.824364662</v>
      </c>
      <c r="R19" s="371">
        <f t="shared" si="0"/>
        <v>36321197.832161739</v>
      </c>
      <c r="S19" s="371">
        <f t="shared" si="0"/>
        <v>35093488.044296704</v>
      </c>
    </row>
    <row r="23" spans="1:22" ht="38.25" x14ac:dyDescent="0.2">
      <c r="B23" s="142" t="s">
        <v>74</v>
      </c>
      <c r="C23" s="372" t="s">
        <v>177</v>
      </c>
      <c r="D23" s="372" t="s">
        <v>178</v>
      </c>
      <c r="E23" s="372" t="s">
        <v>179</v>
      </c>
      <c r="F23" s="372" t="s">
        <v>180</v>
      </c>
      <c r="G23" s="372" t="s">
        <v>181</v>
      </c>
      <c r="H23" s="372" t="s">
        <v>182</v>
      </c>
      <c r="K23" s="372" t="s">
        <v>180</v>
      </c>
      <c r="L23" s="372" t="s">
        <v>183</v>
      </c>
    </row>
    <row r="24" spans="1:22" x14ac:dyDescent="0.2">
      <c r="B24" s="142">
        <v>2006</v>
      </c>
      <c r="C24" s="373">
        <f>C19</f>
        <v>1346575.759190094</v>
      </c>
      <c r="D24" s="373">
        <f>C24</f>
        <v>1346575.759190094</v>
      </c>
      <c r="E24" s="373">
        <f>D24/2</f>
        <v>673287.87959504698</v>
      </c>
      <c r="F24" s="373">
        <f>C24-E24</f>
        <v>673287.87959504698</v>
      </c>
      <c r="G24" s="373">
        <f>F24</f>
        <v>673287.87959504698</v>
      </c>
      <c r="H24" s="373">
        <f>G24/$V$15</f>
        <v>8631.8958922441925</v>
      </c>
      <c r="I24" s="374"/>
      <c r="K24" s="374">
        <f>F24</f>
        <v>673287.87959504698</v>
      </c>
      <c r="L24" s="374">
        <f>D56</f>
        <v>673287.8795950471</v>
      </c>
      <c r="M24" s="374">
        <f>K24-L24</f>
        <v>0</v>
      </c>
      <c r="V24" s="372"/>
    </row>
    <row r="25" spans="1:22" x14ac:dyDescent="0.2">
      <c r="B25" s="142">
        <v>2007</v>
      </c>
      <c r="C25" s="373">
        <f>D19</f>
        <v>4120931.6330836182</v>
      </c>
      <c r="D25" s="373">
        <f>C25-C24</f>
        <v>2774355.8738935245</v>
      </c>
      <c r="E25" s="373">
        <f t="shared" ref="E25:E40" si="1">D25/2</f>
        <v>1387177.9369467623</v>
      </c>
      <c r="F25" s="373">
        <f t="shared" ref="F25:F40" si="2">C25-E25</f>
        <v>2733753.696136856</v>
      </c>
      <c r="G25" s="382">
        <f>F25-E56</f>
        <v>1490760.687653692</v>
      </c>
      <c r="H25" s="373">
        <f>G25/$V$15</f>
        <v>19112.316508380667</v>
      </c>
      <c r="I25" s="374"/>
      <c r="K25" s="374">
        <f t="shared" ref="K25:K40" si="3">F25</f>
        <v>2733753.696136856</v>
      </c>
      <c r="L25" s="374">
        <f>D68</f>
        <v>2733753.6961368569</v>
      </c>
      <c r="M25" s="374">
        <f t="shared" ref="M25:M40" si="4">K25-L25</f>
        <v>0</v>
      </c>
      <c r="V25" s="372"/>
    </row>
    <row r="26" spans="1:22" x14ac:dyDescent="0.2">
      <c r="B26" s="142">
        <v>2008</v>
      </c>
      <c r="C26" s="373">
        <f>E19</f>
        <v>4624965.5480345655</v>
      </c>
      <c r="D26" s="373">
        <f t="shared" ref="D26:D40" si="5">C26-C25</f>
        <v>504033.91495094728</v>
      </c>
      <c r="E26" s="373">
        <f t="shared" si="1"/>
        <v>252016.95747547364</v>
      </c>
      <c r="F26" s="373">
        <f t="shared" si="2"/>
        <v>4372948.5905590914</v>
      </c>
      <c r="G26" s="373">
        <f>F26-E68</f>
        <v>377782.00486911042</v>
      </c>
      <c r="H26" s="373">
        <f>G26/$V$15</f>
        <v>4843.3590367834668</v>
      </c>
      <c r="I26" s="374"/>
      <c r="K26" s="374">
        <f t="shared" si="3"/>
        <v>4372948.5905590914</v>
      </c>
      <c r="L26" s="374">
        <f>D80</f>
        <v>4372948.5905590905</v>
      </c>
      <c r="M26" s="374">
        <f t="shared" si="4"/>
        <v>0</v>
      </c>
      <c r="V26" s="372"/>
    </row>
    <row r="27" spans="1:22" x14ac:dyDescent="0.2">
      <c r="B27" s="142">
        <v>2009</v>
      </c>
      <c r="C27" s="373">
        <f>F19</f>
        <v>6164857.7409968833</v>
      </c>
      <c r="D27" s="373">
        <f t="shared" si="5"/>
        <v>1539892.1929623177</v>
      </c>
      <c r="E27" s="373">
        <f t="shared" si="1"/>
        <v>769946.09648115886</v>
      </c>
      <c r="F27" s="373">
        <f t="shared" si="2"/>
        <v>5394911.6445157249</v>
      </c>
      <c r="G27" s="373">
        <f>F27-E80</f>
        <v>702301.3575289268</v>
      </c>
      <c r="H27" s="373">
        <f t="shared" ref="H27:H40" si="6">G27/$V$15</f>
        <v>9003.8635580631635</v>
      </c>
      <c r="I27" s="374"/>
      <c r="K27" s="374">
        <f t="shared" si="3"/>
        <v>5394911.6445157249</v>
      </c>
      <c r="L27" s="374">
        <f>D92</f>
        <v>5394911.6445157258</v>
      </c>
      <c r="M27" s="374">
        <f t="shared" si="4"/>
        <v>0</v>
      </c>
      <c r="V27" s="372"/>
    </row>
    <row r="28" spans="1:22" x14ac:dyDescent="0.2">
      <c r="B28" s="142">
        <v>2010</v>
      </c>
      <c r="C28" s="373">
        <f>G19</f>
        <v>7107712.9230619101</v>
      </c>
      <c r="D28" s="373">
        <f t="shared" si="5"/>
        <v>942855.18206502683</v>
      </c>
      <c r="E28" s="373">
        <f t="shared" si="1"/>
        <v>471427.59103251342</v>
      </c>
      <c r="F28" s="373">
        <f t="shared" si="2"/>
        <v>6636285.3320293967</v>
      </c>
      <c r="G28" s="373">
        <f>F28-E92</f>
        <v>647118.69268150255</v>
      </c>
      <c r="H28" s="373">
        <f t="shared" si="6"/>
        <v>8296.3934959167</v>
      </c>
      <c r="I28" s="374"/>
      <c r="K28" s="374">
        <f t="shared" si="3"/>
        <v>6636285.3320293967</v>
      </c>
      <c r="L28" s="374">
        <f>D104</f>
        <v>6636285.3320293976</v>
      </c>
      <c r="M28" s="374">
        <f t="shared" si="4"/>
        <v>0</v>
      </c>
    </row>
    <row r="29" spans="1:22" x14ac:dyDescent="0.2">
      <c r="B29" s="142">
        <v>2011</v>
      </c>
      <c r="C29" s="373">
        <f>H19</f>
        <v>7281641.8987394981</v>
      </c>
      <c r="D29" s="373">
        <f t="shared" si="5"/>
        <v>173928.97567758802</v>
      </c>
      <c r="E29" s="373">
        <f t="shared" si="1"/>
        <v>86964.487838794012</v>
      </c>
      <c r="F29" s="373">
        <f t="shared" si="2"/>
        <v>7194677.4109007046</v>
      </c>
      <c r="G29" s="373">
        <f>F29-E104</f>
        <v>10830.108140802011</v>
      </c>
      <c r="H29" s="373">
        <f t="shared" si="6"/>
        <v>138.84754026669245</v>
      </c>
      <c r="I29" s="374"/>
      <c r="K29" s="374">
        <f t="shared" si="3"/>
        <v>7194677.4109007046</v>
      </c>
      <c r="L29" s="374">
        <f>D116</f>
        <v>7194677.4109007055</v>
      </c>
      <c r="M29" s="374">
        <f t="shared" si="4"/>
        <v>0</v>
      </c>
    </row>
    <row r="30" spans="1:22" x14ac:dyDescent="0.2">
      <c r="B30" s="142">
        <v>2012</v>
      </c>
      <c r="C30" s="373">
        <f>I19</f>
        <v>8401926.7084699739</v>
      </c>
      <c r="D30" s="373">
        <f t="shared" si="5"/>
        <v>1120284.8097304758</v>
      </c>
      <c r="E30" s="373">
        <f t="shared" si="1"/>
        <v>560142.40486523788</v>
      </c>
      <c r="F30" s="373">
        <f t="shared" si="2"/>
        <v>7841784.303604736</v>
      </c>
      <c r="G30" s="373">
        <f>F30-E116</f>
        <v>637942.9550464293</v>
      </c>
      <c r="H30" s="373">
        <f t="shared" si="6"/>
        <v>8178.7558339285806</v>
      </c>
      <c r="I30" s="374"/>
      <c r="K30" s="374">
        <f t="shared" si="3"/>
        <v>7841784.303604736</v>
      </c>
      <c r="L30" s="374">
        <f>D128</f>
        <v>7841784.3036047369</v>
      </c>
      <c r="M30" s="374">
        <f t="shared" si="4"/>
        <v>0</v>
      </c>
    </row>
    <row r="31" spans="1:22" x14ac:dyDescent="0.2">
      <c r="B31" s="142">
        <v>2013</v>
      </c>
      <c r="C31" s="373">
        <f>J19</f>
        <v>10645145.485622261</v>
      </c>
      <c r="D31" s="373">
        <f t="shared" si="5"/>
        <v>2243218.7771522868</v>
      </c>
      <c r="E31" s="373">
        <f t="shared" si="1"/>
        <v>1121609.3885761434</v>
      </c>
      <c r="F31" s="373">
        <f t="shared" si="2"/>
        <v>9523536.0970461182</v>
      </c>
      <c r="G31" s="373">
        <f>F31-E128</f>
        <v>1141953.9084020946</v>
      </c>
      <c r="H31" s="373">
        <f t="shared" si="6"/>
        <v>14640.434723103777</v>
      </c>
      <c r="I31" s="374"/>
      <c r="K31" s="374">
        <f t="shared" si="3"/>
        <v>9523536.0970461182</v>
      </c>
      <c r="L31" s="374">
        <f>D140</f>
        <v>9523536.0970461164</v>
      </c>
      <c r="M31" s="374">
        <f t="shared" si="4"/>
        <v>0</v>
      </c>
    </row>
    <row r="32" spans="1:22" x14ac:dyDescent="0.2">
      <c r="B32" s="142">
        <v>2014</v>
      </c>
      <c r="C32" s="373">
        <f>K19</f>
        <v>13349269.536998011</v>
      </c>
      <c r="D32" s="373">
        <f t="shared" si="5"/>
        <v>2704124.0513757505</v>
      </c>
      <c r="E32" s="373">
        <f t="shared" si="1"/>
        <v>1352062.0256878752</v>
      </c>
      <c r="F32" s="373">
        <f t="shared" si="2"/>
        <v>11997207.511310136</v>
      </c>
      <c r="G32" s="373">
        <f>F32-E140</f>
        <v>1507402.7225391697</v>
      </c>
      <c r="H32" s="373">
        <f t="shared" si="6"/>
        <v>19325.675929989357</v>
      </c>
      <c r="I32" s="374"/>
      <c r="K32" s="374">
        <f t="shared" si="3"/>
        <v>11997207.511310136</v>
      </c>
      <c r="L32" s="374">
        <f>D152</f>
        <v>11997207.51131013</v>
      </c>
      <c r="M32" s="374">
        <f t="shared" si="4"/>
        <v>0</v>
      </c>
    </row>
    <row r="33" spans="2:14" x14ac:dyDescent="0.2">
      <c r="B33" s="142">
        <v>2015</v>
      </c>
      <c r="C33" s="373">
        <f>L19</f>
        <v>21496138.041428931</v>
      </c>
      <c r="D33" s="373">
        <f t="shared" si="5"/>
        <v>8146868.5044309199</v>
      </c>
      <c r="E33" s="373">
        <f t="shared" si="1"/>
        <v>4073434.2522154599</v>
      </c>
      <c r="F33" s="373">
        <f t="shared" si="2"/>
        <v>17422703.789213471</v>
      </c>
      <c r="G33" s="373">
        <f>F33-E152</f>
        <v>4150001.6665240396</v>
      </c>
      <c r="H33" s="373">
        <f t="shared" si="6"/>
        <v>53205.14957082102</v>
      </c>
      <c r="I33" s="374"/>
      <c r="K33" s="374">
        <f t="shared" si="3"/>
        <v>17422703.789213471</v>
      </c>
      <c r="L33" s="374">
        <f>D164</f>
        <v>17422703.789213475</v>
      </c>
      <c r="M33" s="374">
        <f t="shared" si="4"/>
        <v>0</v>
      </c>
    </row>
    <row r="34" spans="2:14" x14ac:dyDescent="0.2">
      <c r="B34" s="142">
        <v>2016</v>
      </c>
      <c r="C34" s="373">
        <f>M19</f>
        <v>28799314.602975767</v>
      </c>
      <c r="D34" s="373">
        <f t="shared" si="5"/>
        <v>7303176.561546836</v>
      </c>
      <c r="E34" s="373">
        <f t="shared" si="1"/>
        <v>3651588.280773418</v>
      </c>
      <c r="F34" s="373">
        <f t="shared" si="2"/>
        <v>25147726.322202347</v>
      </c>
      <c r="G34" s="373">
        <f>F34-E164</f>
        <v>4213482.6613146812</v>
      </c>
      <c r="H34" s="373">
        <f t="shared" si="6"/>
        <v>54019.008478393349</v>
      </c>
      <c r="I34" s="374"/>
      <c r="K34" s="374">
        <f t="shared" si="3"/>
        <v>25147726.322202347</v>
      </c>
      <c r="L34" s="374">
        <f>D176</f>
        <v>25147726.322202347</v>
      </c>
      <c r="M34" s="374">
        <f t="shared" si="4"/>
        <v>0</v>
      </c>
    </row>
    <row r="35" spans="2:14" x14ac:dyDescent="0.2">
      <c r="B35" s="142">
        <v>2017</v>
      </c>
      <c r="C35" s="373">
        <f>N19</f>
        <v>34837644.305076636</v>
      </c>
      <c r="D35" s="373">
        <f t="shared" si="5"/>
        <v>6038329.7021008693</v>
      </c>
      <c r="E35" s="373">
        <f t="shared" si="1"/>
        <v>3019164.8510504346</v>
      </c>
      <c r="F35" s="373">
        <f t="shared" si="2"/>
        <v>31818479.4540262</v>
      </c>
      <c r="G35" s="373">
        <f>F35-E176</f>
        <v>3105498.5722498968</v>
      </c>
      <c r="H35" s="373">
        <f t="shared" si="6"/>
        <v>39814.084259614065</v>
      </c>
      <c r="I35" s="374"/>
      <c r="K35" s="374">
        <f t="shared" si="3"/>
        <v>31818479.4540262</v>
      </c>
      <c r="L35" s="374">
        <f>D188</f>
        <v>31818479.454026185</v>
      </c>
      <c r="M35" s="374">
        <f t="shared" si="4"/>
        <v>0</v>
      </c>
    </row>
    <row r="36" spans="2:14" x14ac:dyDescent="0.2">
      <c r="B36" s="142">
        <v>2018</v>
      </c>
      <c r="C36" s="373">
        <f>O19</f>
        <v>37050265.276821092</v>
      </c>
      <c r="D36" s="373">
        <f t="shared" si="5"/>
        <v>2212620.9717444554</v>
      </c>
      <c r="E36" s="373">
        <f t="shared" si="1"/>
        <v>1106310.4858722277</v>
      </c>
      <c r="F36" s="373">
        <f t="shared" si="2"/>
        <v>35943954.790948868</v>
      </c>
      <c r="G36" s="373">
        <f>F36-E188</f>
        <v>1497745.7757881656</v>
      </c>
      <c r="H36" s="373">
        <f t="shared" si="6"/>
        <v>19201.868920361099</v>
      </c>
      <c r="I36" s="374"/>
      <c r="K36" s="374">
        <f t="shared" si="3"/>
        <v>35943954.790948868</v>
      </c>
      <c r="L36" s="374">
        <f>D200</f>
        <v>35943954.790948875</v>
      </c>
      <c r="M36" s="374">
        <f t="shared" si="4"/>
        <v>0</v>
      </c>
    </row>
    <row r="37" spans="2:14" x14ac:dyDescent="0.2">
      <c r="B37" s="142">
        <v>2019</v>
      </c>
      <c r="C37" s="373">
        <f>P19</f>
        <v>37752581.858641185</v>
      </c>
      <c r="D37" s="373">
        <f t="shared" si="5"/>
        <v>702316.5818200931</v>
      </c>
      <c r="E37" s="373">
        <f t="shared" si="1"/>
        <v>351158.29091004655</v>
      </c>
      <c r="F37" s="373">
        <f t="shared" si="2"/>
        <v>37401423.567731142</v>
      </c>
      <c r="G37" s="373">
        <f>F37-E200</f>
        <v>190145.42803843319</v>
      </c>
      <c r="H37" s="373">
        <f t="shared" si="6"/>
        <v>2437.7618979286308</v>
      </c>
      <c r="I37" s="374"/>
      <c r="K37" s="374">
        <f t="shared" si="3"/>
        <v>37401423.567731142</v>
      </c>
      <c r="L37" s="374">
        <f>D212</f>
        <v>37401423.567731135</v>
      </c>
      <c r="M37" s="374">
        <f t="shared" si="4"/>
        <v>0</v>
      </c>
    </row>
    <row r="38" spans="2:14" x14ac:dyDescent="0.2">
      <c r="B38" s="142">
        <v>2020</v>
      </c>
      <c r="C38" s="373">
        <f>Q19</f>
        <v>37075318.824364662</v>
      </c>
      <c r="D38" s="373">
        <f t="shared" si="5"/>
        <v>-677263.0342765227</v>
      </c>
      <c r="E38" s="373">
        <f t="shared" si="1"/>
        <v>-338631.51713826135</v>
      </c>
      <c r="F38" s="373">
        <f t="shared" si="2"/>
        <v>37413950.34150292</v>
      </c>
      <c r="G38" s="373">
        <f>F38-E212</f>
        <v>-148365.51149149984</v>
      </c>
      <c r="H38" s="373">
        <f t="shared" si="6"/>
        <v>-1902.1219421987159</v>
      </c>
      <c r="I38" s="374"/>
      <c r="K38" s="374">
        <f t="shared" si="3"/>
        <v>37413950.34150292</v>
      </c>
      <c r="L38" s="374">
        <f>D224</f>
        <v>37413950.341502912</v>
      </c>
      <c r="M38" s="374">
        <f t="shared" si="4"/>
        <v>0</v>
      </c>
    </row>
    <row r="39" spans="2:14" x14ac:dyDescent="0.2">
      <c r="B39" s="142">
        <v>2021</v>
      </c>
      <c r="C39" s="373">
        <f>R19</f>
        <v>36321197.832161739</v>
      </c>
      <c r="D39" s="373">
        <f t="shared" si="5"/>
        <v>-754120.9922029227</v>
      </c>
      <c r="E39" s="373">
        <f t="shared" si="1"/>
        <v>-377060.49610146135</v>
      </c>
      <c r="F39" s="373">
        <f t="shared" si="2"/>
        <v>36698258.328263201</v>
      </c>
      <c r="G39" s="373">
        <f>F39-E224</f>
        <v>-590151.96505458653</v>
      </c>
      <c r="H39" s="373">
        <f t="shared" si="6"/>
        <v>-7566.0508340331608</v>
      </c>
      <c r="I39" s="374"/>
      <c r="K39" s="374">
        <f t="shared" si="3"/>
        <v>36698258.328263201</v>
      </c>
      <c r="L39" s="374">
        <f>D236</f>
        <v>36698258.328263208</v>
      </c>
      <c r="M39" s="374">
        <f t="shared" si="4"/>
        <v>0</v>
      </c>
    </row>
    <row r="40" spans="2:14" x14ac:dyDescent="0.2">
      <c r="B40" s="142">
        <v>2022</v>
      </c>
      <c r="C40" s="373">
        <f>S19</f>
        <v>35093488.044296704</v>
      </c>
      <c r="D40" s="373">
        <f t="shared" si="5"/>
        <v>-1227709.7878650352</v>
      </c>
      <c r="E40" s="373">
        <f t="shared" si="1"/>
        <v>-613854.89393251762</v>
      </c>
      <c r="F40" s="373">
        <f t="shared" si="2"/>
        <v>35707342.938229218</v>
      </c>
      <c r="G40" s="373">
        <f>F40-E236</f>
        <v>-491556.03498779237</v>
      </c>
      <c r="H40" s="373">
        <f t="shared" si="6"/>
        <v>-6302.0004485614409</v>
      </c>
      <c r="I40" s="374"/>
      <c r="K40" s="374">
        <f t="shared" si="3"/>
        <v>35707342.938229218</v>
      </c>
      <c r="L40" s="374">
        <f>D248</f>
        <v>35707342.938229233</v>
      </c>
      <c r="M40" s="374">
        <f t="shared" si="4"/>
        <v>0</v>
      </c>
    </row>
    <row r="44" spans="2:14" ht="38.25" x14ac:dyDescent="0.2">
      <c r="C44" s="372" t="s">
        <v>184</v>
      </c>
      <c r="G44" s="142">
        <v>2006</v>
      </c>
      <c r="H44" s="142">
        <v>2007</v>
      </c>
      <c r="I44" s="142">
        <v>2008</v>
      </c>
      <c r="J44" s="142">
        <v>2009</v>
      </c>
      <c r="K44" s="142">
        <v>2010</v>
      </c>
      <c r="L44" s="142">
        <v>2011</v>
      </c>
      <c r="M44" s="142">
        <v>2012</v>
      </c>
      <c r="N44" s="142">
        <v>2013</v>
      </c>
    </row>
    <row r="45" spans="2:14" x14ac:dyDescent="0.2">
      <c r="B45" s="375">
        <v>38718</v>
      </c>
      <c r="C45" s="374">
        <f>H24</f>
        <v>8631.8958922441925</v>
      </c>
      <c r="F45" s="141" t="s">
        <v>133</v>
      </c>
      <c r="G45" s="373">
        <f>C45</f>
        <v>8631.8958922441925</v>
      </c>
      <c r="H45" s="373">
        <f>C57</f>
        <v>122695.06721531101</v>
      </c>
      <c r="I45" s="373">
        <f>C69</f>
        <v>337773.90784428187</v>
      </c>
      <c r="J45" s="373">
        <f>C81</f>
        <v>400054.72080696304</v>
      </c>
      <c r="K45" s="373">
        <f>C93</f>
        <v>507393.61344157456</v>
      </c>
      <c r="L45" s="373">
        <f>C105</f>
        <v>598792.7894369252</v>
      </c>
      <c r="M45" s="373">
        <f>C117</f>
        <v>608498.86821378744</v>
      </c>
      <c r="N45" s="373">
        <f>C129</f>
        <v>713105.6171101057</v>
      </c>
    </row>
    <row r="46" spans="2:14" x14ac:dyDescent="0.2">
      <c r="B46" s="375">
        <v>38749</v>
      </c>
      <c r="C46" s="374">
        <f>C45+$H$24</f>
        <v>17263.791784488385</v>
      </c>
      <c r="F46" s="141" t="s">
        <v>134</v>
      </c>
      <c r="G46" s="373">
        <f t="shared" ref="G46:G56" si="7">C46</f>
        <v>17263.791784488385</v>
      </c>
      <c r="H46" s="373">
        <f t="shared" ref="H46:H56" si="8">C58</f>
        <v>141807.38372369169</v>
      </c>
      <c r="I46" s="373">
        <f t="shared" ref="I46:I56" si="9">C70</f>
        <v>342617.26688106533</v>
      </c>
      <c r="J46" s="373">
        <f t="shared" ref="J46:J56" si="10">C82</f>
        <v>409058.58436502621</v>
      </c>
      <c r="K46" s="373">
        <f t="shared" ref="K46:K56" si="11">C94</f>
        <v>515690.00693749124</v>
      </c>
      <c r="L46" s="373">
        <f t="shared" ref="L46:L56" si="12">C106</f>
        <v>598931.6369771919</v>
      </c>
      <c r="M46" s="373">
        <f t="shared" ref="M46:M56" si="13">C118</f>
        <v>616677.62404771603</v>
      </c>
      <c r="N46" s="373">
        <f t="shared" ref="N46:N56" si="14">C130</f>
        <v>727746.05183320947</v>
      </c>
    </row>
    <row r="47" spans="2:14" x14ac:dyDescent="0.2">
      <c r="B47" s="375">
        <v>38777</v>
      </c>
      <c r="C47" s="374">
        <f t="shared" ref="C47:C56" si="15">C46+$H$24</f>
        <v>25895.687676732578</v>
      </c>
      <c r="F47" s="141" t="s">
        <v>135</v>
      </c>
      <c r="G47" s="373">
        <f t="shared" si="7"/>
        <v>25895.687676732578</v>
      </c>
      <c r="H47" s="373">
        <f t="shared" si="8"/>
        <v>160919.70023207235</v>
      </c>
      <c r="I47" s="373">
        <f t="shared" si="9"/>
        <v>347460.62591784878</v>
      </c>
      <c r="J47" s="373">
        <f t="shared" si="10"/>
        <v>418062.44792308938</v>
      </c>
      <c r="K47" s="373">
        <f t="shared" si="11"/>
        <v>523986.40043340792</v>
      </c>
      <c r="L47" s="373">
        <f t="shared" si="12"/>
        <v>599070.48451745859</v>
      </c>
      <c r="M47" s="373">
        <f t="shared" si="13"/>
        <v>624856.37988164462</v>
      </c>
      <c r="N47" s="373">
        <f t="shared" si="14"/>
        <v>742386.48655631323</v>
      </c>
    </row>
    <row r="48" spans="2:14" x14ac:dyDescent="0.2">
      <c r="B48" s="375">
        <v>38808</v>
      </c>
      <c r="C48" s="374">
        <f t="shared" si="15"/>
        <v>34527.58356897677</v>
      </c>
      <c r="F48" s="141" t="s">
        <v>136</v>
      </c>
      <c r="G48" s="373">
        <f t="shared" si="7"/>
        <v>34527.58356897677</v>
      </c>
      <c r="H48" s="373">
        <f t="shared" si="8"/>
        <v>180032.01674045302</v>
      </c>
      <c r="I48" s="373">
        <f t="shared" si="9"/>
        <v>352303.98495463224</v>
      </c>
      <c r="J48" s="373">
        <f t="shared" si="10"/>
        <v>427066.31148115254</v>
      </c>
      <c r="K48" s="373">
        <f t="shared" si="11"/>
        <v>532282.7939293246</v>
      </c>
      <c r="L48" s="373">
        <f t="shared" si="12"/>
        <v>599209.33205772529</v>
      </c>
      <c r="M48" s="373">
        <f t="shared" si="13"/>
        <v>633035.13571557321</v>
      </c>
      <c r="N48" s="373">
        <f t="shared" si="14"/>
        <v>757026.921279417</v>
      </c>
    </row>
    <row r="49" spans="2:15" x14ac:dyDescent="0.2">
      <c r="B49" s="375">
        <v>38838</v>
      </c>
      <c r="C49" s="374">
        <f t="shared" si="15"/>
        <v>43159.479461220966</v>
      </c>
      <c r="F49" s="141" t="s">
        <v>69</v>
      </c>
      <c r="G49" s="373">
        <f t="shared" si="7"/>
        <v>43159.479461220966</v>
      </c>
      <c r="H49" s="373">
        <f t="shared" si="8"/>
        <v>199144.33324883369</v>
      </c>
      <c r="I49" s="373">
        <f t="shared" si="9"/>
        <v>357147.34399141569</v>
      </c>
      <c r="J49" s="373">
        <f t="shared" si="10"/>
        <v>436070.17503921571</v>
      </c>
      <c r="K49" s="373">
        <f t="shared" si="11"/>
        <v>540579.18742524134</v>
      </c>
      <c r="L49" s="373">
        <f t="shared" si="12"/>
        <v>599348.17959799198</v>
      </c>
      <c r="M49" s="373">
        <f t="shared" si="13"/>
        <v>641213.8915495018</v>
      </c>
      <c r="N49" s="373">
        <f t="shared" si="14"/>
        <v>771667.35600252077</v>
      </c>
    </row>
    <row r="50" spans="2:15" x14ac:dyDescent="0.2">
      <c r="B50" s="375">
        <v>38869</v>
      </c>
      <c r="C50" s="374">
        <f t="shared" si="15"/>
        <v>51791.375353465162</v>
      </c>
      <c r="F50" s="141" t="s">
        <v>68</v>
      </c>
      <c r="G50" s="373">
        <f t="shared" si="7"/>
        <v>51791.375353465162</v>
      </c>
      <c r="H50" s="373">
        <f t="shared" si="8"/>
        <v>218256.64975721436</v>
      </c>
      <c r="I50" s="373">
        <f t="shared" si="9"/>
        <v>361990.70302819915</v>
      </c>
      <c r="J50" s="373">
        <f t="shared" si="10"/>
        <v>445074.03859727888</v>
      </c>
      <c r="K50" s="373">
        <f t="shared" si="11"/>
        <v>548875.58092115808</v>
      </c>
      <c r="L50" s="373">
        <f t="shared" si="12"/>
        <v>599487.02713825868</v>
      </c>
      <c r="M50" s="373">
        <f t="shared" si="13"/>
        <v>649392.64738343039</v>
      </c>
      <c r="N50" s="373">
        <f t="shared" si="14"/>
        <v>786307.79072562454</v>
      </c>
    </row>
    <row r="51" spans="2:15" x14ac:dyDescent="0.2">
      <c r="B51" s="375">
        <v>38899</v>
      </c>
      <c r="C51" s="374">
        <f t="shared" si="15"/>
        <v>60423.271245709358</v>
      </c>
      <c r="F51" s="141" t="s">
        <v>138</v>
      </c>
      <c r="G51" s="373">
        <f t="shared" si="7"/>
        <v>60423.271245709358</v>
      </c>
      <c r="H51" s="373">
        <f t="shared" si="8"/>
        <v>237368.96626559502</v>
      </c>
      <c r="I51" s="373">
        <f t="shared" si="9"/>
        <v>366834.0620649826</v>
      </c>
      <c r="J51" s="373">
        <f t="shared" si="10"/>
        <v>454077.90215534205</v>
      </c>
      <c r="K51" s="373">
        <f t="shared" si="11"/>
        <v>557171.97441707482</v>
      </c>
      <c r="L51" s="373">
        <f t="shared" si="12"/>
        <v>599625.87467852538</v>
      </c>
      <c r="M51" s="373">
        <f t="shared" si="13"/>
        <v>657571.40321735898</v>
      </c>
      <c r="N51" s="373">
        <f t="shared" si="14"/>
        <v>800948.22544872831</v>
      </c>
    </row>
    <row r="52" spans="2:15" x14ac:dyDescent="0.2">
      <c r="B52" s="375">
        <v>38930</v>
      </c>
      <c r="C52" s="374">
        <f t="shared" si="15"/>
        <v>69055.167137953555</v>
      </c>
      <c r="F52" s="141" t="s">
        <v>139</v>
      </c>
      <c r="G52" s="373">
        <f t="shared" si="7"/>
        <v>69055.167137953555</v>
      </c>
      <c r="H52" s="373">
        <f t="shared" si="8"/>
        <v>256481.28277397569</v>
      </c>
      <c r="I52" s="373">
        <f t="shared" si="9"/>
        <v>371677.42110176606</v>
      </c>
      <c r="J52" s="373">
        <f t="shared" si="10"/>
        <v>463081.76571340521</v>
      </c>
      <c r="K52" s="373">
        <f t="shared" si="11"/>
        <v>565468.36791299155</v>
      </c>
      <c r="L52" s="373">
        <f t="shared" si="12"/>
        <v>599764.72221879207</v>
      </c>
      <c r="M52" s="373">
        <f t="shared" si="13"/>
        <v>665750.15905128757</v>
      </c>
      <c r="N52" s="373">
        <f t="shared" si="14"/>
        <v>815588.66017183207</v>
      </c>
    </row>
    <row r="53" spans="2:15" x14ac:dyDescent="0.2">
      <c r="B53" s="375">
        <v>38961</v>
      </c>
      <c r="C53" s="374">
        <f t="shared" si="15"/>
        <v>77687.063030197751</v>
      </c>
      <c r="F53" s="141" t="s">
        <v>185</v>
      </c>
      <c r="G53" s="373">
        <f t="shared" si="7"/>
        <v>77687.063030197751</v>
      </c>
      <c r="H53" s="373">
        <f t="shared" si="8"/>
        <v>275593.59928235633</v>
      </c>
      <c r="I53" s="373">
        <f t="shared" si="9"/>
        <v>376520.78013854951</v>
      </c>
      <c r="J53" s="373">
        <f t="shared" si="10"/>
        <v>472085.62927146838</v>
      </c>
      <c r="K53" s="373">
        <f t="shared" si="11"/>
        <v>573764.76140890829</v>
      </c>
      <c r="L53" s="373">
        <f t="shared" si="12"/>
        <v>599903.56975905877</v>
      </c>
      <c r="M53" s="373">
        <f t="shared" si="13"/>
        <v>673928.91488521616</v>
      </c>
      <c r="N53" s="373">
        <f t="shared" si="14"/>
        <v>830229.09489493584</v>
      </c>
    </row>
    <row r="54" spans="2:15" x14ac:dyDescent="0.2">
      <c r="B54" s="375">
        <v>38991</v>
      </c>
      <c r="C54" s="374">
        <f t="shared" si="15"/>
        <v>86318.958922441947</v>
      </c>
      <c r="F54" s="141" t="s">
        <v>141</v>
      </c>
      <c r="G54" s="373">
        <f t="shared" si="7"/>
        <v>86318.958922441947</v>
      </c>
      <c r="H54" s="373">
        <f t="shared" si="8"/>
        <v>294705.91579073702</v>
      </c>
      <c r="I54" s="373">
        <f t="shared" si="9"/>
        <v>381364.13917533297</v>
      </c>
      <c r="J54" s="373">
        <f t="shared" si="10"/>
        <v>481089.49282953155</v>
      </c>
      <c r="K54" s="373">
        <f t="shared" si="11"/>
        <v>582061.15490482503</v>
      </c>
      <c r="L54" s="373">
        <f t="shared" si="12"/>
        <v>600042.41729932546</v>
      </c>
      <c r="M54" s="373">
        <f t="shared" si="13"/>
        <v>682107.67071914475</v>
      </c>
      <c r="N54" s="373">
        <f t="shared" si="14"/>
        <v>844869.52961803961</v>
      </c>
    </row>
    <row r="55" spans="2:15" x14ac:dyDescent="0.2">
      <c r="B55" s="375">
        <v>39022</v>
      </c>
      <c r="C55" s="374">
        <f t="shared" si="15"/>
        <v>94950.854814686143</v>
      </c>
      <c r="F55" s="141" t="s">
        <v>142</v>
      </c>
      <c r="G55" s="373">
        <f t="shared" si="7"/>
        <v>94950.854814686143</v>
      </c>
      <c r="H55" s="373">
        <f t="shared" si="8"/>
        <v>313818.23229911772</v>
      </c>
      <c r="I55" s="373">
        <f t="shared" si="9"/>
        <v>386207.49821211642</v>
      </c>
      <c r="J55" s="373">
        <f t="shared" si="10"/>
        <v>490093.35638759471</v>
      </c>
      <c r="K55" s="373">
        <f t="shared" si="11"/>
        <v>590357.54840074177</v>
      </c>
      <c r="L55" s="373">
        <f t="shared" si="12"/>
        <v>600181.26483959216</v>
      </c>
      <c r="M55" s="373">
        <f t="shared" si="13"/>
        <v>690286.42655307334</v>
      </c>
      <c r="N55" s="373">
        <f t="shared" si="14"/>
        <v>859509.96434114338</v>
      </c>
    </row>
    <row r="56" spans="2:15" x14ac:dyDescent="0.2">
      <c r="B56" s="375">
        <v>39052</v>
      </c>
      <c r="C56" s="374">
        <f t="shared" si="15"/>
        <v>103582.75070693034</v>
      </c>
      <c r="D56" s="374">
        <f>SUM(C45:C56)</f>
        <v>673287.8795950471</v>
      </c>
      <c r="E56" s="374">
        <f>C56*12</f>
        <v>1242993.008483164</v>
      </c>
      <c r="F56" s="141" t="s">
        <v>143</v>
      </c>
      <c r="G56" s="373">
        <f t="shared" si="7"/>
        <v>103582.75070693034</v>
      </c>
      <c r="H56" s="373">
        <f t="shared" si="8"/>
        <v>332930.54880749842</v>
      </c>
      <c r="I56" s="373">
        <f t="shared" si="9"/>
        <v>391050.85724889988</v>
      </c>
      <c r="J56" s="373">
        <f t="shared" si="10"/>
        <v>499097.21994565788</v>
      </c>
      <c r="K56" s="373">
        <f t="shared" si="11"/>
        <v>598653.94189665851</v>
      </c>
      <c r="L56" s="373">
        <f t="shared" si="12"/>
        <v>600320.11237985885</v>
      </c>
      <c r="M56" s="373">
        <f t="shared" si="13"/>
        <v>698465.18238700193</v>
      </c>
      <c r="N56" s="373">
        <f t="shared" si="14"/>
        <v>874150.39906424715</v>
      </c>
    </row>
    <row r="57" spans="2:15" x14ac:dyDescent="0.2">
      <c r="B57" s="375">
        <v>39083</v>
      </c>
      <c r="C57" s="374">
        <f>C56+$H$25</f>
        <v>122695.06721531101</v>
      </c>
    </row>
    <row r="58" spans="2:15" x14ac:dyDescent="0.2">
      <c r="B58" s="375">
        <v>39114</v>
      </c>
      <c r="C58" s="374">
        <f t="shared" ref="C58:C68" si="16">C57+$H$25</f>
        <v>141807.38372369169</v>
      </c>
      <c r="G58" s="142">
        <v>2014</v>
      </c>
      <c r="H58" s="142">
        <v>2015</v>
      </c>
      <c r="I58" s="142">
        <v>2016</v>
      </c>
      <c r="J58" s="142">
        <v>2017</v>
      </c>
      <c r="K58" s="142">
        <v>2018</v>
      </c>
      <c r="L58" s="142">
        <v>2019</v>
      </c>
      <c r="M58" s="142">
        <v>2020</v>
      </c>
      <c r="N58" s="142">
        <v>2021</v>
      </c>
      <c r="O58" s="142">
        <v>2022</v>
      </c>
    </row>
    <row r="59" spans="2:15" x14ac:dyDescent="0.2">
      <c r="B59" s="375">
        <v>39142</v>
      </c>
      <c r="C59" s="374">
        <f t="shared" si="16"/>
        <v>160919.70023207235</v>
      </c>
      <c r="G59" s="373">
        <f t="shared" ref="G59:G70" si="17">C141</f>
        <v>893476.07499423646</v>
      </c>
      <c r="H59" s="373">
        <f t="shared" ref="H59:H70" si="18">C153</f>
        <v>1159263.6597949404</v>
      </c>
      <c r="I59" s="373">
        <f t="shared" ref="I59:I70" si="19">C165</f>
        <v>1798539.3135523656</v>
      </c>
      <c r="J59" s="373">
        <f t="shared" ref="J59:J70" si="20">C177</f>
        <v>2432562.491074306</v>
      </c>
      <c r="K59" s="373">
        <f t="shared" ref="K59:K70" si="21">C189</f>
        <v>2889719.2868504198</v>
      </c>
      <c r="L59" s="373">
        <f t="shared" ref="L59:L70" si="22">C201</f>
        <v>3103377.6068723211</v>
      </c>
      <c r="M59" s="373">
        <f t="shared" ref="M59:M70" si="23">C213</f>
        <v>3128290.8658073363</v>
      </c>
      <c r="N59" s="373">
        <f t="shared" ref="N59:N70" si="24">C225</f>
        <v>3099801.4736091159</v>
      </c>
      <c r="O59" s="373">
        <f t="shared" ref="O59:O70" si="25">C237</f>
        <v>3010272.9139861898</v>
      </c>
    </row>
    <row r="60" spans="2:15" x14ac:dyDescent="0.2">
      <c r="B60" s="375">
        <v>39173</v>
      </c>
      <c r="C60" s="374">
        <f t="shared" si="16"/>
        <v>180032.01674045302</v>
      </c>
      <c r="G60" s="373">
        <f t="shared" si="17"/>
        <v>912801.75092422578</v>
      </c>
      <c r="H60" s="373">
        <f t="shared" si="18"/>
        <v>1212468.8093657615</v>
      </c>
      <c r="I60" s="373">
        <f t="shared" si="19"/>
        <v>1852558.322030759</v>
      </c>
      <c r="J60" s="373">
        <f t="shared" si="20"/>
        <v>2472376.5753339198</v>
      </c>
      <c r="K60" s="373">
        <f t="shared" si="21"/>
        <v>2908921.155770781</v>
      </c>
      <c r="L60" s="373">
        <f t="shared" si="22"/>
        <v>3105815.3687702497</v>
      </c>
      <c r="M60" s="373">
        <f t="shared" si="23"/>
        <v>3126388.7438651375</v>
      </c>
      <c r="N60" s="373">
        <f t="shared" si="24"/>
        <v>3092235.4227750828</v>
      </c>
      <c r="O60" s="373">
        <f t="shared" si="25"/>
        <v>3003970.9135376285</v>
      </c>
    </row>
    <row r="61" spans="2:15" x14ac:dyDescent="0.2">
      <c r="B61" s="375">
        <v>39203</v>
      </c>
      <c r="C61" s="374">
        <f t="shared" si="16"/>
        <v>199144.33324883369</v>
      </c>
      <c r="G61" s="373">
        <f t="shared" si="17"/>
        <v>932127.4268542151</v>
      </c>
      <c r="H61" s="373">
        <f t="shared" si="18"/>
        <v>1265673.9589365826</v>
      </c>
      <c r="I61" s="373">
        <f t="shared" si="19"/>
        <v>1906577.3305091523</v>
      </c>
      <c r="J61" s="373">
        <f t="shared" si="20"/>
        <v>2512190.6595935337</v>
      </c>
      <c r="K61" s="373">
        <f t="shared" si="21"/>
        <v>2928123.0246911421</v>
      </c>
      <c r="L61" s="373">
        <f t="shared" si="22"/>
        <v>3108253.1306681782</v>
      </c>
      <c r="M61" s="373">
        <f t="shared" si="23"/>
        <v>3124486.6219229386</v>
      </c>
      <c r="N61" s="373">
        <f t="shared" si="24"/>
        <v>3084669.3719410496</v>
      </c>
      <c r="O61" s="373">
        <f t="shared" si="25"/>
        <v>2997668.9130890672</v>
      </c>
    </row>
    <row r="62" spans="2:15" x14ac:dyDescent="0.2">
      <c r="B62" s="375">
        <v>39234</v>
      </c>
      <c r="C62" s="374">
        <f t="shared" si="16"/>
        <v>218256.64975721436</v>
      </c>
      <c r="G62" s="373">
        <f t="shared" si="17"/>
        <v>951453.10278420441</v>
      </c>
      <c r="H62" s="373">
        <f t="shared" si="18"/>
        <v>1318879.1085074036</v>
      </c>
      <c r="I62" s="373">
        <f t="shared" si="19"/>
        <v>1960596.3389875456</v>
      </c>
      <c r="J62" s="373">
        <f t="shared" si="20"/>
        <v>2552004.7438531476</v>
      </c>
      <c r="K62" s="373">
        <f t="shared" si="21"/>
        <v>2947324.8936115033</v>
      </c>
      <c r="L62" s="373">
        <f t="shared" si="22"/>
        <v>3110690.8925661067</v>
      </c>
      <c r="M62" s="373">
        <f t="shared" si="23"/>
        <v>3122584.4999807398</v>
      </c>
      <c r="N62" s="373">
        <f t="shared" si="24"/>
        <v>3077103.3211070164</v>
      </c>
      <c r="O62" s="373">
        <f t="shared" si="25"/>
        <v>2991366.9126405059</v>
      </c>
    </row>
    <row r="63" spans="2:15" x14ac:dyDescent="0.2">
      <c r="B63" s="375">
        <v>39264</v>
      </c>
      <c r="C63" s="374">
        <f t="shared" si="16"/>
        <v>237368.96626559502</v>
      </c>
      <c r="G63" s="373">
        <f t="shared" si="17"/>
        <v>970778.77871419373</v>
      </c>
      <c r="H63" s="373">
        <f t="shared" si="18"/>
        <v>1372084.2580782247</v>
      </c>
      <c r="I63" s="373">
        <f t="shared" si="19"/>
        <v>2014615.3474659389</v>
      </c>
      <c r="J63" s="373">
        <f t="shared" si="20"/>
        <v>2591818.8281127615</v>
      </c>
      <c r="K63" s="373">
        <f t="shared" si="21"/>
        <v>2966526.7625318645</v>
      </c>
      <c r="L63" s="373">
        <f t="shared" si="22"/>
        <v>3113128.6544640353</v>
      </c>
      <c r="M63" s="373">
        <f t="shared" si="23"/>
        <v>3120682.3780385409</v>
      </c>
      <c r="N63" s="373">
        <f t="shared" si="24"/>
        <v>3069537.2702729832</v>
      </c>
      <c r="O63" s="373">
        <f t="shared" si="25"/>
        <v>2985064.9121919447</v>
      </c>
    </row>
    <row r="64" spans="2:15" x14ac:dyDescent="0.2">
      <c r="B64" s="375">
        <v>39295</v>
      </c>
      <c r="C64" s="374">
        <f t="shared" si="16"/>
        <v>256481.28277397569</v>
      </c>
      <c r="G64" s="373">
        <f t="shared" si="17"/>
        <v>990104.45464418305</v>
      </c>
      <c r="H64" s="373">
        <f t="shared" si="18"/>
        <v>1425289.4076490458</v>
      </c>
      <c r="I64" s="373">
        <f t="shared" si="19"/>
        <v>2068634.3559443322</v>
      </c>
      <c r="J64" s="373">
        <f t="shared" si="20"/>
        <v>2631632.9123723754</v>
      </c>
      <c r="K64" s="373">
        <f t="shared" si="21"/>
        <v>2985728.6314522256</v>
      </c>
      <c r="L64" s="373">
        <f t="shared" si="22"/>
        <v>3115566.4163619638</v>
      </c>
      <c r="M64" s="373">
        <f t="shared" si="23"/>
        <v>3118780.2560963421</v>
      </c>
      <c r="N64" s="373">
        <f t="shared" si="24"/>
        <v>3061971.2194389501</v>
      </c>
      <c r="O64" s="373">
        <f t="shared" si="25"/>
        <v>2978762.9117433834</v>
      </c>
    </row>
    <row r="65" spans="2:15" x14ac:dyDescent="0.2">
      <c r="B65" s="375">
        <v>39326</v>
      </c>
      <c r="C65" s="374">
        <f t="shared" si="16"/>
        <v>275593.59928235633</v>
      </c>
      <c r="G65" s="373">
        <f t="shared" si="17"/>
        <v>1009430.1305741724</v>
      </c>
      <c r="H65" s="373">
        <f t="shared" si="18"/>
        <v>1478494.5572198669</v>
      </c>
      <c r="I65" s="373">
        <f t="shared" si="19"/>
        <v>2122653.3644227255</v>
      </c>
      <c r="J65" s="373">
        <f t="shared" si="20"/>
        <v>2671446.9966319893</v>
      </c>
      <c r="K65" s="373">
        <f t="shared" si="21"/>
        <v>3004930.5003725868</v>
      </c>
      <c r="L65" s="373">
        <f t="shared" si="22"/>
        <v>3118004.1782598924</v>
      </c>
      <c r="M65" s="373">
        <f t="shared" si="23"/>
        <v>3116878.1341541433</v>
      </c>
      <c r="N65" s="373">
        <f t="shared" si="24"/>
        <v>3054405.1686049169</v>
      </c>
      <c r="O65" s="373">
        <f t="shared" si="25"/>
        <v>2972460.9112948221</v>
      </c>
    </row>
    <row r="66" spans="2:15" x14ac:dyDescent="0.2">
      <c r="B66" s="375">
        <v>39356</v>
      </c>
      <c r="C66" s="374">
        <f t="shared" si="16"/>
        <v>294705.91579073702</v>
      </c>
      <c r="G66" s="373">
        <f t="shared" si="17"/>
        <v>1028755.8065041617</v>
      </c>
      <c r="H66" s="373">
        <f t="shared" si="18"/>
        <v>1531699.706790688</v>
      </c>
      <c r="I66" s="373">
        <f t="shared" si="19"/>
        <v>2176672.3729011188</v>
      </c>
      <c r="J66" s="373">
        <f t="shared" si="20"/>
        <v>2711261.0808916031</v>
      </c>
      <c r="K66" s="373">
        <f t="shared" si="21"/>
        <v>3024132.3692929479</v>
      </c>
      <c r="L66" s="373">
        <f t="shared" si="22"/>
        <v>3120441.9401578209</v>
      </c>
      <c r="M66" s="373">
        <f t="shared" si="23"/>
        <v>3114976.0122119444</v>
      </c>
      <c r="N66" s="373">
        <f t="shared" si="24"/>
        <v>3046839.1177708837</v>
      </c>
      <c r="O66" s="373">
        <f t="shared" si="25"/>
        <v>2966158.9108462608</v>
      </c>
    </row>
    <row r="67" spans="2:15" x14ac:dyDescent="0.2">
      <c r="B67" s="375">
        <v>39387</v>
      </c>
      <c r="C67" s="374">
        <f t="shared" si="16"/>
        <v>313818.23229911772</v>
      </c>
      <c r="G67" s="373">
        <f t="shared" si="17"/>
        <v>1048081.482434151</v>
      </c>
      <c r="H67" s="373">
        <f t="shared" si="18"/>
        <v>1584904.8563615091</v>
      </c>
      <c r="I67" s="373">
        <f t="shared" si="19"/>
        <v>2230691.3813795121</v>
      </c>
      <c r="J67" s="373">
        <f t="shared" si="20"/>
        <v>2751075.165151217</v>
      </c>
      <c r="K67" s="373">
        <f t="shared" si="21"/>
        <v>3043334.2382133091</v>
      </c>
      <c r="L67" s="373">
        <f t="shared" si="22"/>
        <v>3122879.7020557495</v>
      </c>
      <c r="M67" s="373">
        <f t="shared" si="23"/>
        <v>3113073.8902697456</v>
      </c>
      <c r="N67" s="373">
        <f t="shared" si="24"/>
        <v>3039273.0669368505</v>
      </c>
      <c r="O67" s="373">
        <f t="shared" si="25"/>
        <v>2959856.9103976996</v>
      </c>
    </row>
    <row r="68" spans="2:15" x14ac:dyDescent="0.2">
      <c r="B68" s="375">
        <v>39417</v>
      </c>
      <c r="C68" s="374">
        <f t="shared" si="16"/>
        <v>332930.54880749842</v>
      </c>
      <c r="D68" s="374">
        <f>SUM(C57:C68)</f>
        <v>2733753.6961368569</v>
      </c>
      <c r="E68" s="374">
        <f>C68*12</f>
        <v>3995166.585689981</v>
      </c>
      <c r="G68" s="373">
        <f t="shared" si="17"/>
        <v>1067407.1583641404</v>
      </c>
      <c r="H68" s="373">
        <f t="shared" si="18"/>
        <v>1638110.0059323302</v>
      </c>
      <c r="I68" s="373">
        <f t="shared" si="19"/>
        <v>2284710.3898579055</v>
      </c>
      <c r="J68" s="373">
        <f t="shared" si="20"/>
        <v>2790889.2494108309</v>
      </c>
      <c r="K68" s="373">
        <f t="shared" si="21"/>
        <v>3062536.1071336702</v>
      </c>
      <c r="L68" s="373">
        <f t="shared" si="22"/>
        <v>3125317.463953678</v>
      </c>
      <c r="M68" s="373">
        <f t="shared" si="23"/>
        <v>3111171.7683275468</v>
      </c>
      <c r="N68" s="373">
        <f t="shared" si="24"/>
        <v>3031707.0161028174</v>
      </c>
      <c r="O68" s="373">
        <f t="shared" si="25"/>
        <v>2953554.9099491383</v>
      </c>
    </row>
    <row r="69" spans="2:15" x14ac:dyDescent="0.2">
      <c r="B69" s="375">
        <v>39448</v>
      </c>
      <c r="C69" s="374">
        <f>C68+$H$26</f>
        <v>337773.90784428187</v>
      </c>
      <c r="G69" s="373">
        <f t="shared" si="17"/>
        <v>1086732.8342941299</v>
      </c>
      <c r="H69" s="373">
        <f t="shared" si="18"/>
        <v>1691315.1555031512</v>
      </c>
      <c r="I69" s="373">
        <f t="shared" si="19"/>
        <v>2338729.3983362988</v>
      </c>
      <c r="J69" s="373">
        <f t="shared" si="20"/>
        <v>2830703.3336704448</v>
      </c>
      <c r="K69" s="373">
        <f t="shared" si="21"/>
        <v>3081737.9760540314</v>
      </c>
      <c r="L69" s="373">
        <f t="shared" si="22"/>
        <v>3127755.2258516066</v>
      </c>
      <c r="M69" s="373">
        <f t="shared" si="23"/>
        <v>3109269.6463853479</v>
      </c>
      <c r="N69" s="373">
        <f t="shared" si="24"/>
        <v>3024140.9652687842</v>
      </c>
      <c r="O69" s="373">
        <f t="shared" si="25"/>
        <v>2947252.909500577</v>
      </c>
    </row>
    <row r="70" spans="2:15" x14ac:dyDescent="0.2">
      <c r="B70" s="375">
        <v>39479</v>
      </c>
      <c r="C70" s="374">
        <f t="shared" ref="C70:C80" si="26">C69+$H$26</f>
        <v>342617.26688106533</v>
      </c>
      <c r="G70" s="373">
        <f t="shared" si="17"/>
        <v>1106058.5102241193</v>
      </c>
      <c r="H70" s="373">
        <f t="shared" si="18"/>
        <v>1744520.3050739723</v>
      </c>
      <c r="I70" s="373">
        <f t="shared" si="19"/>
        <v>2392748.4068146921</v>
      </c>
      <c r="J70" s="373">
        <f t="shared" si="20"/>
        <v>2870517.4179300587</v>
      </c>
      <c r="K70" s="373">
        <f t="shared" si="21"/>
        <v>3100939.8449743926</v>
      </c>
      <c r="L70" s="373">
        <f t="shared" si="22"/>
        <v>3130192.9877495351</v>
      </c>
      <c r="M70" s="373">
        <f t="shared" si="23"/>
        <v>3107367.5244431491</v>
      </c>
      <c r="N70" s="373">
        <f t="shared" si="24"/>
        <v>3016574.914434751</v>
      </c>
      <c r="O70" s="373">
        <f t="shared" si="25"/>
        <v>2940950.9090520157</v>
      </c>
    </row>
    <row r="71" spans="2:15" x14ac:dyDescent="0.2">
      <c r="B71" s="375">
        <v>39508</v>
      </c>
      <c r="C71" s="374">
        <f t="shared" si="26"/>
        <v>347460.62591784878</v>
      </c>
    </row>
    <row r="72" spans="2:15" x14ac:dyDescent="0.2">
      <c r="B72" s="375">
        <v>39539</v>
      </c>
      <c r="C72" s="374">
        <f t="shared" si="26"/>
        <v>352303.98495463224</v>
      </c>
    </row>
    <row r="73" spans="2:15" x14ac:dyDescent="0.2">
      <c r="B73" s="375">
        <v>39569</v>
      </c>
      <c r="C73" s="374">
        <f t="shared" si="26"/>
        <v>357147.34399141569</v>
      </c>
    </row>
    <row r="74" spans="2:15" x14ac:dyDescent="0.2">
      <c r="B74" s="375">
        <v>39600</v>
      </c>
      <c r="C74" s="374">
        <f t="shared" si="26"/>
        <v>361990.70302819915</v>
      </c>
    </row>
    <row r="75" spans="2:15" x14ac:dyDescent="0.2">
      <c r="B75" s="375">
        <v>39630</v>
      </c>
      <c r="C75" s="374">
        <f t="shared" si="26"/>
        <v>366834.0620649826</v>
      </c>
    </row>
    <row r="76" spans="2:15" x14ac:dyDescent="0.2">
      <c r="B76" s="375">
        <v>39661</v>
      </c>
      <c r="C76" s="374">
        <f t="shared" si="26"/>
        <v>371677.42110176606</v>
      </c>
    </row>
    <row r="77" spans="2:15" x14ac:dyDescent="0.2">
      <c r="B77" s="375">
        <v>39692</v>
      </c>
      <c r="C77" s="374">
        <f t="shared" si="26"/>
        <v>376520.78013854951</v>
      </c>
    </row>
    <row r="78" spans="2:15" x14ac:dyDescent="0.2">
      <c r="B78" s="375">
        <v>39722</v>
      </c>
      <c r="C78" s="374">
        <f t="shared" si="26"/>
        <v>381364.13917533297</v>
      </c>
    </row>
    <row r="79" spans="2:15" x14ac:dyDescent="0.2">
      <c r="B79" s="375">
        <v>39753</v>
      </c>
      <c r="C79" s="374">
        <f t="shared" si="26"/>
        <v>386207.49821211642</v>
      </c>
    </row>
    <row r="80" spans="2:15" x14ac:dyDescent="0.2">
      <c r="B80" s="375">
        <v>39783</v>
      </c>
      <c r="C80" s="374">
        <f t="shared" si="26"/>
        <v>391050.85724889988</v>
      </c>
      <c r="D80" s="374">
        <f>SUM(C69:C80)</f>
        <v>4372948.5905590905</v>
      </c>
      <c r="E80" s="374">
        <f>C80*12</f>
        <v>4692610.286986798</v>
      </c>
    </row>
    <row r="81" spans="2:5" x14ac:dyDescent="0.2">
      <c r="B81" s="375">
        <v>39814</v>
      </c>
      <c r="C81" s="374">
        <f>C80+$H$27</f>
        <v>400054.72080696304</v>
      </c>
    </row>
    <row r="82" spans="2:5" x14ac:dyDescent="0.2">
      <c r="B82" s="375">
        <v>39845</v>
      </c>
      <c r="C82" s="374">
        <f t="shared" ref="C82:C92" si="27">C81+$H$27</f>
        <v>409058.58436502621</v>
      </c>
    </row>
    <row r="83" spans="2:5" x14ac:dyDescent="0.2">
      <c r="B83" s="375">
        <v>39873</v>
      </c>
      <c r="C83" s="374">
        <f t="shared" si="27"/>
        <v>418062.44792308938</v>
      </c>
    </row>
    <row r="84" spans="2:5" x14ac:dyDescent="0.2">
      <c r="B84" s="375">
        <v>39904</v>
      </c>
      <c r="C84" s="374">
        <f t="shared" si="27"/>
        <v>427066.31148115254</v>
      </c>
    </row>
    <row r="85" spans="2:5" x14ac:dyDescent="0.2">
      <c r="B85" s="375">
        <v>39934</v>
      </c>
      <c r="C85" s="374">
        <f t="shared" si="27"/>
        <v>436070.17503921571</v>
      </c>
    </row>
    <row r="86" spans="2:5" x14ac:dyDescent="0.2">
      <c r="B86" s="375">
        <v>39965</v>
      </c>
      <c r="C86" s="374">
        <f t="shared" si="27"/>
        <v>445074.03859727888</v>
      </c>
    </row>
    <row r="87" spans="2:5" x14ac:dyDescent="0.2">
      <c r="B87" s="375">
        <v>39995</v>
      </c>
      <c r="C87" s="374">
        <f t="shared" si="27"/>
        <v>454077.90215534205</v>
      </c>
    </row>
    <row r="88" spans="2:5" x14ac:dyDescent="0.2">
      <c r="B88" s="375">
        <v>40026</v>
      </c>
      <c r="C88" s="374">
        <f t="shared" si="27"/>
        <v>463081.76571340521</v>
      </c>
    </row>
    <row r="89" spans="2:5" x14ac:dyDescent="0.2">
      <c r="B89" s="375">
        <v>40057</v>
      </c>
      <c r="C89" s="374">
        <f t="shared" si="27"/>
        <v>472085.62927146838</v>
      </c>
    </row>
    <row r="90" spans="2:5" x14ac:dyDescent="0.2">
      <c r="B90" s="375">
        <v>40087</v>
      </c>
      <c r="C90" s="374">
        <f t="shared" si="27"/>
        <v>481089.49282953155</v>
      </c>
    </row>
    <row r="91" spans="2:5" x14ac:dyDescent="0.2">
      <c r="B91" s="375">
        <v>40118</v>
      </c>
      <c r="C91" s="374">
        <f t="shared" si="27"/>
        <v>490093.35638759471</v>
      </c>
    </row>
    <row r="92" spans="2:5" x14ac:dyDescent="0.2">
      <c r="B92" s="375">
        <v>40148</v>
      </c>
      <c r="C92" s="374">
        <f t="shared" si="27"/>
        <v>499097.21994565788</v>
      </c>
      <c r="D92" s="374">
        <f>SUM(C81:C92)</f>
        <v>5394911.6445157258</v>
      </c>
      <c r="E92" s="374">
        <f>C92*12</f>
        <v>5989166.6393478941</v>
      </c>
    </row>
    <row r="93" spans="2:5" x14ac:dyDescent="0.2">
      <c r="B93" s="375">
        <v>40179</v>
      </c>
      <c r="C93" s="374">
        <f>C92+$H$28</f>
        <v>507393.61344157456</v>
      </c>
    </row>
    <row r="94" spans="2:5" x14ac:dyDescent="0.2">
      <c r="B94" s="375">
        <v>40210</v>
      </c>
      <c r="C94" s="374">
        <f t="shared" ref="C94:C104" si="28">C93+$H$28</f>
        <v>515690.00693749124</v>
      </c>
    </row>
    <row r="95" spans="2:5" x14ac:dyDescent="0.2">
      <c r="B95" s="375">
        <v>40238</v>
      </c>
      <c r="C95" s="374">
        <f t="shared" si="28"/>
        <v>523986.40043340792</v>
      </c>
    </row>
    <row r="96" spans="2:5" x14ac:dyDescent="0.2">
      <c r="B96" s="375">
        <v>40269</v>
      </c>
      <c r="C96" s="374">
        <f t="shared" si="28"/>
        <v>532282.7939293246</v>
      </c>
    </row>
    <row r="97" spans="2:5" x14ac:dyDescent="0.2">
      <c r="B97" s="375">
        <v>40299</v>
      </c>
      <c r="C97" s="374">
        <f t="shared" si="28"/>
        <v>540579.18742524134</v>
      </c>
    </row>
    <row r="98" spans="2:5" x14ac:dyDescent="0.2">
      <c r="B98" s="375">
        <v>40330</v>
      </c>
      <c r="C98" s="374">
        <f t="shared" si="28"/>
        <v>548875.58092115808</v>
      </c>
    </row>
    <row r="99" spans="2:5" x14ac:dyDescent="0.2">
      <c r="B99" s="375">
        <v>40360</v>
      </c>
      <c r="C99" s="374">
        <f t="shared" si="28"/>
        <v>557171.97441707482</v>
      </c>
    </row>
    <row r="100" spans="2:5" x14ac:dyDescent="0.2">
      <c r="B100" s="375">
        <v>40391</v>
      </c>
      <c r="C100" s="374">
        <f t="shared" si="28"/>
        <v>565468.36791299155</v>
      </c>
    </row>
    <row r="101" spans="2:5" x14ac:dyDescent="0.2">
      <c r="B101" s="375">
        <v>40422</v>
      </c>
      <c r="C101" s="374">
        <f t="shared" si="28"/>
        <v>573764.76140890829</v>
      </c>
    </row>
    <row r="102" spans="2:5" x14ac:dyDescent="0.2">
      <c r="B102" s="375">
        <v>40452</v>
      </c>
      <c r="C102" s="374">
        <f t="shared" si="28"/>
        <v>582061.15490482503</v>
      </c>
    </row>
    <row r="103" spans="2:5" x14ac:dyDescent="0.2">
      <c r="B103" s="375">
        <v>40483</v>
      </c>
      <c r="C103" s="374">
        <f t="shared" si="28"/>
        <v>590357.54840074177</v>
      </c>
    </row>
    <row r="104" spans="2:5" x14ac:dyDescent="0.2">
      <c r="B104" s="375">
        <v>40513</v>
      </c>
      <c r="C104" s="374">
        <f t="shared" si="28"/>
        <v>598653.94189665851</v>
      </c>
      <c r="D104" s="374">
        <f>SUM(C93:C104)</f>
        <v>6636285.3320293976</v>
      </c>
      <c r="E104" s="374">
        <f>C104*12</f>
        <v>7183847.3027599026</v>
      </c>
    </row>
    <row r="105" spans="2:5" x14ac:dyDescent="0.2">
      <c r="B105" s="375">
        <v>40544</v>
      </c>
      <c r="C105" s="374">
        <f>C104+$H$29</f>
        <v>598792.7894369252</v>
      </c>
    </row>
    <row r="106" spans="2:5" x14ac:dyDescent="0.2">
      <c r="B106" s="375">
        <v>40575</v>
      </c>
      <c r="C106" s="374">
        <f t="shared" ref="C106:C116" si="29">C105+$H$29</f>
        <v>598931.6369771919</v>
      </c>
    </row>
    <row r="107" spans="2:5" x14ac:dyDescent="0.2">
      <c r="B107" s="375">
        <v>40603</v>
      </c>
      <c r="C107" s="374">
        <f t="shared" si="29"/>
        <v>599070.48451745859</v>
      </c>
    </row>
    <row r="108" spans="2:5" x14ac:dyDescent="0.2">
      <c r="B108" s="375">
        <v>40634</v>
      </c>
      <c r="C108" s="374">
        <f t="shared" si="29"/>
        <v>599209.33205772529</v>
      </c>
    </row>
    <row r="109" spans="2:5" x14ac:dyDescent="0.2">
      <c r="B109" s="375">
        <v>40664</v>
      </c>
      <c r="C109" s="374">
        <f t="shared" si="29"/>
        <v>599348.17959799198</v>
      </c>
    </row>
    <row r="110" spans="2:5" x14ac:dyDescent="0.2">
      <c r="B110" s="375">
        <v>40695</v>
      </c>
      <c r="C110" s="374">
        <f t="shared" si="29"/>
        <v>599487.02713825868</v>
      </c>
    </row>
    <row r="111" spans="2:5" x14ac:dyDescent="0.2">
      <c r="B111" s="375">
        <v>40725</v>
      </c>
      <c r="C111" s="374">
        <f t="shared" si="29"/>
        <v>599625.87467852538</v>
      </c>
    </row>
    <row r="112" spans="2:5" x14ac:dyDescent="0.2">
      <c r="B112" s="375">
        <v>40756</v>
      </c>
      <c r="C112" s="374">
        <f t="shared" si="29"/>
        <v>599764.72221879207</v>
      </c>
    </row>
    <row r="113" spans="2:5" x14ac:dyDescent="0.2">
      <c r="B113" s="375">
        <v>40787</v>
      </c>
      <c r="C113" s="374">
        <f t="shared" si="29"/>
        <v>599903.56975905877</v>
      </c>
    </row>
    <row r="114" spans="2:5" x14ac:dyDescent="0.2">
      <c r="B114" s="375">
        <v>40817</v>
      </c>
      <c r="C114" s="374">
        <f t="shared" si="29"/>
        <v>600042.41729932546</v>
      </c>
    </row>
    <row r="115" spans="2:5" x14ac:dyDescent="0.2">
      <c r="B115" s="375">
        <v>40848</v>
      </c>
      <c r="C115" s="374">
        <f t="shared" si="29"/>
        <v>600181.26483959216</v>
      </c>
    </row>
    <row r="116" spans="2:5" x14ac:dyDescent="0.2">
      <c r="B116" s="375">
        <v>40878</v>
      </c>
      <c r="C116" s="374">
        <f t="shared" si="29"/>
        <v>600320.11237985885</v>
      </c>
      <c r="D116" s="374">
        <f>SUM(C105:C116)</f>
        <v>7194677.4109007055</v>
      </c>
      <c r="E116" s="374">
        <f>C116*12</f>
        <v>7203841.3485583067</v>
      </c>
    </row>
    <row r="117" spans="2:5" x14ac:dyDescent="0.2">
      <c r="B117" s="375">
        <v>40909</v>
      </c>
      <c r="C117" s="374">
        <f>C116+$H$30</f>
        <v>608498.86821378744</v>
      </c>
    </row>
    <row r="118" spans="2:5" x14ac:dyDescent="0.2">
      <c r="B118" s="375">
        <v>40940</v>
      </c>
      <c r="C118" s="374">
        <f t="shared" ref="C118:C128" si="30">C117+$H$30</f>
        <v>616677.62404771603</v>
      </c>
    </row>
    <row r="119" spans="2:5" x14ac:dyDescent="0.2">
      <c r="B119" s="375">
        <v>40969</v>
      </c>
      <c r="C119" s="374">
        <f t="shared" si="30"/>
        <v>624856.37988164462</v>
      </c>
    </row>
    <row r="120" spans="2:5" x14ac:dyDescent="0.2">
      <c r="B120" s="375">
        <v>41000</v>
      </c>
      <c r="C120" s="374">
        <f t="shared" si="30"/>
        <v>633035.13571557321</v>
      </c>
    </row>
    <row r="121" spans="2:5" x14ac:dyDescent="0.2">
      <c r="B121" s="375">
        <v>41030</v>
      </c>
      <c r="C121" s="374">
        <f t="shared" si="30"/>
        <v>641213.8915495018</v>
      </c>
    </row>
    <row r="122" spans="2:5" x14ac:dyDescent="0.2">
      <c r="B122" s="375">
        <v>41061</v>
      </c>
      <c r="C122" s="374">
        <f t="shared" si="30"/>
        <v>649392.64738343039</v>
      </c>
    </row>
    <row r="123" spans="2:5" x14ac:dyDescent="0.2">
      <c r="B123" s="375">
        <v>41091</v>
      </c>
      <c r="C123" s="374">
        <f t="shared" si="30"/>
        <v>657571.40321735898</v>
      </c>
    </row>
    <row r="124" spans="2:5" x14ac:dyDescent="0.2">
      <c r="B124" s="375">
        <v>41122</v>
      </c>
      <c r="C124" s="374">
        <f t="shared" si="30"/>
        <v>665750.15905128757</v>
      </c>
    </row>
    <row r="125" spans="2:5" x14ac:dyDescent="0.2">
      <c r="B125" s="375">
        <v>41153</v>
      </c>
      <c r="C125" s="374">
        <f t="shared" si="30"/>
        <v>673928.91488521616</v>
      </c>
    </row>
    <row r="126" spans="2:5" x14ac:dyDescent="0.2">
      <c r="B126" s="375">
        <v>41183</v>
      </c>
      <c r="C126" s="374">
        <f t="shared" si="30"/>
        <v>682107.67071914475</v>
      </c>
    </row>
    <row r="127" spans="2:5" x14ac:dyDescent="0.2">
      <c r="B127" s="375">
        <v>41214</v>
      </c>
      <c r="C127" s="374">
        <f t="shared" si="30"/>
        <v>690286.42655307334</v>
      </c>
    </row>
    <row r="128" spans="2:5" x14ac:dyDescent="0.2">
      <c r="B128" s="375">
        <v>41244</v>
      </c>
      <c r="C128" s="374">
        <f t="shared" si="30"/>
        <v>698465.18238700193</v>
      </c>
      <c r="D128" s="374">
        <f>SUM(C117:C128)</f>
        <v>7841784.3036047369</v>
      </c>
      <c r="E128" s="374">
        <f>C128*12</f>
        <v>8381582.1886440236</v>
      </c>
    </row>
    <row r="129" spans="2:5" x14ac:dyDescent="0.2">
      <c r="B129" s="375">
        <v>41275</v>
      </c>
      <c r="C129" s="374">
        <f>C128+$H$31</f>
        <v>713105.6171101057</v>
      </c>
    </row>
    <row r="130" spans="2:5" x14ac:dyDescent="0.2">
      <c r="B130" s="375">
        <v>41306</v>
      </c>
      <c r="C130" s="374">
        <f t="shared" ref="C130:C140" si="31">C129+$H$31</f>
        <v>727746.05183320947</v>
      </c>
    </row>
    <row r="131" spans="2:5" x14ac:dyDescent="0.2">
      <c r="B131" s="375">
        <v>41334</v>
      </c>
      <c r="C131" s="374">
        <f t="shared" si="31"/>
        <v>742386.48655631323</v>
      </c>
    </row>
    <row r="132" spans="2:5" x14ac:dyDescent="0.2">
      <c r="B132" s="375">
        <v>41365</v>
      </c>
      <c r="C132" s="374">
        <f t="shared" si="31"/>
        <v>757026.921279417</v>
      </c>
    </row>
    <row r="133" spans="2:5" x14ac:dyDescent="0.2">
      <c r="B133" s="375">
        <v>41395</v>
      </c>
      <c r="C133" s="374">
        <f t="shared" si="31"/>
        <v>771667.35600252077</v>
      </c>
    </row>
    <row r="134" spans="2:5" x14ac:dyDescent="0.2">
      <c r="B134" s="375">
        <v>41426</v>
      </c>
      <c r="C134" s="374">
        <f t="shared" si="31"/>
        <v>786307.79072562454</v>
      </c>
    </row>
    <row r="135" spans="2:5" x14ac:dyDescent="0.2">
      <c r="B135" s="375">
        <v>41456</v>
      </c>
      <c r="C135" s="374">
        <f t="shared" si="31"/>
        <v>800948.22544872831</v>
      </c>
    </row>
    <row r="136" spans="2:5" x14ac:dyDescent="0.2">
      <c r="B136" s="375">
        <v>41487</v>
      </c>
      <c r="C136" s="374">
        <f t="shared" si="31"/>
        <v>815588.66017183207</v>
      </c>
    </row>
    <row r="137" spans="2:5" x14ac:dyDescent="0.2">
      <c r="B137" s="375">
        <v>41518</v>
      </c>
      <c r="C137" s="374">
        <f t="shared" si="31"/>
        <v>830229.09489493584</v>
      </c>
    </row>
    <row r="138" spans="2:5" x14ac:dyDescent="0.2">
      <c r="B138" s="375">
        <v>41548</v>
      </c>
      <c r="C138" s="374">
        <f t="shared" si="31"/>
        <v>844869.52961803961</v>
      </c>
    </row>
    <row r="139" spans="2:5" x14ac:dyDescent="0.2">
      <c r="B139" s="375">
        <v>41579</v>
      </c>
      <c r="C139" s="374">
        <f t="shared" si="31"/>
        <v>859509.96434114338</v>
      </c>
    </row>
    <row r="140" spans="2:5" x14ac:dyDescent="0.2">
      <c r="B140" s="375">
        <v>41609</v>
      </c>
      <c r="C140" s="374">
        <f t="shared" si="31"/>
        <v>874150.39906424715</v>
      </c>
      <c r="D140" s="374">
        <f>SUM(C129:C140)</f>
        <v>9523536.0970461164</v>
      </c>
      <c r="E140" s="374">
        <f>C140*12</f>
        <v>10489804.788770966</v>
      </c>
    </row>
    <row r="141" spans="2:5" x14ac:dyDescent="0.2">
      <c r="B141" s="375">
        <v>41640</v>
      </c>
      <c r="C141" s="374">
        <f>C140+$H$32</f>
        <v>893476.07499423646</v>
      </c>
    </row>
    <row r="142" spans="2:5" x14ac:dyDescent="0.2">
      <c r="B142" s="375">
        <v>41671</v>
      </c>
      <c r="C142" s="374">
        <f t="shared" ref="C142:C152" si="32">C141+$H$32</f>
        <v>912801.75092422578</v>
      </c>
    </row>
    <row r="143" spans="2:5" x14ac:dyDescent="0.2">
      <c r="B143" s="375">
        <v>41699</v>
      </c>
      <c r="C143" s="374">
        <f t="shared" si="32"/>
        <v>932127.4268542151</v>
      </c>
    </row>
    <row r="144" spans="2:5" x14ac:dyDescent="0.2">
      <c r="B144" s="375">
        <v>41730</v>
      </c>
      <c r="C144" s="374">
        <f t="shared" si="32"/>
        <v>951453.10278420441</v>
      </c>
    </row>
    <row r="145" spans="2:5" x14ac:dyDescent="0.2">
      <c r="B145" s="375">
        <v>41760</v>
      </c>
      <c r="C145" s="374">
        <f t="shared" si="32"/>
        <v>970778.77871419373</v>
      </c>
    </row>
    <row r="146" spans="2:5" x14ac:dyDescent="0.2">
      <c r="B146" s="375">
        <v>41791</v>
      </c>
      <c r="C146" s="374">
        <f t="shared" si="32"/>
        <v>990104.45464418305</v>
      </c>
    </row>
    <row r="147" spans="2:5" x14ac:dyDescent="0.2">
      <c r="B147" s="375">
        <v>41821</v>
      </c>
      <c r="C147" s="374">
        <f t="shared" si="32"/>
        <v>1009430.1305741724</v>
      </c>
    </row>
    <row r="148" spans="2:5" x14ac:dyDescent="0.2">
      <c r="B148" s="375">
        <v>41852</v>
      </c>
      <c r="C148" s="374">
        <f t="shared" si="32"/>
        <v>1028755.8065041617</v>
      </c>
    </row>
    <row r="149" spans="2:5" x14ac:dyDescent="0.2">
      <c r="B149" s="375">
        <v>41883</v>
      </c>
      <c r="C149" s="374">
        <f t="shared" si="32"/>
        <v>1048081.482434151</v>
      </c>
    </row>
    <row r="150" spans="2:5" x14ac:dyDescent="0.2">
      <c r="B150" s="375">
        <v>41913</v>
      </c>
      <c r="C150" s="374">
        <f t="shared" si="32"/>
        <v>1067407.1583641404</v>
      </c>
    </row>
    <row r="151" spans="2:5" x14ac:dyDescent="0.2">
      <c r="B151" s="375">
        <v>41944</v>
      </c>
      <c r="C151" s="374">
        <f t="shared" si="32"/>
        <v>1086732.8342941299</v>
      </c>
    </row>
    <row r="152" spans="2:5" x14ac:dyDescent="0.2">
      <c r="B152" s="375">
        <v>41974</v>
      </c>
      <c r="C152" s="374">
        <f t="shared" si="32"/>
        <v>1106058.5102241193</v>
      </c>
      <c r="D152" s="374">
        <f>SUM(C141:C152)</f>
        <v>11997207.51131013</v>
      </c>
      <c r="E152" s="374">
        <f>C152*12</f>
        <v>13272702.122689432</v>
      </c>
    </row>
    <row r="153" spans="2:5" x14ac:dyDescent="0.2">
      <c r="B153" s="375">
        <v>42005</v>
      </c>
      <c r="C153" s="374">
        <f>C152+$H$33</f>
        <v>1159263.6597949404</v>
      </c>
    </row>
    <row r="154" spans="2:5" x14ac:dyDescent="0.2">
      <c r="B154" s="375">
        <v>42036</v>
      </c>
      <c r="C154" s="374">
        <f t="shared" ref="C154:C164" si="33">C153+$H$33</f>
        <v>1212468.8093657615</v>
      </c>
    </row>
    <row r="155" spans="2:5" x14ac:dyDescent="0.2">
      <c r="B155" s="375">
        <v>42064</v>
      </c>
      <c r="C155" s="374">
        <f t="shared" si="33"/>
        <v>1265673.9589365826</v>
      </c>
    </row>
    <row r="156" spans="2:5" x14ac:dyDescent="0.2">
      <c r="B156" s="375">
        <v>42095</v>
      </c>
      <c r="C156" s="374">
        <f t="shared" si="33"/>
        <v>1318879.1085074036</v>
      </c>
    </row>
    <row r="157" spans="2:5" x14ac:dyDescent="0.2">
      <c r="B157" s="375">
        <v>42125</v>
      </c>
      <c r="C157" s="374">
        <f t="shared" si="33"/>
        <v>1372084.2580782247</v>
      </c>
    </row>
    <row r="158" spans="2:5" x14ac:dyDescent="0.2">
      <c r="B158" s="375">
        <v>42156</v>
      </c>
      <c r="C158" s="374">
        <f t="shared" si="33"/>
        <v>1425289.4076490458</v>
      </c>
    </row>
    <row r="159" spans="2:5" x14ac:dyDescent="0.2">
      <c r="B159" s="375">
        <v>42186</v>
      </c>
      <c r="C159" s="374">
        <f t="shared" si="33"/>
        <v>1478494.5572198669</v>
      </c>
    </row>
    <row r="160" spans="2:5" x14ac:dyDescent="0.2">
      <c r="B160" s="375">
        <v>42217</v>
      </c>
      <c r="C160" s="374">
        <f t="shared" si="33"/>
        <v>1531699.706790688</v>
      </c>
    </row>
    <row r="161" spans="2:5" x14ac:dyDescent="0.2">
      <c r="B161" s="375">
        <v>42248</v>
      </c>
      <c r="C161" s="374">
        <f t="shared" si="33"/>
        <v>1584904.8563615091</v>
      </c>
    </row>
    <row r="162" spans="2:5" x14ac:dyDescent="0.2">
      <c r="B162" s="375">
        <v>42278</v>
      </c>
      <c r="C162" s="374">
        <f t="shared" si="33"/>
        <v>1638110.0059323302</v>
      </c>
    </row>
    <row r="163" spans="2:5" x14ac:dyDescent="0.2">
      <c r="B163" s="375">
        <v>42309</v>
      </c>
      <c r="C163" s="374">
        <f t="shared" si="33"/>
        <v>1691315.1555031512</v>
      </c>
    </row>
    <row r="164" spans="2:5" x14ac:dyDescent="0.2">
      <c r="B164" s="375">
        <v>42339</v>
      </c>
      <c r="C164" s="374">
        <f t="shared" si="33"/>
        <v>1744520.3050739723</v>
      </c>
      <c r="D164" s="374">
        <f>SUM(C153:C164)</f>
        <v>17422703.789213475</v>
      </c>
      <c r="E164" s="374">
        <f>C164*12</f>
        <v>20934243.660887666</v>
      </c>
    </row>
    <row r="165" spans="2:5" x14ac:dyDescent="0.2">
      <c r="B165" s="375">
        <v>42370</v>
      </c>
      <c r="C165" s="374">
        <f>C164+$H$34</f>
        <v>1798539.3135523656</v>
      </c>
    </row>
    <row r="166" spans="2:5" x14ac:dyDescent="0.2">
      <c r="B166" s="375">
        <v>42401</v>
      </c>
      <c r="C166" s="374">
        <f t="shared" ref="C166:C176" si="34">C165+$H$34</f>
        <v>1852558.322030759</v>
      </c>
    </row>
    <row r="167" spans="2:5" x14ac:dyDescent="0.2">
      <c r="B167" s="375">
        <v>42430</v>
      </c>
      <c r="C167" s="374">
        <f t="shared" si="34"/>
        <v>1906577.3305091523</v>
      </c>
    </row>
    <row r="168" spans="2:5" x14ac:dyDescent="0.2">
      <c r="B168" s="375">
        <v>42461</v>
      </c>
      <c r="C168" s="374">
        <f t="shared" si="34"/>
        <v>1960596.3389875456</v>
      </c>
    </row>
    <row r="169" spans="2:5" x14ac:dyDescent="0.2">
      <c r="B169" s="375">
        <v>42491</v>
      </c>
      <c r="C169" s="374">
        <f t="shared" si="34"/>
        <v>2014615.3474659389</v>
      </c>
    </row>
    <row r="170" spans="2:5" x14ac:dyDescent="0.2">
      <c r="B170" s="375">
        <v>42522</v>
      </c>
      <c r="C170" s="374">
        <f t="shared" si="34"/>
        <v>2068634.3559443322</v>
      </c>
    </row>
    <row r="171" spans="2:5" x14ac:dyDescent="0.2">
      <c r="B171" s="375">
        <v>42552</v>
      </c>
      <c r="C171" s="374">
        <f t="shared" si="34"/>
        <v>2122653.3644227255</v>
      </c>
    </row>
    <row r="172" spans="2:5" x14ac:dyDescent="0.2">
      <c r="B172" s="375">
        <v>42583</v>
      </c>
      <c r="C172" s="374">
        <f t="shared" si="34"/>
        <v>2176672.3729011188</v>
      </c>
    </row>
    <row r="173" spans="2:5" x14ac:dyDescent="0.2">
      <c r="B173" s="375">
        <v>42614</v>
      </c>
      <c r="C173" s="374">
        <f t="shared" si="34"/>
        <v>2230691.3813795121</v>
      </c>
    </row>
    <row r="174" spans="2:5" x14ac:dyDescent="0.2">
      <c r="B174" s="375">
        <v>42644</v>
      </c>
      <c r="C174" s="374">
        <f t="shared" si="34"/>
        <v>2284710.3898579055</v>
      </c>
    </row>
    <row r="175" spans="2:5" x14ac:dyDescent="0.2">
      <c r="B175" s="375">
        <v>42675</v>
      </c>
      <c r="C175" s="374">
        <f t="shared" si="34"/>
        <v>2338729.3983362988</v>
      </c>
    </row>
    <row r="176" spans="2:5" x14ac:dyDescent="0.2">
      <c r="B176" s="375">
        <v>42705</v>
      </c>
      <c r="C176" s="374">
        <f t="shared" si="34"/>
        <v>2392748.4068146921</v>
      </c>
      <c r="D176" s="374">
        <f>SUM(C165:C176)</f>
        <v>25147726.322202347</v>
      </c>
      <c r="E176" s="374">
        <f>C176*12</f>
        <v>28712980.881776303</v>
      </c>
    </row>
    <row r="177" spans="2:5" x14ac:dyDescent="0.2">
      <c r="B177" s="375">
        <v>42736</v>
      </c>
      <c r="C177" s="374">
        <f>C176+$H$35</f>
        <v>2432562.491074306</v>
      </c>
    </row>
    <row r="178" spans="2:5" x14ac:dyDescent="0.2">
      <c r="B178" s="375">
        <v>42767</v>
      </c>
      <c r="C178" s="374">
        <f t="shared" ref="C178:C188" si="35">C177+$H$35</f>
        <v>2472376.5753339198</v>
      </c>
    </row>
    <row r="179" spans="2:5" x14ac:dyDescent="0.2">
      <c r="B179" s="375">
        <v>42795</v>
      </c>
      <c r="C179" s="374">
        <f t="shared" si="35"/>
        <v>2512190.6595935337</v>
      </c>
    </row>
    <row r="180" spans="2:5" x14ac:dyDescent="0.2">
      <c r="B180" s="375">
        <v>42826</v>
      </c>
      <c r="C180" s="374">
        <f t="shared" si="35"/>
        <v>2552004.7438531476</v>
      </c>
    </row>
    <row r="181" spans="2:5" x14ac:dyDescent="0.2">
      <c r="B181" s="375">
        <v>42856</v>
      </c>
      <c r="C181" s="374">
        <f t="shared" si="35"/>
        <v>2591818.8281127615</v>
      </c>
    </row>
    <row r="182" spans="2:5" x14ac:dyDescent="0.2">
      <c r="B182" s="375">
        <v>42887</v>
      </c>
      <c r="C182" s="374">
        <f t="shared" si="35"/>
        <v>2631632.9123723754</v>
      </c>
    </row>
    <row r="183" spans="2:5" x14ac:dyDescent="0.2">
      <c r="B183" s="375">
        <v>42917</v>
      </c>
      <c r="C183" s="374">
        <f t="shared" si="35"/>
        <v>2671446.9966319893</v>
      </c>
    </row>
    <row r="184" spans="2:5" x14ac:dyDescent="0.2">
      <c r="B184" s="375">
        <v>42948</v>
      </c>
      <c r="C184" s="374">
        <f t="shared" si="35"/>
        <v>2711261.0808916031</v>
      </c>
    </row>
    <row r="185" spans="2:5" x14ac:dyDescent="0.2">
      <c r="B185" s="375">
        <v>42979</v>
      </c>
      <c r="C185" s="374">
        <f t="shared" si="35"/>
        <v>2751075.165151217</v>
      </c>
    </row>
    <row r="186" spans="2:5" x14ac:dyDescent="0.2">
      <c r="B186" s="375">
        <v>43009</v>
      </c>
      <c r="C186" s="374">
        <f t="shared" si="35"/>
        <v>2790889.2494108309</v>
      </c>
    </row>
    <row r="187" spans="2:5" x14ac:dyDescent="0.2">
      <c r="B187" s="375">
        <v>43040</v>
      </c>
      <c r="C187" s="374">
        <f t="shared" si="35"/>
        <v>2830703.3336704448</v>
      </c>
    </row>
    <row r="188" spans="2:5" x14ac:dyDescent="0.2">
      <c r="B188" s="375">
        <v>43070</v>
      </c>
      <c r="C188" s="374">
        <f t="shared" si="35"/>
        <v>2870517.4179300587</v>
      </c>
      <c r="D188" s="374">
        <f>SUM(C177:C188)</f>
        <v>31818479.454026185</v>
      </c>
      <c r="E188" s="374">
        <f>C188*12</f>
        <v>34446209.015160702</v>
      </c>
    </row>
    <row r="189" spans="2:5" x14ac:dyDescent="0.2">
      <c r="B189" s="375">
        <v>43101</v>
      </c>
      <c r="C189" s="374">
        <f>C188+$H$36</f>
        <v>2889719.2868504198</v>
      </c>
    </row>
    <row r="190" spans="2:5" x14ac:dyDescent="0.2">
      <c r="B190" s="375">
        <v>43132</v>
      </c>
      <c r="C190" s="374">
        <f t="shared" ref="C190:C200" si="36">C189+$H$36</f>
        <v>2908921.155770781</v>
      </c>
    </row>
    <row r="191" spans="2:5" x14ac:dyDescent="0.2">
      <c r="B191" s="375">
        <v>43160</v>
      </c>
      <c r="C191" s="374">
        <f t="shared" si="36"/>
        <v>2928123.0246911421</v>
      </c>
    </row>
    <row r="192" spans="2:5" x14ac:dyDescent="0.2">
      <c r="B192" s="375">
        <v>43191</v>
      </c>
      <c r="C192" s="374">
        <f t="shared" si="36"/>
        <v>2947324.8936115033</v>
      </c>
    </row>
    <row r="193" spans="2:5" x14ac:dyDescent="0.2">
      <c r="B193" s="375">
        <v>43221</v>
      </c>
      <c r="C193" s="374">
        <f t="shared" si="36"/>
        <v>2966526.7625318645</v>
      </c>
    </row>
    <row r="194" spans="2:5" x14ac:dyDescent="0.2">
      <c r="B194" s="375">
        <v>43252</v>
      </c>
      <c r="C194" s="374">
        <f t="shared" si="36"/>
        <v>2985728.6314522256</v>
      </c>
    </row>
    <row r="195" spans="2:5" x14ac:dyDescent="0.2">
      <c r="B195" s="375">
        <v>43282</v>
      </c>
      <c r="C195" s="374">
        <f t="shared" si="36"/>
        <v>3004930.5003725868</v>
      </c>
    </row>
    <row r="196" spans="2:5" x14ac:dyDescent="0.2">
      <c r="B196" s="375">
        <v>43313</v>
      </c>
      <c r="C196" s="374">
        <f t="shared" si="36"/>
        <v>3024132.3692929479</v>
      </c>
    </row>
    <row r="197" spans="2:5" x14ac:dyDescent="0.2">
      <c r="B197" s="375">
        <v>43344</v>
      </c>
      <c r="C197" s="374">
        <f t="shared" si="36"/>
        <v>3043334.2382133091</v>
      </c>
    </row>
    <row r="198" spans="2:5" x14ac:dyDescent="0.2">
      <c r="B198" s="375">
        <v>43374</v>
      </c>
      <c r="C198" s="374">
        <f t="shared" si="36"/>
        <v>3062536.1071336702</v>
      </c>
    </row>
    <row r="199" spans="2:5" x14ac:dyDescent="0.2">
      <c r="B199" s="375">
        <v>43405</v>
      </c>
      <c r="C199" s="374">
        <f t="shared" si="36"/>
        <v>3081737.9760540314</v>
      </c>
    </row>
    <row r="200" spans="2:5" x14ac:dyDescent="0.2">
      <c r="B200" s="375">
        <v>43435</v>
      </c>
      <c r="C200" s="374">
        <f t="shared" si="36"/>
        <v>3100939.8449743926</v>
      </c>
      <c r="D200" s="374">
        <f>SUM(C189:C200)</f>
        <v>35943954.790948875</v>
      </c>
      <c r="E200" s="374">
        <f>C200*12</f>
        <v>37211278.139692709</v>
      </c>
    </row>
    <row r="201" spans="2:5" x14ac:dyDescent="0.2">
      <c r="B201" s="375">
        <v>43466</v>
      </c>
      <c r="C201" s="374">
        <f>C200+$H$37</f>
        <v>3103377.6068723211</v>
      </c>
    </row>
    <row r="202" spans="2:5" x14ac:dyDescent="0.2">
      <c r="B202" s="375">
        <v>43497</v>
      </c>
      <c r="C202" s="374">
        <f t="shared" ref="C202:C212" si="37">C201+$H$37</f>
        <v>3105815.3687702497</v>
      </c>
    </row>
    <row r="203" spans="2:5" x14ac:dyDescent="0.2">
      <c r="B203" s="375">
        <v>43525</v>
      </c>
      <c r="C203" s="374">
        <f t="shared" si="37"/>
        <v>3108253.1306681782</v>
      </c>
    </row>
    <row r="204" spans="2:5" x14ac:dyDescent="0.2">
      <c r="B204" s="375">
        <v>43556</v>
      </c>
      <c r="C204" s="374">
        <f t="shared" si="37"/>
        <v>3110690.8925661067</v>
      </c>
    </row>
    <row r="205" spans="2:5" x14ac:dyDescent="0.2">
      <c r="B205" s="375">
        <v>43586</v>
      </c>
      <c r="C205" s="374">
        <f t="shared" si="37"/>
        <v>3113128.6544640353</v>
      </c>
    </row>
    <row r="206" spans="2:5" x14ac:dyDescent="0.2">
      <c r="B206" s="375">
        <v>43617</v>
      </c>
      <c r="C206" s="374">
        <f t="shared" si="37"/>
        <v>3115566.4163619638</v>
      </c>
    </row>
    <row r="207" spans="2:5" x14ac:dyDescent="0.2">
      <c r="B207" s="375">
        <v>43647</v>
      </c>
      <c r="C207" s="374">
        <f t="shared" si="37"/>
        <v>3118004.1782598924</v>
      </c>
    </row>
    <row r="208" spans="2:5" x14ac:dyDescent="0.2">
      <c r="B208" s="375">
        <v>43678</v>
      </c>
      <c r="C208" s="374">
        <f t="shared" si="37"/>
        <v>3120441.9401578209</v>
      </c>
    </row>
    <row r="209" spans="2:5" x14ac:dyDescent="0.2">
      <c r="B209" s="375">
        <v>43709</v>
      </c>
      <c r="C209" s="374">
        <f t="shared" si="37"/>
        <v>3122879.7020557495</v>
      </c>
    </row>
    <row r="210" spans="2:5" x14ac:dyDescent="0.2">
      <c r="B210" s="375">
        <v>43739</v>
      </c>
      <c r="C210" s="374">
        <f t="shared" si="37"/>
        <v>3125317.463953678</v>
      </c>
    </row>
    <row r="211" spans="2:5" x14ac:dyDescent="0.2">
      <c r="B211" s="375">
        <v>43770</v>
      </c>
      <c r="C211" s="374">
        <f t="shared" si="37"/>
        <v>3127755.2258516066</v>
      </c>
    </row>
    <row r="212" spans="2:5" x14ac:dyDescent="0.2">
      <c r="B212" s="375">
        <v>43800</v>
      </c>
      <c r="C212" s="374">
        <f t="shared" si="37"/>
        <v>3130192.9877495351</v>
      </c>
      <c r="D212" s="374">
        <f>SUM(C201:C212)</f>
        <v>37401423.567731135</v>
      </c>
      <c r="E212" s="374">
        <f>C212*12</f>
        <v>37562315.85299442</v>
      </c>
    </row>
    <row r="213" spans="2:5" x14ac:dyDescent="0.2">
      <c r="B213" s="375">
        <v>43831</v>
      </c>
      <c r="C213" s="374">
        <f>C212+$H$38</f>
        <v>3128290.8658073363</v>
      </c>
    </row>
    <row r="214" spans="2:5" x14ac:dyDescent="0.2">
      <c r="B214" s="375">
        <v>43862</v>
      </c>
      <c r="C214" s="374">
        <f t="shared" ref="C214:C224" si="38">C213+$H$38</f>
        <v>3126388.7438651375</v>
      </c>
    </row>
    <row r="215" spans="2:5" x14ac:dyDescent="0.2">
      <c r="B215" s="375">
        <v>43891</v>
      </c>
      <c r="C215" s="374">
        <f t="shared" si="38"/>
        <v>3124486.6219229386</v>
      </c>
    </row>
    <row r="216" spans="2:5" x14ac:dyDescent="0.2">
      <c r="B216" s="375">
        <v>43922</v>
      </c>
      <c r="C216" s="374">
        <f t="shared" si="38"/>
        <v>3122584.4999807398</v>
      </c>
    </row>
    <row r="217" spans="2:5" x14ac:dyDescent="0.2">
      <c r="B217" s="375">
        <v>43952</v>
      </c>
      <c r="C217" s="374">
        <f t="shared" si="38"/>
        <v>3120682.3780385409</v>
      </c>
    </row>
    <row r="218" spans="2:5" x14ac:dyDescent="0.2">
      <c r="B218" s="375">
        <v>43983</v>
      </c>
      <c r="C218" s="374">
        <f t="shared" si="38"/>
        <v>3118780.2560963421</v>
      </c>
    </row>
    <row r="219" spans="2:5" x14ac:dyDescent="0.2">
      <c r="B219" s="375">
        <v>44013</v>
      </c>
      <c r="C219" s="374">
        <f t="shared" si="38"/>
        <v>3116878.1341541433</v>
      </c>
    </row>
    <row r="220" spans="2:5" x14ac:dyDescent="0.2">
      <c r="B220" s="375">
        <v>44044</v>
      </c>
      <c r="C220" s="374">
        <f t="shared" si="38"/>
        <v>3114976.0122119444</v>
      </c>
    </row>
    <row r="221" spans="2:5" x14ac:dyDescent="0.2">
      <c r="B221" s="375">
        <v>44075</v>
      </c>
      <c r="C221" s="374">
        <f t="shared" si="38"/>
        <v>3113073.8902697456</v>
      </c>
    </row>
    <row r="222" spans="2:5" x14ac:dyDescent="0.2">
      <c r="B222" s="375">
        <v>44105</v>
      </c>
      <c r="C222" s="374">
        <f t="shared" si="38"/>
        <v>3111171.7683275468</v>
      </c>
    </row>
    <row r="223" spans="2:5" x14ac:dyDescent="0.2">
      <c r="B223" s="375">
        <v>44136</v>
      </c>
      <c r="C223" s="374">
        <f t="shared" si="38"/>
        <v>3109269.6463853479</v>
      </c>
    </row>
    <row r="224" spans="2:5" x14ac:dyDescent="0.2">
      <c r="B224" s="375">
        <v>44166</v>
      </c>
      <c r="C224" s="374">
        <f t="shared" si="38"/>
        <v>3107367.5244431491</v>
      </c>
      <c r="D224" s="374">
        <f>SUM(C213:C224)</f>
        <v>37413950.341502912</v>
      </c>
      <c r="E224" s="374">
        <f>C224*12</f>
        <v>37288410.293317787</v>
      </c>
    </row>
    <row r="225" spans="2:5" x14ac:dyDescent="0.2">
      <c r="B225" s="375">
        <v>44197</v>
      </c>
      <c r="C225" s="374">
        <f>C224+$H$39</f>
        <v>3099801.4736091159</v>
      </c>
    </row>
    <row r="226" spans="2:5" x14ac:dyDescent="0.2">
      <c r="B226" s="375">
        <v>44228</v>
      </c>
      <c r="C226" s="374">
        <f t="shared" ref="C226:C236" si="39">C225+$H$39</f>
        <v>3092235.4227750828</v>
      </c>
    </row>
    <row r="227" spans="2:5" x14ac:dyDescent="0.2">
      <c r="B227" s="375">
        <v>44256</v>
      </c>
      <c r="C227" s="374">
        <f t="shared" si="39"/>
        <v>3084669.3719410496</v>
      </c>
    </row>
    <row r="228" spans="2:5" x14ac:dyDescent="0.2">
      <c r="B228" s="375">
        <v>44287</v>
      </c>
      <c r="C228" s="374">
        <f t="shared" si="39"/>
        <v>3077103.3211070164</v>
      </c>
    </row>
    <row r="229" spans="2:5" x14ac:dyDescent="0.2">
      <c r="B229" s="375">
        <v>44317</v>
      </c>
      <c r="C229" s="374">
        <f t="shared" si="39"/>
        <v>3069537.2702729832</v>
      </c>
    </row>
    <row r="230" spans="2:5" x14ac:dyDescent="0.2">
      <c r="B230" s="375">
        <v>44348</v>
      </c>
      <c r="C230" s="374">
        <f t="shared" si="39"/>
        <v>3061971.2194389501</v>
      </c>
    </row>
    <row r="231" spans="2:5" x14ac:dyDescent="0.2">
      <c r="B231" s="375">
        <v>44378</v>
      </c>
      <c r="C231" s="374">
        <f t="shared" si="39"/>
        <v>3054405.1686049169</v>
      </c>
    </row>
    <row r="232" spans="2:5" x14ac:dyDescent="0.2">
      <c r="B232" s="375">
        <v>44409</v>
      </c>
      <c r="C232" s="374">
        <f t="shared" si="39"/>
        <v>3046839.1177708837</v>
      </c>
    </row>
    <row r="233" spans="2:5" x14ac:dyDescent="0.2">
      <c r="B233" s="375">
        <v>44440</v>
      </c>
      <c r="C233" s="374">
        <f t="shared" si="39"/>
        <v>3039273.0669368505</v>
      </c>
    </row>
    <row r="234" spans="2:5" x14ac:dyDescent="0.2">
      <c r="B234" s="375">
        <v>44470</v>
      </c>
      <c r="C234" s="374">
        <f t="shared" si="39"/>
        <v>3031707.0161028174</v>
      </c>
    </row>
    <row r="235" spans="2:5" x14ac:dyDescent="0.2">
      <c r="B235" s="375">
        <v>44501</v>
      </c>
      <c r="C235" s="374">
        <f t="shared" si="39"/>
        <v>3024140.9652687842</v>
      </c>
    </row>
    <row r="236" spans="2:5" x14ac:dyDescent="0.2">
      <c r="B236" s="375">
        <v>44531</v>
      </c>
      <c r="C236" s="374">
        <f t="shared" si="39"/>
        <v>3016574.914434751</v>
      </c>
      <c r="D236" s="374">
        <f>SUM(C225:C236)</f>
        <v>36698258.328263208</v>
      </c>
      <c r="E236" s="374">
        <f>C236*12</f>
        <v>36198898.97321701</v>
      </c>
    </row>
    <row r="237" spans="2:5" x14ac:dyDescent="0.2">
      <c r="B237" s="375">
        <v>44562</v>
      </c>
      <c r="C237" s="374">
        <f>C236+$H$40</f>
        <v>3010272.9139861898</v>
      </c>
    </row>
    <row r="238" spans="2:5" x14ac:dyDescent="0.2">
      <c r="B238" s="375">
        <v>44593</v>
      </c>
      <c r="C238" s="374">
        <f t="shared" ref="C238:C248" si="40">C237+$H$40</f>
        <v>3003970.9135376285</v>
      </c>
    </row>
    <row r="239" spans="2:5" x14ac:dyDescent="0.2">
      <c r="B239" s="375">
        <v>44621</v>
      </c>
      <c r="C239" s="374">
        <f t="shared" si="40"/>
        <v>2997668.9130890672</v>
      </c>
    </row>
    <row r="240" spans="2:5" x14ac:dyDescent="0.2">
      <c r="B240" s="375">
        <v>44652</v>
      </c>
      <c r="C240" s="374">
        <f t="shared" si="40"/>
        <v>2991366.9126405059</v>
      </c>
    </row>
    <row r="241" spans="2:5" x14ac:dyDescent="0.2">
      <c r="B241" s="375">
        <v>44682</v>
      </c>
      <c r="C241" s="374">
        <f t="shared" si="40"/>
        <v>2985064.9121919447</v>
      </c>
    </row>
    <row r="242" spans="2:5" x14ac:dyDescent="0.2">
      <c r="B242" s="375">
        <v>44713</v>
      </c>
      <c r="C242" s="374">
        <f t="shared" si="40"/>
        <v>2978762.9117433834</v>
      </c>
    </row>
    <row r="243" spans="2:5" x14ac:dyDescent="0.2">
      <c r="B243" s="375">
        <v>44743</v>
      </c>
      <c r="C243" s="374">
        <f t="shared" si="40"/>
        <v>2972460.9112948221</v>
      </c>
    </row>
    <row r="244" spans="2:5" x14ac:dyDescent="0.2">
      <c r="B244" s="375">
        <v>44774</v>
      </c>
      <c r="C244" s="374">
        <f t="shared" si="40"/>
        <v>2966158.9108462608</v>
      </c>
    </row>
    <row r="245" spans="2:5" x14ac:dyDescent="0.2">
      <c r="B245" s="375">
        <v>44805</v>
      </c>
      <c r="C245" s="374">
        <f t="shared" si="40"/>
        <v>2959856.9103976996</v>
      </c>
    </row>
    <row r="246" spans="2:5" x14ac:dyDescent="0.2">
      <c r="B246" s="375">
        <v>44835</v>
      </c>
      <c r="C246" s="374">
        <f t="shared" si="40"/>
        <v>2953554.9099491383</v>
      </c>
    </row>
    <row r="247" spans="2:5" x14ac:dyDescent="0.2">
      <c r="B247" s="375">
        <v>44866</v>
      </c>
      <c r="C247" s="374">
        <f t="shared" si="40"/>
        <v>2947252.909500577</v>
      </c>
    </row>
    <row r="248" spans="2:5" x14ac:dyDescent="0.2">
      <c r="B248" s="375">
        <v>44896</v>
      </c>
      <c r="C248" s="374">
        <f t="shared" si="40"/>
        <v>2940950.9090520157</v>
      </c>
      <c r="D248" s="374">
        <f>SUM(C237:C248)</f>
        <v>35707342.938229233</v>
      </c>
      <c r="E248" s="374">
        <f>C248*12</f>
        <v>35291410.908624187</v>
      </c>
    </row>
  </sheetData>
  <mergeCells count="3">
    <mergeCell ref="B1:B2"/>
    <mergeCell ref="C1:S1"/>
    <mergeCell ref="A3: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2:AU160"/>
  <sheetViews>
    <sheetView showGridLines="0" topLeftCell="A49" zoomScaleNormal="100" workbookViewId="0">
      <selection activeCell="N114" sqref="N114"/>
    </sheetView>
  </sheetViews>
  <sheetFormatPr defaultColWidth="9.33203125" defaultRowHeight="12.75" x14ac:dyDescent="0.2"/>
  <cols>
    <col min="1" max="1" width="28.33203125" style="143" bestFit="1" customWidth="1"/>
    <col min="2" max="2" width="18" style="341" customWidth="1"/>
    <col min="3" max="3" width="16.5" style="346" customWidth="1"/>
    <col min="4" max="7" width="16.5" style="210" customWidth="1"/>
    <col min="8" max="8" width="18" style="341" customWidth="1"/>
    <col min="9" max="9" width="22.33203125" style="147" customWidth="1"/>
    <col min="10" max="29" width="17" style="142" customWidth="1"/>
    <col min="30" max="30" width="10" style="141" bestFit="1" customWidth="1"/>
    <col min="31" max="31" width="9.33203125" style="141"/>
    <col min="32" max="47" width="8.83203125" customWidth="1"/>
    <col min="48" max="16384" width="9.33203125" style="141"/>
  </cols>
  <sheetData>
    <row r="2" spans="1:47" ht="13.5" thickBot="1" x14ac:dyDescent="0.25"/>
    <row r="3" spans="1:47" ht="22.5" customHeight="1" x14ac:dyDescent="0.2">
      <c r="A3" s="413" t="s">
        <v>107</v>
      </c>
      <c r="B3" s="414"/>
      <c r="C3" s="414"/>
      <c r="D3" s="414"/>
      <c r="E3" s="414"/>
      <c r="F3" s="414"/>
      <c r="G3" s="414"/>
      <c r="H3" s="415"/>
      <c r="I3" s="198"/>
      <c r="J3" s="413" t="s">
        <v>91</v>
      </c>
      <c r="K3" s="414"/>
      <c r="L3" s="414"/>
      <c r="M3" s="414"/>
      <c r="N3" s="414"/>
      <c r="O3" s="414"/>
      <c r="P3" s="414"/>
      <c r="Q3" s="414"/>
      <c r="R3" s="414"/>
      <c r="S3" s="414"/>
      <c r="T3" s="414"/>
      <c r="U3" s="414"/>
      <c r="V3" s="414"/>
      <c r="W3" s="414"/>
      <c r="X3" s="414"/>
      <c r="Y3" s="415"/>
      <c r="Z3" s="314"/>
      <c r="AA3" s="314"/>
      <c r="AB3" s="314"/>
      <c r="AC3" s="314"/>
    </row>
    <row r="4" spans="1:47" ht="33.75" x14ac:dyDescent="0.2">
      <c r="A4" s="199"/>
      <c r="B4" s="342" t="s">
        <v>90</v>
      </c>
      <c r="C4" s="347" t="s">
        <v>167</v>
      </c>
      <c r="D4" s="347" t="s">
        <v>167</v>
      </c>
      <c r="E4" s="347" t="s">
        <v>167</v>
      </c>
      <c r="F4" s="196" t="s">
        <v>168</v>
      </c>
      <c r="G4" s="196" t="s">
        <v>168</v>
      </c>
      <c r="H4" s="342" t="s">
        <v>89</v>
      </c>
      <c r="I4" s="195"/>
      <c r="J4" s="196" t="s">
        <v>48</v>
      </c>
      <c r="K4" s="196" t="s">
        <v>49</v>
      </c>
      <c r="L4" s="196" t="s">
        <v>169</v>
      </c>
      <c r="M4" s="196"/>
      <c r="N4" s="196" t="s">
        <v>126</v>
      </c>
      <c r="O4" s="196" t="s">
        <v>153</v>
      </c>
      <c r="P4" s="196" t="s">
        <v>154</v>
      </c>
      <c r="Q4" s="196" t="s">
        <v>155</v>
      </c>
      <c r="R4" s="196" t="s">
        <v>156</v>
      </c>
      <c r="S4" s="196" t="s">
        <v>157</v>
      </c>
      <c r="T4" s="196" t="s">
        <v>158</v>
      </c>
      <c r="U4" s="196" t="s">
        <v>159</v>
      </c>
      <c r="V4" s="196" t="s">
        <v>160</v>
      </c>
      <c r="W4" s="196" t="s">
        <v>161</v>
      </c>
      <c r="X4" s="196" t="s">
        <v>162</v>
      </c>
      <c r="Y4" s="196" t="s">
        <v>163</v>
      </c>
      <c r="Z4" s="196" t="s">
        <v>152</v>
      </c>
      <c r="AA4" s="196" t="s">
        <v>166</v>
      </c>
      <c r="AB4" s="196" t="s">
        <v>164</v>
      </c>
      <c r="AC4" s="196" t="s">
        <v>165</v>
      </c>
    </row>
    <row r="5" spans="1:47" s="363" customFormat="1" x14ac:dyDescent="0.2">
      <c r="A5" s="200">
        <v>40544</v>
      </c>
      <c r="B5" s="343">
        <v>52646061.059999987</v>
      </c>
      <c r="C5" s="348">
        <v>589</v>
      </c>
      <c r="D5" s="261"/>
      <c r="E5" s="261"/>
      <c r="F5" s="261">
        <v>2441151.42</v>
      </c>
      <c r="G5" s="261"/>
      <c r="H5" s="343">
        <f t="shared" ref="H5:H57" si="0">B5+SUM(C5:E5)-SUM(F5:G5)</f>
        <v>50205498.639999986</v>
      </c>
      <c r="I5" s="155"/>
      <c r="J5" s="262">
        <v>794.6</v>
      </c>
      <c r="K5" s="262">
        <v>0</v>
      </c>
      <c r="L5" s="262">
        <v>598792.7894369252</v>
      </c>
      <c r="M5" s="255"/>
      <c r="N5" s="255">
        <v>31</v>
      </c>
      <c r="O5" s="262">
        <v>0</v>
      </c>
      <c r="P5" s="262">
        <v>131.4</v>
      </c>
      <c r="Q5" s="262">
        <v>5.5</v>
      </c>
      <c r="R5" s="262">
        <v>61.3</v>
      </c>
      <c r="S5" s="262">
        <v>58</v>
      </c>
      <c r="T5" s="262">
        <v>76.2</v>
      </c>
      <c r="U5" s="262">
        <v>336.4</v>
      </c>
      <c r="V5" s="262">
        <v>9.6999999999999993</v>
      </c>
      <c r="W5" s="262">
        <v>63</v>
      </c>
      <c r="X5" s="262">
        <v>56.9</v>
      </c>
      <c r="Y5" s="262">
        <v>191.3</v>
      </c>
      <c r="Z5" s="262">
        <v>28443</v>
      </c>
      <c r="AA5" s="262">
        <v>117.8</v>
      </c>
      <c r="AB5" s="262">
        <v>147.5</v>
      </c>
      <c r="AC5" s="262">
        <v>117.5</v>
      </c>
      <c r="AF5"/>
      <c r="AG5"/>
      <c r="AH5"/>
      <c r="AI5"/>
      <c r="AJ5"/>
      <c r="AK5"/>
      <c r="AL5"/>
      <c r="AM5"/>
      <c r="AN5"/>
      <c r="AO5"/>
      <c r="AP5"/>
      <c r="AQ5"/>
      <c r="AR5"/>
      <c r="AS5"/>
      <c r="AT5"/>
      <c r="AU5"/>
    </row>
    <row r="6" spans="1:47" s="363" customFormat="1" x14ac:dyDescent="0.2">
      <c r="A6" s="200">
        <v>40575</v>
      </c>
      <c r="B6" s="343">
        <v>47886036.089999989</v>
      </c>
      <c r="C6" s="348">
        <v>1257</v>
      </c>
      <c r="D6" s="261"/>
      <c r="E6" s="261"/>
      <c r="F6" s="261">
        <v>2704319.6900000009</v>
      </c>
      <c r="G6" s="261"/>
      <c r="H6" s="343">
        <f t="shared" si="0"/>
        <v>45182973.399999991</v>
      </c>
      <c r="I6" s="155"/>
      <c r="J6" s="262">
        <v>645.29999999999995</v>
      </c>
      <c r="K6" s="262">
        <v>0</v>
      </c>
      <c r="L6" s="262">
        <v>598931.6369771919</v>
      </c>
      <c r="M6" s="255"/>
      <c r="N6" s="255">
        <v>28</v>
      </c>
      <c r="O6" s="262">
        <v>0</v>
      </c>
      <c r="P6" s="262">
        <v>131.5</v>
      </c>
      <c r="Q6" s="262">
        <v>5.8</v>
      </c>
      <c r="R6" s="262">
        <v>61.5</v>
      </c>
      <c r="S6" s="262">
        <v>57.9</v>
      </c>
      <c r="T6" s="262">
        <v>76.2</v>
      </c>
      <c r="U6" s="262">
        <v>336.4</v>
      </c>
      <c r="V6" s="262">
        <v>10.1</v>
      </c>
      <c r="W6" s="262">
        <v>62.8</v>
      </c>
      <c r="X6" s="262">
        <v>56.4</v>
      </c>
      <c r="Y6" s="262">
        <v>189.7</v>
      </c>
      <c r="Z6" s="262">
        <v>28447</v>
      </c>
      <c r="AA6" s="262">
        <v>118</v>
      </c>
      <c r="AB6" s="262">
        <v>145</v>
      </c>
      <c r="AC6" s="262">
        <v>117.9</v>
      </c>
      <c r="AE6" s="364"/>
      <c r="AF6"/>
      <c r="AG6"/>
      <c r="AH6"/>
      <c r="AI6"/>
      <c r="AJ6"/>
      <c r="AK6"/>
      <c r="AL6"/>
      <c r="AM6"/>
      <c r="AN6"/>
      <c r="AO6"/>
      <c r="AP6"/>
      <c r="AQ6"/>
      <c r="AR6"/>
      <c r="AS6"/>
      <c r="AT6"/>
      <c r="AU6"/>
    </row>
    <row r="7" spans="1:47" s="363" customFormat="1" x14ac:dyDescent="0.2">
      <c r="A7" s="200">
        <v>40603</v>
      </c>
      <c r="B7" s="343">
        <v>50044994.409999982</v>
      </c>
      <c r="C7" s="348">
        <v>5577</v>
      </c>
      <c r="D7" s="261"/>
      <c r="E7" s="261"/>
      <c r="F7" s="261">
        <v>3125361.2200000007</v>
      </c>
      <c r="G7" s="261"/>
      <c r="H7" s="343">
        <f t="shared" si="0"/>
        <v>46925210.189999983</v>
      </c>
      <c r="I7" s="155"/>
      <c r="J7" s="262">
        <v>568.6</v>
      </c>
      <c r="K7" s="262">
        <v>0</v>
      </c>
      <c r="L7" s="262">
        <v>599070.48451745859</v>
      </c>
      <c r="M7" s="255"/>
      <c r="N7" s="255">
        <v>31</v>
      </c>
      <c r="O7" s="262">
        <v>1</v>
      </c>
      <c r="P7" s="262">
        <v>131.69999999999999</v>
      </c>
      <c r="Q7" s="262">
        <v>6.4</v>
      </c>
      <c r="R7" s="262">
        <v>61.6</v>
      </c>
      <c r="S7" s="262">
        <v>57.6</v>
      </c>
      <c r="T7" s="262">
        <v>75.900000000000006</v>
      </c>
      <c r="U7" s="262">
        <v>336.4</v>
      </c>
      <c r="V7" s="262">
        <v>10.3</v>
      </c>
      <c r="W7" s="262">
        <v>62.9</v>
      </c>
      <c r="X7" s="262">
        <v>56.4</v>
      </c>
      <c r="Y7" s="262">
        <v>189.7</v>
      </c>
      <c r="Z7" s="262">
        <v>28437</v>
      </c>
      <c r="AA7" s="262">
        <v>119.4</v>
      </c>
      <c r="AB7" s="262">
        <v>150.9</v>
      </c>
      <c r="AC7" s="262">
        <v>119.4</v>
      </c>
      <c r="AF7"/>
      <c r="AG7"/>
      <c r="AH7"/>
      <c r="AI7"/>
      <c r="AJ7"/>
      <c r="AK7"/>
      <c r="AL7"/>
      <c r="AM7"/>
      <c r="AN7"/>
      <c r="AO7"/>
      <c r="AP7"/>
      <c r="AQ7"/>
      <c r="AR7"/>
      <c r="AS7"/>
      <c r="AT7"/>
      <c r="AU7"/>
    </row>
    <row r="8" spans="1:47" s="363" customFormat="1" x14ac:dyDescent="0.2">
      <c r="A8" s="200">
        <v>40634</v>
      </c>
      <c r="B8" s="343">
        <v>43929197.81000001</v>
      </c>
      <c r="C8" s="348">
        <v>3152</v>
      </c>
      <c r="D8" s="261"/>
      <c r="E8" s="261"/>
      <c r="F8" s="261">
        <v>3321191.3899999997</v>
      </c>
      <c r="G8" s="261"/>
      <c r="H8" s="343">
        <f t="shared" si="0"/>
        <v>40611158.420000009</v>
      </c>
      <c r="I8" s="155"/>
      <c r="J8" s="262">
        <v>324.89999999999998</v>
      </c>
      <c r="K8" s="262">
        <v>0.4</v>
      </c>
      <c r="L8" s="262">
        <v>599209.33205772529</v>
      </c>
      <c r="M8" s="255"/>
      <c r="N8" s="255">
        <v>30</v>
      </c>
      <c r="O8" s="262">
        <v>1</v>
      </c>
      <c r="P8" s="262">
        <v>131.80000000000001</v>
      </c>
      <c r="Q8" s="262">
        <v>6.6</v>
      </c>
      <c r="R8" s="262">
        <v>63.1</v>
      </c>
      <c r="S8" s="262">
        <v>59</v>
      </c>
      <c r="T8" s="262">
        <v>77.7</v>
      </c>
      <c r="U8" s="262">
        <v>336.5</v>
      </c>
      <c r="V8" s="262">
        <v>9.6999999999999993</v>
      </c>
      <c r="W8" s="262">
        <v>62.8</v>
      </c>
      <c r="X8" s="262">
        <v>56.7</v>
      </c>
      <c r="Y8" s="262">
        <v>190.7</v>
      </c>
      <c r="Z8" s="262">
        <v>28398</v>
      </c>
      <c r="AA8" s="262">
        <v>119.9</v>
      </c>
      <c r="AB8" s="262">
        <v>158.19999999999999</v>
      </c>
      <c r="AC8" s="262">
        <v>119.8</v>
      </c>
      <c r="AF8"/>
      <c r="AG8"/>
      <c r="AH8"/>
      <c r="AI8"/>
      <c r="AJ8"/>
      <c r="AK8"/>
      <c r="AL8"/>
      <c r="AM8"/>
      <c r="AN8"/>
      <c r="AO8"/>
      <c r="AP8"/>
      <c r="AQ8"/>
      <c r="AR8"/>
      <c r="AS8"/>
      <c r="AT8"/>
      <c r="AU8"/>
    </row>
    <row r="9" spans="1:47" s="363" customFormat="1" x14ac:dyDescent="0.2">
      <c r="A9" s="200">
        <v>40664</v>
      </c>
      <c r="B9" s="343">
        <v>43129960.770000003</v>
      </c>
      <c r="C9" s="397">
        <v>11470</v>
      </c>
      <c r="D9" s="261"/>
      <c r="E9" s="261"/>
      <c r="F9" s="261">
        <v>3099187.8399999989</v>
      </c>
      <c r="G9" s="261"/>
      <c r="H9" s="343">
        <f t="shared" si="0"/>
        <v>40042242.930000007</v>
      </c>
      <c r="I9" s="155"/>
      <c r="J9" s="262">
        <v>136</v>
      </c>
      <c r="K9" s="262">
        <v>12.5</v>
      </c>
      <c r="L9" s="262">
        <v>599348.17959799198</v>
      </c>
      <c r="M9" s="255"/>
      <c r="N9" s="255">
        <v>31</v>
      </c>
      <c r="O9" s="262">
        <v>1</v>
      </c>
      <c r="P9" s="262">
        <v>132</v>
      </c>
      <c r="Q9" s="262">
        <v>7</v>
      </c>
      <c r="R9" s="262">
        <v>64.2</v>
      </c>
      <c r="S9" s="262">
        <v>59.7</v>
      </c>
      <c r="T9" s="262">
        <v>78.8</v>
      </c>
      <c r="U9" s="262">
        <v>336.5</v>
      </c>
      <c r="V9" s="262">
        <v>9.1</v>
      </c>
      <c r="W9" s="262">
        <v>63.2</v>
      </c>
      <c r="X9" s="262">
        <v>57.4</v>
      </c>
      <c r="Y9" s="262">
        <v>193.3</v>
      </c>
      <c r="Z9" s="262">
        <v>28386</v>
      </c>
      <c r="AA9" s="262">
        <v>120.9</v>
      </c>
      <c r="AB9" s="262">
        <v>162.19999999999999</v>
      </c>
      <c r="AC9" s="262">
        <v>120.8</v>
      </c>
      <c r="AF9"/>
      <c r="AG9"/>
      <c r="AH9"/>
      <c r="AI9"/>
      <c r="AJ9"/>
      <c r="AK9"/>
      <c r="AL9"/>
      <c r="AM9"/>
      <c r="AN9"/>
      <c r="AO9"/>
      <c r="AP9"/>
      <c r="AQ9"/>
      <c r="AR9"/>
      <c r="AS9"/>
      <c r="AT9"/>
      <c r="AU9"/>
    </row>
    <row r="10" spans="1:47" s="363" customFormat="1" x14ac:dyDescent="0.2">
      <c r="A10" s="200">
        <v>40695</v>
      </c>
      <c r="B10" s="343">
        <v>45531832.089999981</v>
      </c>
      <c r="C10" s="397">
        <v>5607</v>
      </c>
      <c r="D10" s="261"/>
      <c r="E10" s="261"/>
      <c r="F10" s="261">
        <v>3190370.7100000004</v>
      </c>
      <c r="G10" s="261"/>
      <c r="H10" s="343">
        <f t="shared" si="0"/>
        <v>42347068.37999998</v>
      </c>
      <c r="I10" s="155"/>
      <c r="J10" s="262">
        <v>22.7</v>
      </c>
      <c r="K10" s="262">
        <v>40.200000000000003</v>
      </c>
      <c r="L10" s="262">
        <v>599487.02713825868</v>
      </c>
      <c r="M10" s="255"/>
      <c r="N10" s="255">
        <v>30</v>
      </c>
      <c r="O10" s="262">
        <v>0</v>
      </c>
      <c r="P10" s="262">
        <v>132.19999999999999</v>
      </c>
      <c r="Q10" s="262">
        <v>7.1</v>
      </c>
      <c r="R10" s="262">
        <v>66</v>
      </c>
      <c r="S10" s="262">
        <v>61.3</v>
      </c>
      <c r="T10" s="262">
        <v>81</v>
      </c>
      <c r="U10" s="262">
        <v>336.6</v>
      </c>
      <c r="V10" s="262">
        <v>8.1</v>
      </c>
      <c r="W10" s="262">
        <v>63.8</v>
      </c>
      <c r="X10" s="262">
        <v>58.6</v>
      </c>
      <c r="Y10" s="262">
        <v>197.3</v>
      </c>
      <c r="Z10" s="262">
        <v>28410</v>
      </c>
      <c r="AA10" s="262">
        <v>120.2</v>
      </c>
      <c r="AB10" s="262">
        <v>159</v>
      </c>
      <c r="AC10" s="262">
        <v>120.2</v>
      </c>
      <c r="AF10"/>
      <c r="AG10"/>
      <c r="AH10"/>
      <c r="AI10"/>
      <c r="AJ10"/>
      <c r="AK10"/>
      <c r="AL10"/>
      <c r="AM10"/>
      <c r="AN10"/>
      <c r="AO10"/>
      <c r="AP10"/>
      <c r="AQ10"/>
      <c r="AR10"/>
      <c r="AS10"/>
      <c r="AT10"/>
      <c r="AU10"/>
    </row>
    <row r="11" spans="1:47" s="363" customFormat="1" x14ac:dyDescent="0.2">
      <c r="A11" s="200">
        <v>40725</v>
      </c>
      <c r="B11" s="343">
        <v>56530774.029999986</v>
      </c>
      <c r="C11" s="397">
        <v>11349</v>
      </c>
      <c r="D11" s="261"/>
      <c r="E11" s="261"/>
      <c r="F11" s="261">
        <v>4009900.3600000003</v>
      </c>
      <c r="G11" s="261"/>
      <c r="H11" s="343">
        <f t="shared" si="0"/>
        <v>52532222.669999987</v>
      </c>
      <c r="I11" s="155"/>
      <c r="J11" s="262">
        <v>0.2</v>
      </c>
      <c r="K11" s="262">
        <v>158.6</v>
      </c>
      <c r="L11" s="262">
        <v>599625.87467852538</v>
      </c>
      <c r="M11" s="255"/>
      <c r="N11" s="255">
        <v>31</v>
      </c>
      <c r="O11" s="262">
        <v>0</v>
      </c>
      <c r="P11" s="262">
        <v>132.5</v>
      </c>
      <c r="Q11" s="262">
        <v>7.8</v>
      </c>
      <c r="R11" s="262">
        <v>66.400000000000006</v>
      </c>
      <c r="S11" s="262">
        <v>61.3</v>
      </c>
      <c r="T11" s="262">
        <v>81.2</v>
      </c>
      <c r="U11" s="262">
        <v>336.8</v>
      </c>
      <c r="V11" s="262">
        <v>7.7</v>
      </c>
      <c r="W11" s="262">
        <v>64.400000000000006</v>
      </c>
      <c r="X11" s="262">
        <v>59.4</v>
      </c>
      <c r="Y11" s="262">
        <v>200.1</v>
      </c>
      <c r="Z11" s="262">
        <v>28362</v>
      </c>
      <c r="AA11" s="262">
        <v>120.5</v>
      </c>
      <c r="AB11" s="262">
        <v>159.69999999999999</v>
      </c>
      <c r="AC11" s="262">
        <v>120.4</v>
      </c>
      <c r="AF11"/>
      <c r="AG11"/>
      <c r="AH11"/>
      <c r="AI11"/>
      <c r="AJ11"/>
      <c r="AK11"/>
      <c r="AL11"/>
      <c r="AM11"/>
      <c r="AN11"/>
      <c r="AO11"/>
      <c r="AP11"/>
      <c r="AQ11"/>
      <c r="AR11"/>
      <c r="AS11"/>
      <c r="AT11"/>
      <c r="AU11"/>
    </row>
    <row r="12" spans="1:47" s="363" customFormat="1" x14ac:dyDescent="0.2">
      <c r="A12" s="200">
        <v>40756</v>
      </c>
      <c r="B12" s="343">
        <v>53168646.089999974</v>
      </c>
      <c r="C12" s="397">
        <v>11841</v>
      </c>
      <c r="D12" s="261"/>
      <c r="E12" s="261"/>
      <c r="F12" s="261">
        <v>3729678.1199999996</v>
      </c>
      <c r="G12" s="261"/>
      <c r="H12" s="343">
        <f t="shared" si="0"/>
        <v>49450808.969999976</v>
      </c>
      <c r="I12" s="155"/>
      <c r="J12" s="262">
        <v>4.0999999999999996</v>
      </c>
      <c r="K12" s="262">
        <v>88.8</v>
      </c>
      <c r="L12" s="262">
        <v>599764.72221879207</v>
      </c>
      <c r="M12" s="255"/>
      <c r="N12" s="255">
        <v>31</v>
      </c>
      <c r="O12" s="262">
        <v>0</v>
      </c>
      <c r="P12" s="262">
        <v>132.69999999999999</v>
      </c>
      <c r="Q12" s="262">
        <v>8</v>
      </c>
      <c r="R12" s="262">
        <v>67.099999999999994</v>
      </c>
      <c r="S12" s="262">
        <v>61.8</v>
      </c>
      <c r="T12" s="262">
        <v>82</v>
      </c>
      <c r="U12" s="262">
        <v>337</v>
      </c>
      <c r="V12" s="262">
        <v>7.7</v>
      </c>
      <c r="W12" s="262">
        <v>64.900000000000006</v>
      </c>
      <c r="X12" s="262">
        <v>59.9</v>
      </c>
      <c r="Y12" s="262">
        <v>201.8</v>
      </c>
      <c r="Z12" s="262">
        <v>28364</v>
      </c>
      <c r="AA12" s="262">
        <v>120.6</v>
      </c>
      <c r="AB12" s="262">
        <v>158.5</v>
      </c>
      <c r="AC12" s="262">
        <v>120.5</v>
      </c>
      <c r="AF12"/>
      <c r="AG12"/>
      <c r="AH12"/>
      <c r="AI12"/>
      <c r="AJ12"/>
      <c r="AK12"/>
      <c r="AL12"/>
      <c r="AM12"/>
      <c r="AN12"/>
      <c r="AO12"/>
      <c r="AP12"/>
      <c r="AQ12"/>
      <c r="AR12"/>
      <c r="AS12"/>
      <c r="AT12"/>
      <c r="AU12"/>
    </row>
    <row r="13" spans="1:47" s="363" customFormat="1" x14ac:dyDescent="0.2">
      <c r="A13" s="200">
        <v>40787</v>
      </c>
      <c r="B13" s="343">
        <v>45998198.719999947</v>
      </c>
      <c r="C13" s="397">
        <v>7247</v>
      </c>
      <c r="D13" s="261"/>
      <c r="E13" s="261"/>
      <c r="F13" s="261">
        <v>4082493.1</v>
      </c>
      <c r="G13" s="261"/>
      <c r="H13" s="343">
        <f t="shared" si="0"/>
        <v>41922952.619999945</v>
      </c>
      <c r="I13" s="155"/>
      <c r="J13" s="262">
        <v>55.5</v>
      </c>
      <c r="K13" s="262">
        <v>29.5</v>
      </c>
      <c r="L13" s="262">
        <v>599903.56975905877</v>
      </c>
      <c r="M13" s="255"/>
      <c r="N13" s="255">
        <v>30</v>
      </c>
      <c r="O13" s="262">
        <v>1</v>
      </c>
      <c r="P13" s="262">
        <v>132.9</v>
      </c>
      <c r="Q13" s="262">
        <v>7.4</v>
      </c>
      <c r="R13" s="262">
        <v>65.400000000000006</v>
      </c>
      <c r="S13" s="262">
        <v>60.6</v>
      </c>
      <c r="T13" s="262">
        <v>80.5</v>
      </c>
      <c r="U13" s="262">
        <v>337.3</v>
      </c>
      <c r="V13" s="262">
        <v>7.9</v>
      </c>
      <c r="W13" s="262">
        <v>64.900000000000006</v>
      </c>
      <c r="X13" s="262">
        <v>59.8</v>
      </c>
      <c r="Y13" s="262">
        <v>201.6</v>
      </c>
      <c r="Z13" s="262">
        <v>28384</v>
      </c>
      <c r="AA13" s="262">
        <v>121.1</v>
      </c>
      <c r="AB13" s="262">
        <v>156.80000000000001</v>
      </c>
      <c r="AC13" s="262">
        <v>121.2</v>
      </c>
      <c r="AF13"/>
      <c r="AG13"/>
      <c r="AH13"/>
      <c r="AI13"/>
      <c r="AJ13"/>
      <c r="AK13"/>
      <c r="AL13"/>
      <c r="AM13"/>
      <c r="AN13"/>
      <c r="AO13"/>
      <c r="AP13"/>
      <c r="AQ13"/>
      <c r="AR13"/>
      <c r="AS13"/>
      <c r="AT13"/>
      <c r="AU13"/>
    </row>
    <row r="14" spans="1:47" s="363" customFormat="1" x14ac:dyDescent="0.2">
      <c r="A14" s="200">
        <v>40817</v>
      </c>
      <c r="B14" s="343">
        <v>43453458.649999976</v>
      </c>
      <c r="C14" s="397">
        <v>18121</v>
      </c>
      <c r="D14" s="261"/>
      <c r="E14" s="261"/>
      <c r="F14" s="261">
        <v>2982129.65</v>
      </c>
      <c r="G14" s="261"/>
      <c r="H14" s="343">
        <f t="shared" si="0"/>
        <v>40489449.999999978</v>
      </c>
      <c r="I14" s="155"/>
      <c r="J14" s="262">
        <v>238.8</v>
      </c>
      <c r="K14" s="262">
        <v>0</v>
      </c>
      <c r="L14" s="262">
        <v>600042.41729932546</v>
      </c>
      <c r="M14" s="255"/>
      <c r="N14" s="255">
        <v>31</v>
      </c>
      <c r="O14" s="262">
        <v>1</v>
      </c>
      <c r="P14" s="262">
        <v>133</v>
      </c>
      <c r="Q14" s="262">
        <v>6.6</v>
      </c>
      <c r="R14" s="262">
        <v>64.2</v>
      </c>
      <c r="S14" s="262">
        <v>59.9</v>
      </c>
      <c r="T14" s="262">
        <v>79.7</v>
      </c>
      <c r="U14" s="262">
        <v>337.6</v>
      </c>
      <c r="V14" s="262">
        <v>7.3</v>
      </c>
      <c r="W14" s="262">
        <v>64.099999999999994</v>
      </c>
      <c r="X14" s="262">
        <v>59.4</v>
      </c>
      <c r="Y14" s="262">
        <v>200.6</v>
      </c>
      <c r="Z14" s="262">
        <v>28497</v>
      </c>
      <c r="AA14" s="262">
        <v>121</v>
      </c>
      <c r="AB14" s="262">
        <v>155.69999999999999</v>
      </c>
      <c r="AC14" s="262">
        <v>121.1</v>
      </c>
      <c r="AF14"/>
      <c r="AG14"/>
      <c r="AH14"/>
      <c r="AI14"/>
      <c r="AJ14"/>
      <c r="AK14"/>
      <c r="AL14"/>
      <c r="AM14"/>
      <c r="AN14"/>
      <c r="AO14"/>
      <c r="AP14"/>
      <c r="AQ14"/>
      <c r="AR14"/>
      <c r="AS14"/>
      <c r="AT14"/>
      <c r="AU14"/>
    </row>
    <row r="15" spans="1:47" s="363" customFormat="1" x14ac:dyDescent="0.2">
      <c r="A15" s="200">
        <v>40848</v>
      </c>
      <c r="B15" s="343">
        <v>42419852.18999999</v>
      </c>
      <c r="C15" s="397">
        <v>20038</v>
      </c>
      <c r="D15" s="261"/>
      <c r="E15" s="261"/>
      <c r="F15" s="261">
        <v>1474652.6199999999</v>
      </c>
      <c r="G15" s="261"/>
      <c r="H15" s="343">
        <f t="shared" si="0"/>
        <v>40965237.569999993</v>
      </c>
      <c r="I15" s="155"/>
      <c r="J15" s="262">
        <v>320</v>
      </c>
      <c r="K15" s="262">
        <v>0</v>
      </c>
      <c r="L15" s="262">
        <v>600181.26483959216</v>
      </c>
      <c r="M15" s="255"/>
      <c r="N15" s="255">
        <v>30</v>
      </c>
      <c r="O15" s="262">
        <v>1</v>
      </c>
      <c r="P15" s="262">
        <v>133</v>
      </c>
      <c r="Q15" s="262">
        <v>6.3</v>
      </c>
      <c r="R15" s="262">
        <v>63.2</v>
      </c>
      <c r="S15" s="262">
        <v>59.2</v>
      </c>
      <c r="T15" s="262">
        <v>78.7</v>
      </c>
      <c r="U15" s="262">
        <v>337.8</v>
      </c>
      <c r="V15" s="262">
        <v>6.6</v>
      </c>
      <c r="W15" s="262">
        <v>62.8</v>
      </c>
      <c r="X15" s="262">
        <v>58.7</v>
      </c>
      <c r="Y15" s="262">
        <v>198.2</v>
      </c>
      <c r="Z15" s="262">
        <v>28559</v>
      </c>
      <c r="AA15" s="262">
        <v>121</v>
      </c>
      <c r="AB15" s="262">
        <v>153.69999999999999</v>
      </c>
      <c r="AC15" s="262">
        <v>120.9</v>
      </c>
      <c r="AF15"/>
      <c r="AG15"/>
      <c r="AH15"/>
      <c r="AI15"/>
      <c r="AJ15"/>
      <c r="AK15"/>
      <c r="AL15"/>
      <c r="AM15"/>
      <c r="AN15"/>
      <c r="AO15"/>
      <c r="AP15"/>
      <c r="AQ15"/>
      <c r="AR15"/>
      <c r="AS15"/>
      <c r="AT15"/>
      <c r="AU15"/>
    </row>
    <row r="16" spans="1:47" s="363" customFormat="1" x14ac:dyDescent="0.2">
      <c r="A16" s="200">
        <v>40878</v>
      </c>
      <c r="B16" s="343">
        <v>46217938.279999964</v>
      </c>
      <c r="C16" s="397">
        <v>17249</v>
      </c>
      <c r="D16" s="261"/>
      <c r="E16" s="261"/>
      <c r="F16" s="261">
        <v>1328385.8999999999</v>
      </c>
      <c r="G16" s="261"/>
      <c r="H16" s="343">
        <f t="shared" si="0"/>
        <v>44906801.379999965</v>
      </c>
      <c r="I16" s="155"/>
      <c r="J16" s="262">
        <v>512</v>
      </c>
      <c r="K16" s="262">
        <v>0</v>
      </c>
      <c r="L16" s="262">
        <v>600320.11237985885</v>
      </c>
      <c r="M16" s="255"/>
      <c r="N16" s="255">
        <v>31</v>
      </c>
      <c r="O16" s="262">
        <v>0</v>
      </c>
      <c r="P16" s="262">
        <v>133.19999999999999</v>
      </c>
      <c r="Q16" s="262">
        <v>6.1</v>
      </c>
      <c r="R16" s="262">
        <v>63.7</v>
      </c>
      <c r="S16" s="262">
        <v>59.8</v>
      </c>
      <c r="T16" s="262">
        <v>79.599999999999994</v>
      </c>
      <c r="U16" s="262">
        <v>337.9</v>
      </c>
      <c r="V16" s="262">
        <v>6.7</v>
      </c>
      <c r="W16" s="262">
        <v>62.1</v>
      </c>
      <c r="X16" s="262">
        <v>57.9</v>
      </c>
      <c r="Y16" s="262">
        <v>195.7</v>
      </c>
      <c r="Z16" s="262">
        <v>28539</v>
      </c>
      <c r="AA16" s="262">
        <v>120.3</v>
      </c>
      <c r="AB16" s="262">
        <v>151.4</v>
      </c>
      <c r="AC16" s="262">
        <v>120.2</v>
      </c>
      <c r="AF16"/>
      <c r="AG16"/>
      <c r="AH16"/>
      <c r="AI16"/>
      <c r="AJ16"/>
      <c r="AK16"/>
      <c r="AL16"/>
      <c r="AM16"/>
      <c r="AN16"/>
      <c r="AO16"/>
      <c r="AP16"/>
      <c r="AQ16"/>
      <c r="AR16"/>
      <c r="AS16"/>
      <c r="AT16"/>
      <c r="AU16"/>
    </row>
    <row r="17" spans="1:29" x14ac:dyDescent="0.2">
      <c r="A17" s="200">
        <v>40909</v>
      </c>
      <c r="B17" s="343">
        <v>49830132.730000034</v>
      </c>
      <c r="C17" s="397">
        <v>17716</v>
      </c>
      <c r="D17" s="261"/>
      <c r="E17" s="261"/>
      <c r="F17" s="261">
        <v>3057607.4599999995</v>
      </c>
      <c r="G17" s="261"/>
      <c r="H17" s="343">
        <f t="shared" si="0"/>
        <v>46790241.270000033</v>
      </c>
      <c r="I17" s="155"/>
      <c r="J17" s="262">
        <v>600.79999999999995</v>
      </c>
      <c r="K17" s="262">
        <v>0</v>
      </c>
      <c r="L17" s="262">
        <v>608498.86821378744</v>
      </c>
      <c r="M17" s="255"/>
      <c r="N17" s="255">
        <v>31</v>
      </c>
      <c r="O17" s="262">
        <v>0</v>
      </c>
      <c r="P17" s="262">
        <v>133.30000000000001</v>
      </c>
      <c r="Q17" s="262">
        <v>6.5</v>
      </c>
      <c r="R17" s="262">
        <v>64.400000000000006</v>
      </c>
      <c r="S17" s="262">
        <v>60.2</v>
      </c>
      <c r="T17" s="262">
        <v>80.2</v>
      </c>
      <c r="U17" s="262">
        <v>338.1</v>
      </c>
      <c r="V17" s="262">
        <v>7.4</v>
      </c>
      <c r="W17" s="262">
        <v>61.9</v>
      </c>
      <c r="X17" s="262">
        <v>57.3</v>
      </c>
      <c r="Y17" s="262">
        <v>193.8</v>
      </c>
      <c r="Z17" s="262">
        <v>28599</v>
      </c>
      <c r="AA17" s="262">
        <v>120.6</v>
      </c>
      <c r="AB17" s="262">
        <v>153.69999999999999</v>
      </c>
      <c r="AC17" s="262">
        <v>120.7</v>
      </c>
    </row>
    <row r="18" spans="1:29" x14ac:dyDescent="0.2">
      <c r="A18" s="200">
        <v>40940</v>
      </c>
      <c r="B18" s="343">
        <v>46681742.650000036</v>
      </c>
      <c r="C18" s="397">
        <v>11824</v>
      </c>
      <c r="D18" s="261"/>
      <c r="E18" s="261"/>
      <c r="F18" s="261">
        <v>3634061.25</v>
      </c>
      <c r="G18" s="261"/>
      <c r="H18" s="343">
        <f t="shared" si="0"/>
        <v>43059505.400000036</v>
      </c>
      <c r="I18" s="155"/>
      <c r="J18" s="262">
        <v>533.20000000000005</v>
      </c>
      <c r="K18" s="262">
        <v>0</v>
      </c>
      <c r="L18" s="262">
        <v>616677.62404771603</v>
      </c>
      <c r="M18" s="255"/>
      <c r="N18" s="404">
        <v>29</v>
      </c>
      <c r="O18" s="262">
        <v>0</v>
      </c>
      <c r="P18" s="262">
        <v>133.4</v>
      </c>
      <c r="Q18" s="262">
        <v>7.1</v>
      </c>
      <c r="R18" s="262">
        <v>65.400000000000006</v>
      </c>
      <c r="S18" s="262">
        <v>60.7</v>
      </c>
      <c r="T18" s="262">
        <v>81</v>
      </c>
      <c r="U18" s="262">
        <v>338.2</v>
      </c>
      <c r="V18" s="262">
        <v>8.4</v>
      </c>
      <c r="W18" s="262">
        <v>62.3</v>
      </c>
      <c r="X18" s="262">
        <v>57.1</v>
      </c>
      <c r="Y18" s="262">
        <v>193</v>
      </c>
      <c r="Z18" s="262">
        <v>28605</v>
      </c>
      <c r="AA18" s="262">
        <v>121.4</v>
      </c>
      <c r="AB18" s="262">
        <v>156.6</v>
      </c>
      <c r="AC18" s="262">
        <v>121.5</v>
      </c>
    </row>
    <row r="19" spans="1:29" x14ac:dyDescent="0.2">
      <c r="A19" s="200">
        <v>40969</v>
      </c>
      <c r="B19" s="343">
        <v>45705990.230000004</v>
      </c>
      <c r="C19" s="397">
        <v>14222</v>
      </c>
      <c r="D19" s="261"/>
      <c r="E19" s="261"/>
      <c r="F19" s="261">
        <v>3883848.77</v>
      </c>
      <c r="G19" s="261"/>
      <c r="H19" s="343">
        <f t="shared" si="0"/>
        <v>41836363.460000001</v>
      </c>
      <c r="I19" s="155"/>
      <c r="J19" s="262">
        <v>333.8</v>
      </c>
      <c r="K19" s="262">
        <v>0</v>
      </c>
      <c r="L19" s="262">
        <v>624856.37988164462</v>
      </c>
      <c r="M19" s="255"/>
      <c r="N19" s="255">
        <v>31</v>
      </c>
      <c r="O19" s="262">
        <v>1</v>
      </c>
      <c r="P19" s="262">
        <v>133.5</v>
      </c>
      <c r="Q19" s="262">
        <v>7.7</v>
      </c>
      <c r="R19" s="262">
        <v>65.5</v>
      </c>
      <c r="S19" s="262">
        <v>60.4</v>
      </c>
      <c r="T19" s="262">
        <v>80.7</v>
      </c>
      <c r="U19" s="262">
        <v>338.3</v>
      </c>
      <c r="V19" s="262">
        <v>8.4</v>
      </c>
      <c r="W19" s="262">
        <v>62.1</v>
      </c>
      <c r="X19" s="262">
        <v>56.9</v>
      </c>
      <c r="Y19" s="262">
        <v>192.5</v>
      </c>
      <c r="Z19" s="262">
        <v>28561</v>
      </c>
      <c r="AA19" s="262">
        <v>122</v>
      </c>
      <c r="AB19" s="262">
        <v>159.80000000000001</v>
      </c>
      <c r="AC19" s="262">
        <v>122</v>
      </c>
    </row>
    <row r="20" spans="1:29" x14ac:dyDescent="0.2">
      <c r="A20" s="200">
        <v>41000</v>
      </c>
      <c r="B20" s="343">
        <v>42394150.290000021</v>
      </c>
      <c r="C20" s="397">
        <v>32318</v>
      </c>
      <c r="D20" s="261"/>
      <c r="E20" s="261"/>
      <c r="F20" s="261">
        <v>4107579.0500000003</v>
      </c>
      <c r="G20" s="261"/>
      <c r="H20" s="343">
        <f t="shared" si="0"/>
        <v>38318889.240000024</v>
      </c>
      <c r="I20" s="155"/>
      <c r="J20" s="262">
        <v>340.5</v>
      </c>
      <c r="K20" s="262">
        <v>0</v>
      </c>
      <c r="L20" s="262">
        <v>633035.13571557321</v>
      </c>
      <c r="M20" s="255"/>
      <c r="N20" s="255">
        <v>30</v>
      </c>
      <c r="O20" s="262">
        <v>1</v>
      </c>
      <c r="P20" s="262">
        <v>133.6</v>
      </c>
      <c r="Q20" s="262">
        <v>7.4</v>
      </c>
      <c r="R20" s="262">
        <v>65.5</v>
      </c>
      <c r="S20" s="262">
        <v>60.6</v>
      </c>
      <c r="T20" s="262">
        <v>81</v>
      </c>
      <c r="U20" s="262">
        <v>338.5</v>
      </c>
      <c r="V20" s="262">
        <v>8.6</v>
      </c>
      <c r="W20" s="262">
        <v>62.5</v>
      </c>
      <c r="X20" s="262">
        <v>57.1</v>
      </c>
      <c r="Y20" s="262">
        <v>193.4</v>
      </c>
      <c r="Z20" s="262">
        <v>28583</v>
      </c>
      <c r="AA20" s="262">
        <v>122.4</v>
      </c>
      <c r="AB20" s="262">
        <v>160.9</v>
      </c>
      <c r="AC20" s="262">
        <v>122.4</v>
      </c>
    </row>
    <row r="21" spans="1:29" x14ac:dyDescent="0.2">
      <c r="A21" s="200">
        <v>41030</v>
      </c>
      <c r="B21" s="343">
        <v>44171430.339999989</v>
      </c>
      <c r="C21" s="397">
        <v>40872</v>
      </c>
      <c r="D21" s="261"/>
      <c r="E21" s="261"/>
      <c r="F21" s="261">
        <v>4506441.3</v>
      </c>
      <c r="G21" s="261"/>
      <c r="H21" s="343">
        <f t="shared" si="0"/>
        <v>39705861.039999992</v>
      </c>
      <c r="I21" s="155"/>
      <c r="J21" s="262">
        <v>82.3</v>
      </c>
      <c r="K21" s="262">
        <v>28.9</v>
      </c>
      <c r="L21" s="262">
        <v>641213.8915495018</v>
      </c>
      <c r="M21" s="255"/>
      <c r="N21" s="255">
        <v>31</v>
      </c>
      <c r="O21" s="262">
        <v>1</v>
      </c>
      <c r="P21" s="262">
        <v>133.80000000000001</v>
      </c>
      <c r="Q21" s="262">
        <v>6.3</v>
      </c>
      <c r="R21" s="262">
        <v>65.3</v>
      </c>
      <c r="S21" s="262">
        <v>61.2</v>
      </c>
      <c r="T21" s="262">
        <v>81.900000000000006</v>
      </c>
      <c r="U21" s="262">
        <v>338.6</v>
      </c>
      <c r="V21" s="262">
        <v>8.4</v>
      </c>
      <c r="W21" s="262">
        <v>64.099999999999994</v>
      </c>
      <c r="X21" s="262">
        <v>58.8</v>
      </c>
      <c r="Y21" s="262">
        <v>199</v>
      </c>
      <c r="Z21" s="262">
        <v>28574</v>
      </c>
      <c r="AA21" s="262">
        <v>122.4</v>
      </c>
      <c r="AB21" s="262">
        <v>159.1</v>
      </c>
      <c r="AC21" s="262">
        <v>122.4</v>
      </c>
    </row>
    <row r="22" spans="1:29" x14ac:dyDescent="0.2">
      <c r="A22" s="200">
        <v>41061</v>
      </c>
      <c r="B22" s="343">
        <v>47092605</v>
      </c>
      <c r="C22" s="348">
        <v>55892</v>
      </c>
      <c r="D22" s="261"/>
      <c r="E22" s="261"/>
      <c r="F22" s="261">
        <v>4189574.2600000002</v>
      </c>
      <c r="G22" s="261"/>
      <c r="H22" s="343">
        <f t="shared" si="0"/>
        <v>42958922.740000002</v>
      </c>
      <c r="I22" s="155"/>
      <c r="J22" s="262">
        <v>31.6</v>
      </c>
      <c r="K22" s="262">
        <v>64.599999999999994</v>
      </c>
      <c r="L22" s="262">
        <v>649392.64738343039</v>
      </c>
      <c r="M22" s="255"/>
      <c r="N22" s="255">
        <v>30</v>
      </c>
      <c r="O22" s="262">
        <v>0</v>
      </c>
      <c r="P22" s="262">
        <v>134</v>
      </c>
      <c r="Q22" s="262">
        <v>6</v>
      </c>
      <c r="R22" s="262">
        <v>66</v>
      </c>
      <c r="S22" s="262">
        <v>62</v>
      </c>
      <c r="T22" s="262">
        <v>83.1</v>
      </c>
      <c r="U22" s="262">
        <v>338.8</v>
      </c>
      <c r="V22" s="262">
        <v>7.8</v>
      </c>
      <c r="W22" s="262">
        <v>65.7</v>
      </c>
      <c r="X22" s="262">
        <v>60.6</v>
      </c>
      <c r="Y22" s="262">
        <v>205.3</v>
      </c>
      <c r="Z22" s="262">
        <v>28616</v>
      </c>
      <c r="AA22" s="262">
        <v>121.6</v>
      </c>
      <c r="AB22" s="262">
        <v>154.69999999999999</v>
      </c>
      <c r="AC22" s="262">
        <v>121.7</v>
      </c>
    </row>
    <row r="23" spans="1:29" x14ac:dyDescent="0.2">
      <c r="A23" s="200">
        <v>41091</v>
      </c>
      <c r="B23" s="343">
        <v>56616414.859999955</v>
      </c>
      <c r="C23" s="348">
        <v>63778</v>
      </c>
      <c r="D23" s="261"/>
      <c r="E23" s="261"/>
      <c r="F23" s="261">
        <v>4846362.4000000004</v>
      </c>
      <c r="G23" s="261"/>
      <c r="H23" s="343">
        <f t="shared" si="0"/>
        <v>51833830.459999956</v>
      </c>
      <c r="I23" s="155"/>
      <c r="J23" s="262">
        <v>0</v>
      </c>
      <c r="K23" s="262">
        <v>152.9</v>
      </c>
      <c r="L23" s="262">
        <v>657571.40321735898</v>
      </c>
      <c r="M23" s="255"/>
      <c r="N23" s="255">
        <v>31</v>
      </c>
      <c r="O23" s="262">
        <v>0</v>
      </c>
      <c r="P23" s="262">
        <v>134.19999999999999</v>
      </c>
      <c r="Q23" s="262">
        <v>6.1</v>
      </c>
      <c r="R23" s="262">
        <v>65.5</v>
      </c>
      <c r="S23" s="262">
        <v>61.5</v>
      </c>
      <c r="T23" s="262">
        <v>82.6</v>
      </c>
      <c r="U23" s="262">
        <v>339</v>
      </c>
      <c r="V23" s="262">
        <v>7.9</v>
      </c>
      <c r="W23" s="262">
        <v>67</v>
      </c>
      <c r="X23" s="262">
        <v>61.7</v>
      </c>
      <c r="Y23" s="262">
        <v>209.1</v>
      </c>
      <c r="Z23" s="262">
        <v>28618</v>
      </c>
      <c r="AA23" s="262">
        <v>121.4</v>
      </c>
      <c r="AB23" s="262">
        <v>156.1</v>
      </c>
      <c r="AC23" s="262">
        <v>121.6</v>
      </c>
    </row>
    <row r="24" spans="1:29" x14ac:dyDescent="0.2">
      <c r="A24" s="200">
        <v>41122</v>
      </c>
      <c r="B24" s="343">
        <v>53263093.910000011</v>
      </c>
      <c r="C24" s="348">
        <v>64670</v>
      </c>
      <c r="D24" s="261"/>
      <c r="E24" s="261"/>
      <c r="F24" s="261">
        <v>4618396.58</v>
      </c>
      <c r="G24" s="261"/>
      <c r="H24" s="343">
        <f t="shared" si="0"/>
        <v>48709367.330000013</v>
      </c>
      <c r="I24" s="155"/>
      <c r="J24" s="262">
        <v>6</v>
      </c>
      <c r="K24" s="262">
        <v>76.599999999999994</v>
      </c>
      <c r="L24" s="262">
        <v>665750.15905128757</v>
      </c>
      <c r="M24" s="255"/>
      <c r="N24" s="255">
        <v>31</v>
      </c>
      <c r="O24" s="262">
        <v>0</v>
      </c>
      <c r="P24" s="262">
        <v>134.5</v>
      </c>
      <c r="Q24" s="262">
        <v>6.9</v>
      </c>
      <c r="R24" s="262">
        <v>64.599999999999994</v>
      </c>
      <c r="S24" s="262">
        <v>60.1</v>
      </c>
      <c r="T24" s="262">
        <v>80.900000000000006</v>
      </c>
      <c r="U24" s="262">
        <v>339.2</v>
      </c>
      <c r="V24" s="262">
        <v>8</v>
      </c>
      <c r="W24" s="262">
        <v>67.099999999999994</v>
      </c>
      <c r="X24" s="262">
        <v>61.8</v>
      </c>
      <c r="Y24" s="262">
        <v>209.5</v>
      </c>
      <c r="Z24" s="262">
        <v>28610</v>
      </c>
      <c r="AA24" s="262">
        <v>121.8</v>
      </c>
      <c r="AB24" s="262">
        <v>158.6</v>
      </c>
      <c r="AC24" s="262">
        <v>121.8</v>
      </c>
    </row>
    <row r="25" spans="1:29" x14ac:dyDescent="0.2">
      <c r="A25" s="200">
        <v>41153</v>
      </c>
      <c r="B25" s="343">
        <v>44675833.469999984</v>
      </c>
      <c r="C25" s="348">
        <v>65737</v>
      </c>
      <c r="D25" s="261"/>
      <c r="E25" s="261"/>
      <c r="F25" s="261">
        <v>4355225.32</v>
      </c>
      <c r="G25" s="261"/>
      <c r="H25" s="343">
        <f t="shared" si="0"/>
        <v>40386345.149999984</v>
      </c>
      <c r="I25" s="155"/>
      <c r="J25" s="262">
        <v>86.1</v>
      </c>
      <c r="K25" s="262">
        <v>28.9</v>
      </c>
      <c r="L25" s="262">
        <v>673928.91488521616</v>
      </c>
      <c r="M25" s="255"/>
      <c r="N25" s="255">
        <v>30</v>
      </c>
      <c r="O25" s="262">
        <v>1</v>
      </c>
      <c r="P25" s="262">
        <v>134.5</v>
      </c>
      <c r="Q25" s="262">
        <v>6.6</v>
      </c>
      <c r="R25" s="262">
        <v>63</v>
      </c>
      <c r="S25" s="262">
        <v>58.8</v>
      </c>
      <c r="T25" s="262">
        <v>79.099999999999994</v>
      </c>
      <c r="U25" s="262">
        <v>339.4</v>
      </c>
      <c r="V25" s="262">
        <v>8.3000000000000007</v>
      </c>
      <c r="W25" s="262">
        <v>67.099999999999994</v>
      </c>
      <c r="X25" s="262">
        <v>61.5</v>
      </c>
      <c r="Y25" s="262">
        <v>208.7</v>
      </c>
      <c r="Z25" s="262">
        <v>28614</v>
      </c>
      <c r="AA25" s="262">
        <v>122</v>
      </c>
      <c r="AB25" s="262">
        <v>159.9</v>
      </c>
      <c r="AC25" s="262">
        <v>122.1</v>
      </c>
    </row>
    <row r="26" spans="1:29" x14ac:dyDescent="0.2">
      <c r="A26" s="200">
        <v>41183</v>
      </c>
      <c r="B26" s="343">
        <v>43218262.50000003</v>
      </c>
      <c r="C26" s="348">
        <v>48054</v>
      </c>
      <c r="D26" s="261"/>
      <c r="E26" s="261"/>
      <c r="F26" s="261">
        <v>3074705.4200000004</v>
      </c>
      <c r="G26" s="261"/>
      <c r="H26" s="343">
        <f t="shared" si="0"/>
        <v>40191611.080000028</v>
      </c>
      <c r="I26" s="155"/>
      <c r="J26" s="262">
        <v>227.4</v>
      </c>
      <c r="K26" s="262">
        <v>0.8</v>
      </c>
      <c r="L26" s="262">
        <v>682107.67071914475</v>
      </c>
      <c r="M26" s="255"/>
      <c r="N26" s="255">
        <v>31</v>
      </c>
      <c r="O26" s="262">
        <v>1</v>
      </c>
      <c r="P26" s="262">
        <v>134.6</v>
      </c>
      <c r="Q26" s="262">
        <v>6.3</v>
      </c>
      <c r="R26" s="262">
        <v>62</v>
      </c>
      <c r="S26" s="262">
        <v>58</v>
      </c>
      <c r="T26" s="262">
        <v>78.099999999999994</v>
      </c>
      <c r="U26" s="262">
        <v>339.5</v>
      </c>
      <c r="V26" s="262">
        <v>8</v>
      </c>
      <c r="W26" s="262">
        <v>66.599999999999994</v>
      </c>
      <c r="X26" s="262">
        <v>61.2</v>
      </c>
      <c r="Y26" s="262">
        <v>207.9</v>
      </c>
      <c r="Z26" s="262">
        <v>28631</v>
      </c>
      <c r="AA26" s="262">
        <v>122.2</v>
      </c>
      <c r="AB26" s="262">
        <v>157.80000000000001</v>
      </c>
      <c r="AC26" s="262">
        <v>122.3</v>
      </c>
    </row>
    <row r="27" spans="1:29" x14ac:dyDescent="0.2">
      <c r="A27" s="200">
        <v>41214</v>
      </c>
      <c r="B27" s="343">
        <v>44348257.809999987</v>
      </c>
      <c r="C27" s="348">
        <v>33605</v>
      </c>
      <c r="D27" s="261"/>
      <c r="E27" s="261"/>
      <c r="F27" s="261">
        <v>1835291.76</v>
      </c>
      <c r="G27" s="261"/>
      <c r="H27" s="343">
        <f t="shared" si="0"/>
        <v>42546571.04999999</v>
      </c>
      <c r="I27" s="155"/>
      <c r="J27" s="262">
        <v>432.4</v>
      </c>
      <c r="K27" s="262">
        <v>0</v>
      </c>
      <c r="L27" s="262">
        <v>690286.42655307334</v>
      </c>
      <c r="M27" s="255"/>
      <c r="N27" s="255">
        <v>30</v>
      </c>
      <c r="O27" s="262">
        <v>1</v>
      </c>
      <c r="P27" s="262">
        <v>134.6</v>
      </c>
      <c r="Q27" s="262">
        <v>6.3</v>
      </c>
      <c r="R27" s="262">
        <v>62.4</v>
      </c>
      <c r="S27" s="262">
        <v>58.5</v>
      </c>
      <c r="T27" s="262">
        <v>78.7</v>
      </c>
      <c r="U27" s="262">
        <v>339.6</v>
      </c>
      <c r="V27" s="262">
        <v>7.3</v>
      </c>
      <c r="W27" s="262">
        <v>64.8</v>
      </c>
      <c r="X27" s="262">
        <v>60.1</v>
      </c>
      <c r="Y27" s="262">
        <v>204</v>
      </c>
      <c r="Z27" s="262">
        <v>28647</v>
      </c>
      <c r="AA27" s="262">
        <v>121.9</v>
      </c>
      <c r="AB27" s="262">
        <v>154.30000000000001</v>
      </c>
      <c r="AC27" s="262">
        <v>122</v>
      </c>
    </row>
    <row r="28" spans="1:29" ht="13.5" customHeight="1" x14ac:dyDescent="0.2">
      <c r="A28" s="200">
        <v>41244</v>
      </c>
      <c r="B28" s="343">
        <v>45574164.490000024</v>
      </c>
      <c r="C28" s="348">
        <v>27883</v>
      </c>
      <c r="D28" s="261"/>
      <c r="E28" s="261"/>
      <c r="F28" s="261">
        <v>1027113.84</v>
      </c>
      <c r="G28" s="261"/>
      <c r="H28" s="343">
        <f t="shared" si="0"/>
        <v>44574933.650000021</v>
      </c>
      <c r="I28" s="155"/>
      <c r="J28" s="262">
        <v>505.1</v>
      </c>
      <c r="K28" s="262">
        <v>0</v>
      </c>
      <c r="L28" s="262">
        <v>698465.18238700193</v>
      </c>
      <c r="M28" s="255"/>
      <c r="N28" s="255">
        <v>31</v>
      </c>
      <c r="O28" s="262">
        <v>0</v>
      </c>
      <c r="P28" s="262">
        <v>134.69999999999999</v>
      </c>
      <c r="Q28" s="262">
        <v>6.5</v>
      </c>
      <c r="R28" s="262">
        <v>63</v>
      </c>
      <c r="S28" s="262">
        <v>58.9</v>
      </c>
      <c r="T28" s="262">
        <v>79.400000000000006</v>
      </c>
      <c r="U28" s="262">
        <v>339.8</v>
      </c>
      <c r="V28" s="262">
        <v>7.3</v>
      </c>
      <c r="W28" s="262">
        <v>63.7</v>
      </c>
      <c r="X28" s="262">
        <v>59</v>
      </c>
      <c r="Y28" s="262">
        <v>200.5</v>
      </c>
      <c r="Z28" s="262">
        <v>28658</v>
      </c>
      <c r="AA28" s="262">
        <v>121.3</v>
      </c>
      <c r="AB28" s="262">
        <v>152.80000000000001</v>
      </c>
      <c r="AC28" s="262">
        <v>121.4</v>
      </c>
    </row>
    <row r="29" spans="1:29" x14ac:dyDescent="0.2">
      <c r="A29" s="200">
        <v>41275</v>
      </c>
      <c r="B29" s="343">
        <v>50854515.269999981</v>
      </c>
      <c r="C29" s="348">
        <v>13133</v>
      </c>
      <c r="D29" s="261"/>
      <c r="E29" s="261"/>
      <c r="F29" s="261">
        <v>2775591.3400000012</v>
      </c>
      <c r="G29" s="261"/>
      <c r="H29" s="343">
        <f t="shared" si="0"/>
        <v>48092056.929999977</v>
      </c>
      <c r="I29" s="155"/>
      <c r="J29" s="262">
        <v>617.29999999999995</v>
      </c>
      <c r="K29" s="262">
        <v>0</v>
      </c>
      <c r="L29" s="262">
        <v>713105.6171101057</v>
      </c>
      <c r="M29" s="255"/>
      <c r="N29" s="255">
        <v>31</v>
      </c>
      <c r="O29" s="262">
        <v>0</v>
      </c>
      <c r="P29" s="262">
        <v>134.80000000000001</v>
      </c>
      <c r="Q29" s="262">
        <v>6.5</v>
      </c>
      <c r="R29" s="262">
        <v>64.099999999999994</v>
      </c>
      <c r="S29" s="262">
        <v>59.9</v>
      </c>
      <c r="T29" s="262">
        <v>80.7</v>
      </c>
      <c r="U29" s="262">
        <v>339.9</v>
      </c>
      <c r="V29" s="262">
        <v>7.5</v>
      </c>
      <c r="W29" s="262">
        <v>62.7</v>
      </c>
      <c r="X29" s="262">
        <v>58.1</v>
      </c>
      <c r="Y29" s="262">
        <v>197.4</v>
      </c>
      <c r="Z29" s="262">
        <v>28708</v>
      </c>
      <c r="AA29" s="262">
        <v>121.3</v>
      </c>
      <c r="AB29" s="262">
        <v>155.1</v>
      </c>
      <c r="AC29" s="262">
        <v>121.5</v>
      </c>
    </row>
    <row r="30" spans="1:29" x14ac:dyDescent="0.2">
      <c r="A30" s="200">
        <v>41306</v>
      </c>
      <c r="B30" s="343">
        <v>45891597.809999987</v>
      </c>
      <c r="C30" s="348">
        <v>22256</v>
      </c>
      <c r="D30" s="261"/>
      <c r="E30" s="261"/>
      <c r="F30" s="261">
        <v>2498153.54</v>
      </c>
      <c r="G30" s="261"/>
      <c r="H30" s="343">
        <f t="shared" si="0"/>
        <v>43415700.269999988</v>
      </c>
      <c r="I30" s="155"/>
      <c r="J30" s="262">
        <v>640.1</v>
      </c>
      <c r="K30" s="262">
        <v>0</v>
      </c>
      <c r="L30" s="262">
        <v>727746.05183320947</v>
      </c>
      <c r="M30" s="255"/>
      <c r="N30" s="255">
        <v>28</v>
      </c>
      <c r="O30" s="262">
        <v>0</v>
      </c>
      <c r="P30" s="262">
        <v>135</v>
      </c>
      <c r="Q30" s="262">
        <v>6.6</v>
      </c>
      <c r="R30" s="262">
        <v>63.9</v>
      </c>
      <c r="S30" s="262">
        <v>59.8</v>
      </c>
      <c r="T30" s="262">
        <v>80.7</v>
      </c>
      <c r="U30" s="262">
        <v>340</v>
      </c>
      <c r="V30" s="262">
        <v>8.5</v>
      </c>
      <c r="W30" s="262">
        <v>62.7</v>
      </c>
      <c r="X30" s="262">
        <v>57.4</v>
      </c>
      <c r="Y30" s="262">
        <v>195.2</v>
      </c>
      <c r="Z30" s="262">
        <v>28707</v>
      </c>
      <c r="AA30" s="262">
        <v>122.8</v>
      </c>
      <c r="AB30" s="262">
        <v>161.30000000000001</v>
      </c>
      <c r="AC30" s="262">
        <v>122.9</v>
      </c>
    </row>
    <row r="31" spans="1:29" x14ac:dyDescent="0.2">
      <c r="A31" s="200">
        <v>41334</v>
      </c>
      <c r="B31" s="343">
        <v>45408057.419999965</v>
      </c>
      <c r="C31" s="348">
        <v>24940</v>
      </c>
      <c r="D31" s="261"/>
      <c r="E31" s="261"/>
      <c r="F31" s="261">
        <v>1912562.35</v>
      </c>
      <c r="G31" s="261"/>
      <c r="H31" s="343">
        <f t="shared" si="0"/>
        <v>43520435.069999963</v>
      </c>
      <c r="I31" s="155"/>
      <c r="J31" s="262">
        <v>555.4</v>
      </c>
      <c r="K31" s="262">
        <v>0</v>
      </c>
      <c r="L31" s="262">
        <v>742386.48655631323</v>
      </c>
      <c r="M31" s="255"/>
      <c r="N31" s="255">
        <v>31</v>
      </c>
      <c r="O31" s="262">
        <v>1</v>
      </c>
      <c r="P31" s="262">
        <v>135.1</v>
      </c>
      <c r="Q31" s="262">
        <v>7</v>
      </c>
      <c r="R31" s="262">
        <v>64.2</v>
      </c>
      <c r="S31" s="262">
        <v>59.7</v>
      </c>
      <c r="T31" s="262">
        <v>80.599999999999994</v>
      </c>
      <c r="U31" s="262">
        <v>340.1</v>
      </c>
      <c r="V31" s="262">
        <v>9.5</v>
      </c>
      <c r="W31" s="262">
        <v>62.8</v>
      </c>
      <c r="X31" s="262">
        <v>56.8</v>
      </c>
      <c r="Y31" s="262">
        <v>193.3</v>
      </c>
      <c r="Z31" s="262">
        <v>28697</v>
      </c>
      <c r="AA31" s="262">
        <v>123.2</v>
      </c>
      <c r="AB31" s="262">
        <v>160.9</v>
      </c>
      <c r="AC31" s="262">
        <v>123.3</v>
      </c>
    </row>
    <row r="32" spans="1:29" x14ac:dyDescent="0.2">
      <c r="A32" s="200">
        <v>41365</v>
      </c>
      <c r="B32" s="343">
        <v>40508542.919999994</v>
      </c>
      <c r="C32" s="348">
        <v>48383</v>
      </c>
      <c r="D32" s="261"/>
      <c r="E32" s="261"/>
      <c r="F32" s="261">
        <v>2263400.0999999996</v>
      </c>
      <c r="G32" s="261"/>
      <c r="H32" s="343">
        <f t="shared" si="0"/>
        <v>38293525.819999993</v>
      </c>
      <c r="I32" s="155"/>
      <c r="J32" s="262">
        <v>339.9</v>
      </c>
      <c r="K32" s="262">
        <v>0</v>
      </c>
      <c r="L32" s="262">
        <v>757026.921279417</v>
      </c>
      <c r="M32" s="255"/>
      <c r="N32" s="255">
        <v>30</v>
      </c>
      <c r="O32" s="262">
        <v>1</v>
      </c>
      <c r="P32" s="262">
        <v>135.19999999999999</v>
      </c>
      <c r="Q32" s="262">
        <v>6.6</v>
      </c>
      <c r="R32" s="262">
        <v>63.5</v>
      </c>
      <c r="S32" s="262">
        <v>59.3</v>
      </c>
      <c r="T32" s="262">
        <v>80.2</v>
      </c>
      <c r="U32" s="262">
        <v>340.3</v>
      </c>
      <c r="V32" s="262">
        <v>10</v>
      </c>
      <c r="W32" s="262">
        <v>62.6</v>
      </c>
      <c r="X32" s="262">
        <v>56.4</v>
      </c>
      <c r="Y32" s="262">
        <v>191.8</v>
      </c>
      <c r="Z32" s="262">
        <v>28661</v>
      </c>
      <c r="AA32" s="262">
        <v>122.9</v>
      </c>
      <c r="AB32" s="262">
        <v>157.30000000000001</v>
      </c>
      <c r="AC32" s="262">
        <v>123.1</v>
      </c>
    </row>
    <row r="33" spans="1:29" x14ac:dyDescent="0.2">
      <c r="A33" s="200">
        <v>41395</v>
      </c>
      <c r="B33" s="343">
        <v>40367332.749999978</v>
      </c>
      <c r="C33" s="348">
        <v>69606</v>
      </c>
      <c r="D33" s="261"/>
      <c r="E33" s="261"/>
      <c r="F33" s="261">
        <v>2489379.5099999998</v>
      </c>
      <c r="G33" s="261"/>
      <c r="H33" s="343">
        <f t="shared" si="0"/>
        <v>37947559.23999998</v>
      </c>
      <c r="I33" s="155"/>
      <c r="J33" s="262">
        <v>116.5</v>
      </c>
      <c r="K33" s="262">
        <v>24.2</v>
      </c>
      <c r="L33" s="262">
        <v>771667.35600252077</v>
      </c>
      <c r="M33" s="255"/>
      <c r="N33" s="255">
        <v>31</v>
      </c>
      <c r="O33" s="262">
        <v>1</v>
      </c>
      <c r="P33" s="262">
        <v>135.4</v>
      </c>
      <c r="Q33" s="262">
        <v>6.7</v>
      </c>
      <c r="R33" s="262">
        <v>63.7</v>
      </c>
      <c r="S33" s="262">
        <v>59.5</v>
      </c>
      <c r="T33" s="262">
        <v>80.599999999999994</v>
      </c>
      <c r="U33" s="262">
        <v>340.4</v>
      </c>
      <c r="V33" s="262">
        <v>9.1999999999999993</v>
      </c>
      <c r="W33" s="262">
        <v>63.2</v>
      </c>
      <c r="X33" s="262">
        <v>57.4</v>
      </c>
      <c r="Y33" s="262">
        <v>195.4</v>
      </c>
      <c r="Z33" s="262">
        <v>28653</v>
      </c>
      <c r="AA33" s="262">
        <v>123</v>
      </c>
      <c r="AB33" s="262">
        <v>157.80000000000001</v>
      </c>
      <c r="AC33" s="262">
        <v>123.2</v>
      </c>
    </row>
    <row r="34" spans="1:29" x14ac:dyDescent="0.2">
      <c r="A34" s="200">
        <v>41426</v>
      </c>
      <c r="B34" s="343">
        <v>41861470.480000004</v>
      </c>
      <c r="C34" s="348">
        <v>86177</v>
      </c>
      <c r="D34" s="261"/>
      <c r="E34" s="261"/>
      <c r="F34" s="261">
        <v>2389596.2000000002</v>
      </c>
      <c r="G34" s="261"/>
      <c r="H34" s="343">
        <f t="shared" si="0"/>
        <v>39558051.280000001</v>
      </c>
      <c r="I34" s="155"/>
      <c r="J34" s="262">
        <v>42.8</v>
      </c>
      <c r="K34" s="262">
        <v>48.5</v>
      </c>
      <c r="L34" s="262">
        <v>786307.79072562454</v>
      </c>
      <c r="M34" s="255"/>
      <c r="N34" s="255">
        <v>30</v>
      </c>
      <c r="O34" s="262">
        <v>0</v>
      </c>
      <c r="P34" s="262">
        <v>135.6</v>
      </c>
      <c r="Q34" s="262">
        <v>6.7</v>
      </c>
      <c r="R34" s="262">
        <v>64.599999999999994</v>
      </c>
      <c r="S34" s="262">
        <v>60.3</v>
      </c>
      <c r="T34" s="262">
        <v>81.7</v>
      </c>
      <c r="U34" s="262">
        <v>340.6</v>
      </c>
      <c r="V34" s="262">
        <v>7.9</v>
      </c>
      <c r="W34" s="262">
        <v>62.7</v>
      </c>
      <c r="X34" s="262">
        <v>57.8</v>
      </c>
      <c r="Y34" s="262">
        <v>196.8</v>
      </c>
      <c r="Z34" s="262">
        <v>28656</v>
      </c>
      <c r="AA34" s="262">
        <v>123.2</v>
      </c>
      <c r="AB34" s="262">
        <v>160</v>
      </c>
      <c r="AC34" s="262">
        <v>123.4</v>
      </c>
    </row>
    <row r="35" spans="1:29" x14ac:dyDescent="0.2">
      <c r="A35" s="200">
        <v>41456</v>
      </c>
      <c r="B35" s="343">
        <v>51710807.499999985</v>
      </c>
      <c r="C35" s="348">
        <v>77618</v>
      </c>
      <c r="D35" s="261"/>
      <c r="E35" s="261"/>
      <c r="F35" s="261">
        <v>3010588.7800000003</v>
      </c>
      <c r="G35" s="261"/>
      <c r="H35" s="343">
        <f t="shared" si="0"/>
        <v>48777836.719999984</v>
      </c>
      <c r="I35" s="155"/>
      <c r="J35" s="262">
        <v>5.5</v>
      </c>
      <c r="K35" s="262">
        <v>117</v>
      </c>
      <c r="L35" s="262">
        <v>800948.22544872831</v>
      </c>
      <c r="M35" s="255"/>
      <c r="N35" s="255">
        <v>31</v>
      </c>
      <c r="O35" s="262">
        <v>0</v>
      </c>
      <c r="P35" s="262">
        <v>135.80000000000001</v>
      </c>
      <c r="Q35" s="262">
        <v>7.2</v>
      </c>
      <c r="R35" s="262">
        <v>65.5</v>
      </c>
      <c r="S35" s="262">
        <v>60.8</v>
      </c>
      <c r="T35" s="262">
        <v>82.5</v>
      </c>
      <c r="U35" s="262">
        <v>340.8</v>
      </c>
      <c r="V35" s="262">
        <v>8</v>
      </c>
      <c r="W35" s="262">
        <v>63</v>
      </c>
      <c r="X35" s="262">
        <v>58</v>
      </c>
      <c r="Y35" s="262">
        <v>197.6</v>
      </c>
      <c r="Z35" s="262">
        <v>28691</v>
      </c>
      <c r="AA35" s="262">
        <v>123.4</v>
      </c>
      <c r="AB35" s="262">
        <v>164.6</v>
      </c>
      <c r="AC35" s="262">
        <v>123.6</v>
      </c>
    </row>
    <row r="36" spans="1:29" x14ac:dyDescent="0.2">
      <c r="A36" s="200">
        <v>41487</v>
      </c>
      <c r="B36" s="343">
        <v>47450772.329999983</v>
      </c>
      <c r="C36" s="348">
        <v>97119</v>
      </c>
      <c r="D36" s="261"/>
      <c r="E36" s="261"/>
      <c r="F36" s="261">
        <v>2616563.2200000002</v>
      </c>
      <c r="G36" s="261"/>
      <c r="H36" s="343">
        <f t="shared" si="0"/>
        <v>44931328.109999985</v>
      </c>
      <c r="I36" s="155"/>
      <c r="J36" s="262">
        <v>19.100000000000001</v>
      </c>
      <c r="K36" s="262">
        <v>113</v>
      </c>
      <c r="L36" s="262">
        <v>815588.66017183207</v>
      </c>
      <c r="M36" s="255"/>
      <c r="N36" s="255">
        <v>31</v>
      </c>
      <c r="O36" s="262">
        <v>0</v>
      </c>
      <c r="P36" s="262">
        <v>136.1</v>
      </c>
      <c r="Q36" s="262">
        <v>6.9</v>
      </c>
      <c r="R36" s="262">
        <v>65.900000000000006</v>
      </c>
      <c r="S36" s="262">
        <v>61.3</v>
      </c>
      <c r="T36" s="262">
        <v>83.4</v>
      </c>
      <c r="U36" s="262">
        <v>341.1</v>
      </c>
      <c r="V36" s="262">
        <v>8.5</v>
      </c>
      <c r="W36" s="262">
        <v>62.4</v>
      </c>
      <c r="X36" s="262">
        <v>57.1</v>
      </c>
      <c r="Y36" s="262">
        <v>194.9</v>
      </c>
      <c r="Z36" s="262">
        <v>28674</v>
      </c>
      <c r="AA36" s="262">
        <v>123.4</v>
      </c>
      <c r="AB36" s="262">
        <v>164.1</v>
      </c>
      <c r="AC36" s="262">
        <v>123.7</v>
      </c>
    </row>
    <row r="37" spans="1:29" x14ac:dyDescent="0.2">
      <c r="A37" s="200">
        <v>41518</v>
      </c>
      <c r="B37" s="343">
        <v>40219617.969999991</v>
      </c>
      <c r="C37" s="348">
        <v>95418</v>
      </c>
      <c r="D37" s="261"/>
      <c r="E37" s="261"/>
      <c r="F37" s="261">
        <v>1748189.04</v>
      </c>
      <c r="G37" s="261"/>
      <c r="H37" s="343">
        <f t="shared" si="0"/>
        <v>38566846.929999992</v>
      </c>
      <c r="I37" s="155"/>
      <c r="J37" s="262">
        <v>110.4</v>
      </c>
      <c r="K37" s="262">
        <v>22.9</v>
      </c>
      <c r="L37" s="262">
        <v>830229.09489493584</v>
      </c>
      <c r="M37" s="255"/>
      <c r="N37" s="255">
        <v>30</v>
      </c>
      <c r="O37" s="262">
        <v>1</v>
      </c>
      <c r="P37" s="262">
        <v>136.19999999999999</v>
      </c>
      <c r="Q37" s="262">
        <v>6.2</v>
      </c>
      <c r="R37" s="262">
        <v>65.900000000000006</v>
      </c>
      <c r="S37" s="262">
        <v>61.7</v>
      </c>
      <c r="T37" s="262">
        <v>84.1</v>
      </c>
      <c r="U37" s="262">
        <v>341.2</v>
      </c>
      <c r="V37" s="262">
        <v>8.8000000000000007</v>
      </c>
      <c r="W37" s="262">
        <v>61.7</v>
      </c>
      <c r="X37" s="262">
        <v>56.3</v>
      </c>
      <c r="Y37" s="262">
        <v>192</v>
      </c>
      <c r="Z37" s="262">
        <v>28700</v>
      </c>
      <c r="AA37" s="262">
        <v>123.5</v>
      </c>
      <c r="AB37" s="262">
        <v>164</v>
      </c>
      <c r="AC37" s="262">
        <v>123.8</v>
      </c>
    </row>
    <row r="38" spans="1:29" x14ac:dyDescent="0.2">
      <c r="A38" s="200">
        <v>41548</v>
      </c>
      <c r="B38" s="343">
        <v>40606721.039999992</v>
      </c>
      <c r="C38" s="348">
        <v>82365</v>
      </c>
      <c r="D38" s="261"/>
      <c r="E38" s="261"/>
      <c r="F38" s="261">
        <v>1629644.93</v>
      </c>
      <c r="G38" s="261"/>
      <c r="H38" s="343">
        <f t="shared" si="0"/>
        <v>39059441.109999992</v>
      </c>
      <c r="I38" s="155"/>
      <c r="J38" s="262">
        <v>211.5</v>
      </c>
      <c r="K38" s="262">
        <v>4.2</v>
      </c>
      <c r="L38" s="262">
        <v>844869.52961803961</v>
      </c>
      <c r="M38" s="255"/>
      <c r="N38" s="255">
        <v>31</v>
      </c>
      <c r="O38" s="262">
        <v>1</v>
      </c>
      <c r="P38" s="262">
        <v>136.19999999999999</v>
      </c>
      <c r="Q38" s="262">
        <v>5.8</v>
      </c>
      <c r="R38" s="262">
        <v>66.3</v>
      </c>
      <c r="S38" s="262">
        <v>62.5</v>
      </c>
      <c r="T38" s="262">
        <v>85.1</v>
      </c>
      <c r="U38" s="262">
        <v>341.4</v>
      </c>
      <c r="V38" s="262">
        <v>8</v>
      </c>
      <c r="W38" s="262">
        <v>61.2</v>
      </c>
      <c r="X38" s="262">
        <v>56.3</v>
      </c>
      <c r="Y38" s="262">
        <v>192.2</v>
      </c>
      <c r="Z38" s="262">
        <v>28700</v>
      </c>
      <c r="AA38" s="262">
        <v>123.3</v>
      </c>
      <c r="AB38" s="262">
        <v>158.69999999999999</v>
      </c>
      <c r="AC38" s="262">
        <v>123.7</v>
      </c>
    </row>
    <row r="39" spans="1:29" x14ac:dyDescent="0.2">
      <c r="A39" s="200">
        <v>41579</v>
      </c>
      <c r="B39" s="343">
        <v>41891121.289999954</v>
      </c>
      <c r="C39" s="348">
        <v>65947</v>
      </c>
      <c r="D39" s="261"/>
      <c r="E39" s="261"/>
      <c r="F39" s="261">
        <v>645897.6</v>
      </c>
      <c r="G39" s="261"/>
      <c r="H39" s="343">
        <f t="shared" si="0"/>
        <v>41311170.689999953</v>
      </c>
      <c r="I39" s="155"/>
      <c r="J39" s="262">
        <v>460.7</v>
      </c>
      <c r="K39" s="262">
        <v>0</v>
      </c>
      <c r="L39" s="262">
        <v>859509.96434114338</v>
      </c>
      <c r="M39" s="255"/>
      <c r="N39" s="255">
        <v>30</v>
      </c>
      <c r="O39" s="262">
        <v>1</v>
      </c>
      <c r="P39" s="262">
        <v>136.30000000000001</v>
      </c>
      <c r="Q39" s="262">
        <v>5.3</v>
      </c>
      <c r="R39" s="262">
        <v>66</v>
      </c>
      <c r="S39" s="262">
        <v>62.4</v>
      </c>
      <c r="T39" s="262">
        <v>85.1</v>
      </c>
      <c r="U39" s="262">
        <v>341.5</v>
      </c>
      <c r="V39" s="262">
        <v>7.9</v>
      </c>
      <c r="W39" s="262">
        <v>60.8</v>
      </c>
      <c r="X39" s="262">
        <v>56</v>
      </c>
      <c r="Y39" s="262">
        <v>191.1</v>
      </c>
      <c r="Z39" s="262">
        <v>28704</v>
      </c>
      <c r="AA39" s="262">
        <v>123.3</v>
      </c>
      <c r="AB39" s="262">
        <v>159.9</v>
      </c>
      <c r="AC39" s="262">
        <v>123.6</v>
      </c>
    </row>
    <row r="40" spans="1:29" x14ac:dyDescent="0.2">
      <c r="A40" s="200">
        <v>41609</v>
      </c>
      <c r="B40" s="343">
        <v>46416068.759999998</v>
      </c>
      <c r="C40" s="348">
        <v>42206</v>
      </c>
      <c r="D40" s="261"/>
      <c r="E40" s="261"/>
      <c r="F40" s="261">
        <v>158196.21000000002</v>
      </c>
      <c r="G40" s="261"/>
      <c r="H40" s="343">
        <f t="shared" si="0"/>
        <v>46300078.549999997</v>
      </c>
      <c r="I40" s="155"/>
      <c r="J40" s="262">
        <v>656.4</v>
      </c>
      <c r="K40" s="262">
        <v>0</v>
      </c>
      <c r="L40" s="262">
        <v>874150.39906424715</v>
      </c>
      <c r="M40" s="255"/>
      <c r="N40" s="255">
        <v>31</v>
      </c>
      <c r="O40" s="262">
        <v>0</v>
      </c>
      <c r="P40" s="262">
        <v>136.4</v>
      </c>
      <c r="Q40" s="262">
        <v>5.5</v>
      </c>
      <c r="R40" s="262">
        <v>65.2</v>
      </c>
      <c r="S40" s="262">
        <v>61.7</v>
      </c>
      <c r="T40" s="262">
        <v>84.1</v>
      </c>
      <c r="U40" s="262">
        <v>341.6</v>
      </c>
      <c r="V40" s="262">
        <v>8.3000000000000007</v>
      </c>
      <c r="W40" s="262">
        <v>61.4</v>
      </c>
      <c r="X40" s="262">
        <v>56.2</v>
      </c>
      <c r="Y40" s="262">
        <v>192.1</v>
      </c>
      <c r="Z40" s="262">
        <v>28722</v>
      </c>
      <c r="AA40" s="262">
        <v>123.1</v>
      </c>
      <c r="AB40" s="262">
        <v>162.4</v>
      </c>
      <c r="AC40" s="262">
        <v>123.4</v>
      </c>
    </row>
    <row r="41" spans="1:29" x14ac:dyDescent="0.2">
      <c r="A41" s="200">
        <v>41640</v>
      </c>
      <c r="B41" s="343">
        <v>52863793.569999993</v>
      </c>
      <c r="C41" s="348">
        <v>23770</v>
      </c>
      <c r="D41" s="261"/>
      <c r="E41" s="261"/>
      <c r="F41" s="261">
        <v>2391039.06</v>
      </c>
      <c r="G41" s="261"/>
      <c r="H41" s="343">
        <f t="shared" si="0"/>
        <v>50496524.50999999</v>
      </c>
      <c r="I41" s="155"/>
      <c r="J41" s="262">
        <v>783.2</v>
      </c>
      <c r="K41" s="262">
        <v>0</v>
      </c>
      <c r="L41" s="262">
        <v>893476.07499423646</v>
      </c>
      <c r="M41" s="255"/>
      <c r="N41" s="255">
        <v>31</v>
      </c>
      <c r="O41" s="262">
        <v>0</v>
      </c>
      <c r="P41" s="262">
        <v>136.5</v>
      </c>
      <c r="Q41" s="262">
        <v>6.1</v>
      </c>
      <c r="R41" s="262">
        <v>64.400000000000006</v>
      </c>
      <c r="S41" s="262">
        <v>60.4</v>
      </c>
      <c r="T41" s="262">
        <v>82.5</v>
      </c>
      <c r="U41" s="262">
        <v>341.7</v>
      </c>
      <c r="V41" s="262">
        <v>9.1</v>
      </c>
      <c r="W41" s="262">
        <v>61.3</v>
      </c>
      <c r="X41" s="262">
        <v>55.7</v>
      </c>
      <c r="Y41" s="262">
        <v>190.4</v>
      </c>
      <c r="Z41" s="262">
        <v>28748</v>
      </c>
      <c r="AA41" s="262">
        <v>123.3</v>
      </c>
      <c r="AB41" s="262">
        <v>162.4</v>
      </c>
      <c r="AC41" s="262">
        <v>123.7</v>
      </c>
    </row>
    <row r="42" spans="1:29" x14ac:dyDescent="0.2">
      <c r="A42" s="200">
        <v>41671</v>
      </c>
      <c r="B42" s="343">
        <v>46902074.210000008</v>
      </c>
      <c r="C42" s="348">
        <v>32628</v>
      </c>
      <c r="D42" s="261"/>
      <c r="E42" s="261"/>
      <c r="F42" s="261">
        <v>2375222.21</v>
      </c>
      <c r="G42" s="261"/>
      <c r="H42" s="343">
        <f t="shared" si="0"/>
        <v>44559480.000000007</v>
      </c>
      <c r="I42" s="155"/>
      <c r="J42" s="262">
        <v>743.7</v>
      </c>
      <c r="K42" s="262">
        <v>0</v>
      </c>
      <c r="L42" s="262">
        <v>912801.75092422578</v>
      </c>
      <c r="M42" s="255"/>
      <c r="N42" s="255">
        <v>28</v>
      </c>
      <c r="O42" s="262">
        <v>0</v>
      </c>
      <c r="P42" s="262">
        <v>136.6</v>
      </c>
      <c r="Q42" s="262">
        <v>6.3</v>
      </c>
      <c r="R42" s="262">
        <v>64.099999999999994</v>
      </c>
      <c r="S42" s="262">
        <v>60.1</v>
      </c>
      <c r="T42" s="262">
        <v>82.1</v>
      </c>
      <c r="U42" s="262">
        <v>341.7</v>
      </c>
      <c r="V42" s="262">
        <v>9.4</v>
      </c>
      <c r="W42" s="262">
        <v>61.9</v>
      </c>
      <c r="X42" s="262">
        <v>56.1</v>
      </c>
      <c r="Y42" s="262">
        <v>191.6</v>
      </c>
      <c r="Z42" s="262">
        <v>28744</v>
      </c>
      <c r="AA42" s="262">
        <v>124.6</v>
      </c>
      <c r="AB42" s="262">
        <v>165.1</v>
      </c>
      <c r="AC42" s="262">
        <v>125</v>
      </c>
    </row>
    <row r="43" spans="1:29" x14ac:dyDescent="0.2">
      <c r="A43" s="200">
        <v>41699</v>
      </c>
      <c r="B43" s="343">
        <v>49147286.989999995</v>
      </c>
      <c r="C43" s="348">
        <v>42989</v>
      </c>
      <c r="D43" s="261"/>
      <c r="E43" s="261"/>
      <c r="F43" s="261">
        <v>3357295.21</v>
      </c>
      <c r="G43" s="261"/>
      <c r="H43" s="343">
        <f t="shared" si="0"/>
        <v>45832980.779999994</v>
      </c>
      <c r="I43" s="155"/>
      <c r="J43" s="262">
        <v>692.3</v>
      </c>
      <c r="K43" s="262">
        <v>0</v>
      </c>
      <c r="L43" s="262">
        <v>932127.4268542151</v>
      </c>
      <c r="M43" s="255"/>
      <c r="N43" s="255">
        <v>31</v>
      </c>
      <c r="O43" s="262">
        <v>1</v>
      </c>
      <c r="P43" s="262">
        <v>136.69999999999999</v>
      </c>
      <c r="Q43" s="262">
        <v>6.8</v>
      </c>
      <c r="R43" s="262">
        <v>64.2</v>
      </c>
      <c r="S43" s="262">
        <v>59.8</v>
      </c>
      <c r="T43" s="262">
        <v>81.8</v>
      </c>
      <c r="U43" s="262">
        <v>341.8</v>
      </c>
      <c r="V43" s="262">
        <v>9.4</v>
      </c>
      <c r="W43" s="262">
        <v>62.1</v>
      </c>
      <c r="X43" s="262">
        <v>56.2</v>
      </c>
      <c r="Y43" s="262">
        <v>192.2</v>
      </c>
      <c r="Z43" s="262">
        <v>28756</v>
      </c>
      <c r="AA43" s="262">
        <v>125.1</v>
      </c>
      <c r="AB43" s="262">
        <v>165.9</v>
      </c>
      <c r="AC43" s="262">
        <v>125.5</v>
      </c>
    </row>
    <row r="44" spans="1:29" x14ac:dyDescent="0.2">
      <c r="A44" s="200">
        <v>41730</v>
      </c>
      <c r="B44" s="343">
        <v>41905954.449999988</v>
      </c>
      <c r="C44" s="348">
        <v>95708</v>
      </c>
      <c r="D44" s="261"/>
      <c r="E44" s="261"/>
      <c r="F44" s="261">
        <v>3611734.43</v>
      </c>
      <c r="G44" s="261"/>
      <c r="H44" s="343">
        <f t="shared" si="0"/>
        <v>38389928.019999988</v>
      </c>
      <c r="I44" s="155"/>
      <c r="J44" s="262">
        <v>338.4</v>
      </c>
      <c r="K44" s="262">
        <v>0</v>
      </c>
      <c r="L44" s="262">
        <v>951453.10278420441</v>
      </c>
      <c r="M44" s="255"/>
      <c r="N44" s="255">
        <v>30</v>
      </c>
      <c r="O44" s="262">
        <v>1</v>
      </c>
      <c r="P44" s="262">
        <v>136.80000000000001</v>
      </c>
      <c r="Q44" s="262">
        <v>6.9</v>
      </c>
      <c r="R44" s="262">
        <v>64.400000000000006</v>
      </c>
      <c r="S44" s="262">
        <v>59.9</v>
      </c>
      <c r="T44" s="262">
        <v>82</v>
      </c>
      <c r="U44" s="262">
        <v>341.9</v>
      </c>
      <c r="V44" s="262">
        <v>9.1999999999999993</v>
      </c>
      <c r="W44" s="262">
        <v>62.3</v>
      </c>
      <c r="X44" s="262">
        <v>56.6</v>
      </c>
      <c r="Y44" s="262">
        <v>193.4</v>
      </c>
      <c r="Z44" s="262">
        <v>28739</v>
      </c>
      <c r="AA44" s="262">
        <v>125.9</v>
      </c>
      <c r="AB44" s="262">
        <v>176.4</v>
      </c>
      <c r="AC44" s="262">
        <v>126.4</v>
      </c>
    </row>
    <row r="45" spans="1:29" x14ac:dyDescent="0.2">
      <c r="A45" s="200">
        <v>41760</v>
      </c>
      <c r="B45" s="343">
        <v>40009171.760000005</v>
      </c>
      <c r="C45" s="348">
        <v>124993</v>
      </c>
      <c r="D45" s="261"/>
      <c r="E45" s="261"/>
      <c r="F45" s="261">
        <v>3178846.3899999997</v>
      </c>
      <c r="G45" s="261"/>
      <c r="H45" s="343">
        <f t="shared" si="0"/>
        <v>36955318.370000005</v>
      </c>
      <c r="I45" s="155"/>
      <c r="J45" s="262">
        <v>147.69999999999999</v>
      </c>
      <c r="K45" s="262">
        <v>7.3</v>
      </c>
      <c r="L45" s="262">
        <v>970778.77871419373</v>
      </c>
      <c r="M45" s="255"/>
      <c r="N45" s="255">
        <v>31</v>
      </c>
      <c r="O45" s="262">
        <v>1</v>
      </c>
      <c r="P45" s="262">
        <v>136.9</v>
      </c>
      <c r="Q45" s="262">
        <v>7.3</v>
      </c>
      <c r="R45" s="262">
        <v>65.2</v>
      </c>
      <c r="S45" s="262">
        <v>60.5</v>
      </c>
      <c r="T45" s="262">
        <v>82.8</v>
      </c>
      <c r="U45" s="262">
        <v>342</v>
      </c>
      <c r="V45" s="262">
        <v>8.5</v>
      </c>
      <c r="W45" s="262">
        <v>62.5</v>
      </c>
      <c r="X45" s="262">
        <v>57.2</v>
      </c>
      <c r="Y45" s="262">
        <v>195.7</v>
      </c>
      <c r="Z45" s="262">
        <v>28715</v>
      </c>
      <c r="AA45" s="262">
        <v>126.5</v>
      </c>
      <c r="AB45" s="262">
        <v>178.3</v>
      </c>
      <c r="AC45" s="262">
        <v>127</v>
      </c>
    </row>
    <row r="46" spans="1:29" x14ac:dyDescent="0.2">
      <c r="A46" s="200">
        <v>41791</v>
      </c>
      <c r="B46" s="343">
        <v>45061481.739999995</v>
      </c>
      <c r="C46" s="348">
        <v>139742</v>
      </c>
      <c r="D46" s="261"/>
      <c r="E46" s="261"/>
      <c r="F46" s="261">
        <v>4457667.67</v>
      </c>
      <c r="G46" s="261"/>
      <c r="H46" s="343">
        <f t="shared" si="0"/>
        <v>40743556.069999993</v>
      </c>
      <c r="I46" s="155"/>
      <c r="J46" s="262">
        <v>21.3</v>
      </c>
      <c r="K46" s="262">
        <v>69</v>
      </c>
      <c r="L46" s="262">
        <v>990104.45464418305</v>
      </c>
      <c r="M46" s="255"/>
      <c r="N46" s="255">
        <v>30</v>
      </c>
      <c r="O46" s="262">
        <v>0</v>
      </c>
      <c r="P46" s="262">
        <v>137.1</v>
      </c>
      <c r="Q46" s="262">
        <v>6.8</v>
      </c>
      <c r="R46" s="262">
        <v>65.3</v>
      </c>
      <c r="S46" s="262">
        <v>60.8</v>
      </c>
      <c r="T46" s="262">
        <v>83.4</v>
      </c>
      <c r="U46" s="262">
        <v>342.1</v>
      </c>
      <c r="V46" s="262">
        <v>7.6</v>
      </c>
      <c r="W46" s="262">
        <v>62.3</v>
      </c>
      <c r="X46" s="262">
        <v>57.6</v>
      </c>
      <c r="Y46" s="262">
        <v>197.1</v>
      </c>
      <c r="Z46" s="262">
        <v>28716</v>
      </c>
      <c r="AA46" s="262">
        <v>126.9</v>
      </c>
      <c r="AB46" s="262">
        <v>181</v>
      </c>
      <c r="AC46" s="262">
        <v>127.4</v>
      </c>
    </row>
    <row r="47" spans="1:29" x14ac:dyDescent="0.2">
      <c r="A47" s="200">
        <v>41821</v>
      </c>
      <c r="B47" s="343">
        <v>46747535.099999979</v>
      </c>
      <c r="C47" s="348">
        <v>176593</v>
      </c>
      <c r="D47" s="261"/>
      <c r="E47" s="261"/>
      <c r="F47" s="261">
        <v>2783074.3600000003</v>
      </c>
      <c r="G47" s="261"/>
      <c r="H47" s="343">
        <f t="shared" si="0"/>
        <v>44141053.73999998</v>
      </c>
      <c r="I47" s="155"/>
      <c r="J47" s="262">
        <v>13.7</v>
      </c>
      <c r="K47" s="262">
        <v>51</v>
      </c>
      <c r="L47" s="262">
        <v>1009430.1305741724</v>
      </c>
      <c r="M47" s="255"/>
      <c r="N47" s="255">
        <v>31</v>
      </c>
      <c r="O47" s="262">
        <v>0</v>
      </c>
      <c r="P47" s="262">
        <v>137.30000000000001</v>
      </c>
      <c r="Q47" s="262">
        <v>7</v>
      </c>
      <c r="R47" s="262">
        <v>65.3</v>
      </c>
      <c r="S47" s="262">
        <v>60.7</v>
      </c>
      <c r="T47" s="262">
        <v>83.4</v>
      </c>
      <c r="U47" s="262">
        <v>342.2</v>
      </c>
      <c r="V47" s="262">
        <v>7.4</v>
      </c>
      <c r="W47" s="262">
        <v>62.4</v>
      </c>
      <c r="X47" s="262">
        <v>57.8</v>
      </c>
      <c r="Y47" s="262">
        <v>197.9</v>
      </c>
      <c r="Z47" s="262">
        <v>28720</v>
      </c>
      <c r="AA47" s="262">
        <v>126.5</v>
      </c>
      <c r="AB47" s="262">
        <v>176.9</v>
      </c>
      <c r="AC47" s="262">
        <v>126.9</v>
      </c>
    </row>
    <row r="48" spans="1:29" x14ac:dyDescent="0.2">
      <c r="A48" s="200">
        <v>41852</v>
      </c>
      <c r="B48" s="343">
        <v>44915574.590000011</v>
      </c>
      <c r="C48" s="348">
        <v>151746</v>
      </c>
      <c r="D48" s="261"/>
      <c r="E48" s="261"/>
      <c r="F48" s="261">
        <v>1958968.9200000002</v>
      </c>
      <c r="G48" s="261"/>
      <c r="H48" s="343">
        <f t="shared" si="0"/>
        <v>43108351.670000009</v>
      </c>
      <c r="I48" s="155"/>
      <c r="J48" s="262">
        <v>12</v>
      </c>
      <c r="K48" s="262">
        <v>59</v>
      </c>
      <c r="L48" s="262">
        <v>1028755.8065041617</v>
      </c>
      <c r="M48" s="255"/>
      <c r="N48" s="255">
        <v>31</v>
      </c>
      <c r="O48" s="262">
        <v>0</v>
      </c>
      <c r="P48" s="262">
        <v>137.5</v>
      </c>
      <c r="Q48" s="262">
        <v>7.5</v>
      </c>
      <c r="R48" s="262">
        <v>64.599999999999994</v>
      </c>
      <c r="S48" s="262">
        <v>59.8</v>
      </c>
      <c r="T48" s="262">
        <v>82.2</v>
      </c>
      <c r="U48" s="262">
        <v>342.4</v>
      </c>
      <c r="V48" s="262">
        <v>7.6</v>
      </c>
      <c r="W48" s="262">
        <v>62.1</v>
      </c>
      <c r="X48" s="262">
        <v>57.4</v>
      </c>
      <c r="Y48" s="262">
        <v>196.7</v>
      </c>
      <c r="Z48" s="262">
        <v>28724</v>
      </c>
      <c r="AA48" s="262">
        <v>126.5</v>
      </c>
      <c r="AB48" s="262">
        <v>173.2</v>
      </c>
      <c r="AC48" s="262">
        <v>126.9</v>
      </c>
    </row>
    <row r="49" spans="1:29" x14ac:dyDescent="0.2">
      <c r="A49" s="200">
        <v>41883</v>
      </c>
      <c r="B49" s="343">
        <v>39557943.620000012</v>
      </c>
      <c r="C49" s="348">
        <v>151604</v>
      </c>
      <c r="D49" s="261"/>
      <c r="E49" s="261"/>
      <c r="F49" s="261">
        <v>1237230.8900000001</v>
      </c>
      <c r="G49" s="261"/>
      <c r="H49" s="343">
        <f t="shared" si="0"/>
        <v>38472316.730000012</v>
      </c>
      <c r="I49" s="155"/>
      <c r="J49" s="262">
        <v>85.3</v>
      </c>
      <c r="K49" s="262">
        <v>27.5</v>
      </c>
      <c r="L49" s="262">
        <v>1048081.482434151</v>
      </c>
      <c r="M49" s="255"/>
      <c r="N49" s="255">
        <v>30</v>
      </c>
      <c r="O49" s="262">
        <v>1</v>
      </c>
      <c r="P49" s="262">
        <v>137.5</v>
      </c>
      <c r="Q49" s="262">
        <v>7.7</v>
      </c>
      <c r="R49" s="262">
        <v>64</v>
      </c>
      <c r="S49" s="262">
        <v>59.1</v>
      </c>
      <c r="T49" s="262">
        <v>81.3</v>
      </c>
      <c r="U49" s="262">
        <v>342.5</v>
      </c>
      <c r="V49" s="262">
        <v>7.3</v>
      </c>
      <c r="W49" s="262">
        <v>61.8</v>
      </c>
      <c r="X49" s="262">
        <v>57.3</v>
      </c>
      <c r="Y49" s="262">
        <v>196.3</v>
      </c>
      <c r="Z49" s="262">
        <v>28750</v>
      </c>
      <c r="AA49" s="262">
        <v>126.7</v>
      </c>
      <c r="AB49" s="262">
        <v>171.8</v>
      </c>
      <c r="AC49" s="262">
        <v>127.2</v>
      </c>
    </row>
    <row r="50" spans="1:29" x14ac:dyDescent="0.2">
      <c r="A50" s="200">
        <v>41913</v>
      </c>
      <c r="B50" s="343">
        <v>39850442.429999992</v>
      </c>
      <c r="C50" s="348">
        <v>203900.84</v>
      </c>
      <c r="D50" s="261"/>
      <c r="E50" s="261"/>
      <c r="F50" s="261">
        <v>1857846.61</v>
      </c>
      <c r="G50" s="261"/>
      <c r="H50" s="343">
        <f t="shared" si="0"/>
        <v>38196496.659999996</v>
      </c>
      <c r="I50" s="155"/>
      <c r="J50" s="262">
        <v>225.1</v>
      </c>
      <c r="K50" s="262">
        <v>5.9</v>
      </c>
      <c r="L50" s="262">
        <v>1067407.1583641404</v>
      </c>
      <c r="M50" s="255"/>
      <c r="N50" s="255">
        <v>31</v>
      </c>
      <c r="O50" s="262">
        <v>1</v>
      </c>
      <c r="P50" s="262">
        <v>137.5</v>
      </c>
      <c r="Q50" s="262">
        <v>7.2</v>
      </c>
      <c r="R50" s="262">
        <v>62.8</v>
      </c>
      <c r="S50" s="262">
        <v>58.3</v>
      </c>
      <c r="T50" s="262">
        <v>80.099999999999994</v>
      </c>
      <c r="U50" s="262">
        <v>342.6</v>
      </c>
      <c r="V50" s="262">
        <v>6.5</v>
      </c>
      <c r="W50" s="262">
        <v>61.5</v>
      </c>
      <c r="X50" s="262">
        <v>57.5</v>
      </c>
      <c r="Y50" s="262">
        <v>197.1</v>
      </c>
      <c r="Z50" s="262">
        <v>28746</v>
      </c>
      <c r="AA50" s="262">
        <v>126.8</v>
      </c>
      <c r="AB50" s="262">
        <v>166.8</v>
      </c>
      <c r="AC50" s="262">
        <v>127.4</v>
      </c>
    </row>
    <row r="51" spans="1:29" x14ac:dyDescent="0.2">
      <c r="A51" s="200">
        <v>41944</v>
      </c>
      <c r="B51" s="343">
        <v>43491696.789999977</v>
      </c>
      <c r="C51" s="348">
        <v>141701.9</v>
      </c>
      <c r="D51" s="261"/>
      <c r="E51" s="261"/>
      <c r="F51" s="261">
        <v>2975014.2399999998</v>
      </c>
      <c r="G51" s="261"/>
      <c r="H51" s="343">
        <f t="shared" si="0"/>
        <v>40658384.449999973</v>
      </c>
      <c r="I51" s="155"/>
      <c r="J51" s="262">
        <v>465.7</v>
      </c>
      <c r="K51" s="262">
        <v>0</v>
      </c>
      <c r="L51" s="262">
        <v>1086732.8342941299</v>
      </c>
      <c r="M51" s="255"/>
      <c r="N51" s="255">
        <v>30</v>
      </c>
      <c r="O51" s="262">
        <v>1</v>
      </c>
      <c r="P51" s="262">
        <v>137.5</v>
      </c>
      <c r="Q51" s="262">
        <v>6.3</v>
      </c>
      <c r="R51" s="262">
        <v>61.4</v>
      </c>
      <c r="S51" s="262">
        <v>57.5</v>
      </c>
      <c r="T51" s="262">
        <v>79.099999999999994</v>
      </c>
      <c r="U51" s="262">
        <v>342.6</v>
      </c>
      <c r="V51" s="262">
        <v>5.8</v>
      </c>
      <c r="W51" s="262">
        <v>61.1</v>
      </c>
      <c r="X51" s="262">
        <v>57.6</v>
      </c>
      <c r="Y51" s="262">
        <v>197.2</v>
      </c>
      <c r="Z51" s="262">
        <v>28745</v>
      </c>
      <c r="AA51" s="262">
        <v>126.3</v>
      </c>
      <c r="AB51" s="262">
        <v>161.30000000000001</v>
      </c>
      <c r="AC51" s="262">
        <v>126.9</v>
      </c>
    </row>
    <row r="52" spans="1:29" x14ac:dyDescent="0.2">
      <c r="A52" s="200">
        <v>41974</v>
      </c>
      <c r="B52" s="343">
        <v>44870993.049999982</v>
      </c>
      <c r="C52" s="348">
        <v>98972</v>
      </c>
      <c r="D52" s="261"/>
      <c r="E52" s="261"/>
      <c r="F52" s="261">
        <v>1596430.3099999998</v>
      </c>
      <c r="G52" s="261"/>
      <c r="H52" s="343">
        <f t="shared" si="0"/>
        <v>43373534.73999998</v>
      </c>
      <c r="I52" s="155"/>
      <c r="J52" s="262">
        <v>540.79999999999995</v>
      </c>
      <c r="K52" s="262">
        <v>0</v>
      </c>
      <c r="L52" s="262">
        <v>1106058.5102241193</v>
      </c>
      <c r="M52" s="255"/>
      <c r="N52" s="255">
        <v>31</v>
      </c>
      <c r="O52" s="262">
        <v>0</v>
      </c>
      <c r="P52" s="262">
        <v>137.6</v>
      </c>
      <c r="Q52" s="262">
        <v>6</v>
      </c>
      <c r="R52" s="262">
        <v>61</v>
      </c>
      <c r="S52" s="262">
        <v>57.4</v>
      </c>
      <c r="T52" s="262">
        <v>79</v>
      </c>
      <c r="U52" s="262">
        <v>342.6</v>
      </c>
      <c r="V52" s="262">
        <v>6.4</v>
      </c>
      <c r="W52" s="262">
        <v>61.2</v>
      </c>
      <c r="X52" s="262">
        <v>57.2</v>
      </c>
      <c r="Y52" s="262">
        <v>196</v>
      </c>
      <c r="Z52" s="262">
        <v>28755</v>
      </c>
      <c r="AA52" s="262">
        <v>125.4</v>
      </c>
      <c r="AB52" s="262">
        <v>153.30000000000001</v>
      </c>
      <c r="AC52" s="262">
        <v>126.2</v>
      </c>
    </row>
    <row r="53" spans="1:29" x14ac:dyDescent="0.2">
      <c r="A53" s="200">
        <v>42005</v>
      </c>
      <c r="B53" s="343">
        <v>50100445.24000001</v>
      </c>
      <c r="C53" s="348">
        <v>79337.899999999994</v>
      </c>
      <c r="D53" s="261"/>
      <c r="E53" s="261"/>
      <c r="F53" s="261">
        <v>1842799.25</v>
      </c>
      <c r="G53" s="261"/>
      <c r="H53" s="343">
        <f t="shared" si="0"/>
        <v>48336983.890000008</v>
      </c>
      <c r="I53" s="155"/>
      <c r="J53" s="262">
        <v>771.7</v>
      </c>
      <c r="K53" s="262">
        <v>0</v>
      </c>
      <c r="L53" s="262">
        <v>1159263.6597949404</v>
      </c>
      <c r="M53" s="255"/>
      <c r="N53" s="255">
        <v>31</v>
      </c>
      <c r="O53" s="262">
        <v>0</v>
      </c>
      <c r="P53" s="262">
        <v>137.69999999999999</v>
      </c>
      <c r="Q53" s="262">
        <v>6</v>
      </c>
      <c r="R53" s="262">
        <v>61.6</v>
      </c>
      <c r="S53" s="262">
        <v>57.9</v>
      </c>
      <c r="T53" s="262">
        <v>79.7</v>
      </c>
      <c r="U53" s="262">
        <v>342.7</v>
      </c>
      <c r="V53" s="262">
        <v>7</v>
      </c>
      <c r="W53" s="262">
        <v>60.7</v>
      </c>
      <c r="X53" s="262">
        <v>56.5</v>
      </c>
      <c r="Y53" s="262">
        <v>193.5</v>
      </c>
      <c r="Z53" s="262">
        <v>28776</v>
      </c>
      <c r="AA53" s="262">
        <v>125.3</v>
      </c>
      <c r="AB53" s="262">
        <v>145</v>
      </c>
      <c r="AC53" s="262">
        <v>126.3</v>
      </c>
    </row>
    <row r="54" spans="1:29" x14ac:dyDescent="0.2">
      <c r="A54" s="200">
        <v>42036</v>
      </c>
      <c r="B54" s="343">
        <v>46271066.69000002</v>
      </c>
      <c r="C54" s="348">
        <v>87201.44</v>
      </c>
      <c r="D54" s="261"/>
      <c r="E54" s="261"/>
      <c r="F54" s="261">
        <v>552187.86</v>
      </c>
      <c r="G54" s="261"/>
      <c r="H54" s="343">
        <f t="shared" si="0"/>
        <v>45806080.270000018</v>
      </c>
      <c r="I54" s="155"/>
      <c r="J54" s="262">
        <v>871.9</v>
      </c>
      <c r="K54" s="262">
        <v>0</v>
      </c>
      <c r="L54" s="262">
        <v>1212468.8093657615</v>
      </c>
      <c r="M54" s="255"/>
      <c r="N54" s="255">
        <v>28</v>
      </c>
      <c r="O54" s="262">
        <v>0</v>
      </c>
      <c r="P54" s="262">
        <v>137.80000000000001</v>
      </c>
      <c r="Q54" s="262">
        <v>6.3</v>
      </c>
      <c r="R54" s="262">
        <v>61.8</v>
      </c>
      <c r="S54" s="262">
        <v>57.8</v>
      </c>
      <c r="T54" s="262">
        <v>79.599999999999994</v>
      </c>
      <c r="U54" s="262">
        <v>342.7</v>
      </c>
      <c r="V54" s="262">
        <v>7.6</v>
      </c>
      <c r="W54" s="262">
        <v>60.9</v>
      </c>
      <c r="X54" s="262">
        <v>56.3</v>
      </c>
      <c r="Y54" s="262">
        <v>192.8</v>
      </c>
      <c r="Z54" s="262">
        <v>28756</v>
      </c>
      <c r="AA54" s="262">
        <v>126.2</v>
      </c>
      <c r="AB54" s="262">
        <v>151.6</v>
      </c>
      <c r="AC54" s="262">
        <v>127.2</v>
      </c>
    </row>
    <row r="55" spans="1:29" x14ac:dyDescent="0.2">
      <c r="A55" s="200">
        <v>42064</v>
      </c>
      <c r="B55" s="343">
        <v>44501238.159999989</v>
      </c>
      <c r="C55" s="348">
        <v>36036.6</v>
      </c>
      <c r="D55" s="261"/>
      <c r="E55" s="261"/>
      <c r="F55" s="261">
        <v>70023.920000000013</v>
      </c>
      <c r="G55" s="261"/>
      <c r="H55" s="343">
        <f t="shared" si="0"/>
        <v>44467250.839999989</v>
      </c>
      <c r="I55" s="155"/>
      <c r="J55" s="262">
        <v>637</v>
      </c>
      <c r="K55" s="262">
        <v>0</v>
      </c>
      <c r="L55" s="262">
        <v>1265673.9589365826</v>
      </c>
      <c r="M55" s="255"/>
      <c r="N55" s="255">
        <v>31</v>
      </c>
      <c r="O55" s="262">
        <v>1</v>
      </c>
      <c r="P55" s="262">
        <v>137.9</v>
      </c>
      <c r="Q55" s="262">
        <v>6.7</v>
      </c>
      <c r="R55" s="262">
        <v>61.9</v>
      </c>
      <c r="S55" s="262">
        <v>57.8</v>
      </c>
      <c r="T55" s="262">
        <v>79.7</v>
      </c>
      <c r="U55" s="262">
        <v>342.8</v>
      </c>
      <c r="V55" s="262">
        <v>7.6</v>
      </c>
      <c r="W55" s="262">
        <v>61.6</v>
      </c>
      <c r="X55" s="262">
        <v>56.9</v>
      </c>
      <c r="Y55" s="262">
        <v>195</v>
      </c>
      <c r="Z55" s="262">
        <v>28748</v>
      </c>
      <c r="AA55" s="262">
        <v>127.1</v>
      </c>
      <c r="AB55" s="262">
        <v>155.9</v>
      </c>
      <c r="AC55" s="262">
        <v>127.9</v>
      </c>
    </row>
    <row r="56" spans="1:29" x14ac:dyDescent="0.2">
      <c r="A56" s="200">
        <v>42095</v>
      </c>
      <c r="B56" s="343">
        <v>37785791.490000002</v>
      </c>
      <c r="C56" s="348">
        <v>239731</v>
      </c>
      <c r="D56" s="261"/>
      <c r="E56" s="261"/>
      <c r="F56" s="261">
        <v>959193.41</v>
      </c>
      <c r="G56" s="261"/>
      <c r="H56" s="343">
        <f t="shared" si="0"/>
        <v>37066329.080000006</v>
      </c>
      <c r="I56" s="155"/>
      <c r="J56" s="262">
        <v>330</v>
      </c>
      <c r="K56" s="262">
        <v>0</v>
      </c>
      <c r="L56" s="262">
        <v>1318879.1085074036</v>
      </c>
      <c r="M56" s="255"/>
      <c r="N56" s="255">
        <v>30</v>
      </c>
      <c r="O56" s="262">
        <v>1</v>
      </c>
      <c r="P56" s="262">
        <v>138</v>
      </c>
      <c r="Q56" s="262">
        <v>7.2</v>
      </c>
      <c r="R56" s="262">
        <v>62.4</v>
      </c>
      <c r="S56" s="262">
        <v>57.9</v>
      </c>
      <c r="T56" s="262">
        <v>79.900000000000006</v>
      </c>
      <c r="U56" s="262">
        <v>342.8</v>
      </c>
      <c r="V56" s="262">
        <v>7.2</v>
      </c>
      <c r="W56" s="262">
        <v>62.3</v>
      </c>
      <c r="X56" s="262">
        <v>57.8</v>
      </c>
      <c r="Y56" s="262">
        <v>198.1</v>
      </c>
      <c r="Z56" s="262">
        <v>28733</v>
      </c>
      <c r="AA56" s="262">
        <v>126.9</v>
      </c>
      <c r="AB56" s="262">
        <v>152.5</v>
      </c>
      <c r="AC56" s="262">
        <v>127.7</v>
      </c>
    </row>
    <row r="57" spans="1:29" x14ac:dyDescent="0.2">
      <c r="A57" s="200">
        <v>42125</v>
      </c>
      <c r="B57" s="343">
        <v>36307057.780000001</v>
      </c>
      <c r="C57" s="348">
        <v>302185.09999999998</v>
      </c>
      <c r="D57" s="261"/>
      <c r="E57" s="261"/>
      <c r="F57" s="261">
        <v>48097.29</v>
      </c>
      <c r="G57" s="261"/>
      <c r="H57" s="343">
        <f t="shared" si="0"/>
        <v>36561145.590000004</v>
      </c>
      <c r="I57" s="155"/>
      <c r="J57" s="262">
        <v>102.7</v>
      </c>
      <c r="K57" s="262">
        <v>34.200000000000003</v>
      </c>
      <c r="L57" s="262">
        <v>1372084.2580782247</v>
      </c>
      <c r="M57" s="255"/>
      <c r="N57" s="255">
        <v>31</v>
      </c>
      <c r="O57" s="262">
        <v>1</v>
      </c>
      <c r="P57" s="262">
        <v>138</v>
      </c>
      <c r="Q57" s="262">
        <v>7</v>
      </c>
      <c r="R57" s="262">
        <v>63.9</v>
      </c>
      <c r="S57" s="262">
        <v>59.4</v>
      </c>
      <c r="T57" s="262">
        <v>82</v>
      </c>
      <c r="U57" s="262">
        <v>342.9</v>
      </c>
      <c r="V57" s="262">
        <v>6.6</v>
      </c>
      <c r="W57" s="262">
        <v>62.6</v>
      </c>
      <c r="X57" s="262">
        <v>58.5</v>
      </c>
      <c r="Y57" s="262">
        <v>200.6</v>
      </c>
      <c r="Z57" s="262">
        <v>28701</v>
      </c>
      <c r="AA57" s="262">
        <v>127.7</v>
      </c>
      <c r="AB57" s="262">
        <v>159.19999999999999</v>
      </c>
      <c r="AC57" s="262">
        <v>128.5</v>
      </c>
    </row>
    <row r="58" spans="1:29" x14ac:dyDescent="0.2">
      <c r="A58" s="200">
        <v>42156</v>
      </c>
      <c r="B58" s="343">
        <v>37811947.970000021</v>
      </c>
      <c r="C58" s="348">
        <v>384174.2</v>
      </c>
      <c r="D58" s="261"/>
      <c r="E58" s="261"/>
      <c r="F58" s="261">
        <v>39843</v>
      </c>
      <c r="G58" s="261"/>
      <c r="H58" s="343">
        <f t="shared" ref="H58:H121" si="1">B58+SUM(C58:E58)-SUM(F58:G58)</f>
        <v>38156279.170000024</v>
      </c>
      <c r="I58" s="155"/>
      <c r="J58" s="262">
        <v>35.9</v>
      </c>
      <c r="K58" s="262">
        <v>28.6</v>
      </c>
      <c r="L58" s="262">
        <v>1425289.4076490458</v>
      </c>
      <c r="M58" s="255"/>
      <c r="N58" s="255">
        <v>30</v>
      </c>
      <c r="O58" s="262">
        <v>0</v>
      </c>
      <c r="P58" s="262">
        <v>138.1</v>
      </c>
      <c r="Q58" s="262">
        <v>7.1</v>
      </c>
      <c r="R58" s="262">
        <v>65.2</v>
      </c>
      <c r="S58" s="262">
        <v>60.5</v>
      </c>
      <c r="T58" s="262">
        <v>83.6</v>
      </c>
      <c r="U58" s="262">
        <v>343</v>
      </c>
      <c r="V58" s="262">
        <v>5.8</v>
      </c>
      <c r="W58" s="262">
        <v>63.3</v>
      </c>
      <c r="X58" s="262">
        <v>59.6</v>
      </c>
      <c r="Y58" s="262">
        <v>204.5</v>
      </c>
      <c r="Z58" s="262">
        <v>28699</v>
      </c>
      <c r="AA58" s="262">
        <v>128.19999999999999</v>
      </c>
      <c r="AB58" s="262">
        <v>163.9</v>
      </c>
      <c r="AC58" s="262">
        <v>128.80000000000001</v>
      </c>
    </row>
    <row r="59" spans="1:29" x14ac:dyDescent="0.2">
      <c r="A59" s="200">
        <v>42186</v>
      </c>
      <c r="B59" s="343">
        <v>44310484.200000025</v>
      </c>
      <c r="C59" s="348">
        <v>322061.09999999998</v>
      </c>
      <c r="D59" s="261"/>
      <c r="E59" s="261"/>
      <c r="F59" s="261">
        <v>24418.15</v>
      </c>
      <c r="G59" s="261"/>
      <c r="H59" s="343">
        <f t="shared" si="1"/>
        <v>44608127.150000028</v>
      </c>
      <c r="I59" s="155"/>
      <c r="J59" s="262">
        <v>7.6</v>
      </c>
      <c r="K59" s="262">
        <v>79.099999999999994</v>
      </c>
      <c r="L59" s="262">
        <v>1478494.5572198669</v>
      </c>
      <c r="M59" s="255"/>
      <c r="N59" s="255">
        <v>31</v>
      </c>
      <c r="O59" s="262">
        <v>0</v>
      </c>
      <c r="P59" s="262">
        <v>138.30000000000001</v>
      </c>
      <c r="Q59" s="262">
        <v>7</v>
      </c>
      <c r="R59" s="262">
        <v>65.7</v>
      </c>
      <c r="S59" s="262">
        <v>61</v>
      </c>
      <c r="T59" s="262">
        <v>84.4</v>
      </c>
      <c r="U59" s="262">
        <v>343.1</v>
      </c>
      <c r="V59" s="262">
        <v>6</v>
      </c>
      <c r="W59" s="262">
        <v>65</v>
      </c>
      <c r="X59" s="262">
        <v>61.1</v>
      </c>
      <c r="Y59" s="262">
        <v>209.6</v>
      </c>
      <c r="Z59" s="262">
        <v>28743</v>
      </c>
      <c r="AA59" s="262">
        <v>128.4</v>
      </c>
      <c r="AB59" s="262">
        <v>167.7</v>
      </c>
      <c r="AC59" s="262">
        <v>129.19999999999999</v>
      </c>
    </row>
    <row r="60" spans="1:29" x14ac:dyDescent="0.2">
      <c r="A60" s="200">
        <v>42217</v>
      </c>
      <c r="B60" s="343">
        <v>43495493.139999993</v>
      </c>
      <c r="C60" s="348">
        <v>389722.1</v>
      </c>
      <c r="D60" s="261"/>
      <c r="E60" s="261"/>
      <c r="F60" s="261">
        <v>25350.880000000001</v>
      </c>
      <c r="G60" s="261"/>
      <c r="H60" s="343">
        <f t="shared" si="1"/>
        <v>43859864.359999992</v>
      </c>
      <c r="I60" s="155"/>
      <c r="J60" s="262">
        <v>12</v>
      </c>
      <c r="K60" s="262">
        <v>59</v>
      </c>
      <c r="L60" s="262">
        <v>1531699.706790688</v>
      </c>
      <c r="M60" s="255"/>
      <c r="N60" s="255">
        <v>31</v>
      </c>
      <c r="O60" s="262">
        <v>0</v>
      </c>
      <c r="P60" s="262">
        <v>138.5</v>
      </c>
      <c r="Q60" s="262">
        <v>7.4</v>
      </c>
      <c r="R60" s="262">
        <v>66.3</v>
      </c>
      <c r="S60" s="262">
        <v>61.4</v>
      </c>
      <c r="T60" s="262">
        <v>85</v>
      </c>
      <c r="U60" s="262">
        <v>343.3</v>
      </c>
      <c r="V60" s="262">
        <v>6.4</v>
      </c>
      <c r="W60" s="262">
        <v>65.7</v>
      </c>
      <c r="X60" s="262">
        <v>61.6</v>
      </c>
      <c r="Y60" s="262">
        <v>211.4</v>
      </c>
      <c r="Z60" s="262">
        <v>28760</v>
      </c>
      <c r="AA60" s="262">
        <v>128</v>
      </c>
      <c r="AB60" s="262">
        <v>161.80000000000001</v>
      </c>
      <c r="AC60" s="262">
        <v>128.69999999999999</v>
      </c>
    </row>
    <row r="61" spans="1:29" x14ac:dyDescent="0.2">
      <c r="A61" s="200">
        <v>42248</v>
      </c>
      <c r="B61" s="343">
        <v>41484817.669999972</v>
      </c>
      <c r="C61" s="348">
        <v>360690</v>
      </c>
      <c r="D61" s="261"/>
      <c r="E61" s="261"/>
      <c r="F61" s="261">
        <v>97516.58</v>
      </c>
      <c r="G61" s="261"/>
      <c r="H61" s="343">
        <f t="shared" si="1"/>
        <v>41747991.089999974</v>
      </c>
      <c r="I61" s="155"/>
      <c r="J61" s="262">
        <v>37</v>
      </c>
      <c r="K61" s="262">
        <v>54.4</v>
      </c>
      <c r="L61" s="262">
        <v>1584904.8563615091</v>
      </c>
      <c r="M61" s="255"/>
      <c r="N61" s="255">
        <v>30</v>
      </c>
      <c r="O61" s="262">
        <v>1</v>
      </c>
      <c r="P61" s="262">
        <v>138.6</v>
      </c>
      <c r="Q61" s="262">
        <v>7.3</v>
      </c>
      <c r="R61" s="262">
        <v>65.900000000000006</v>
      </c>
      <c r="S61" s="262">
        <v>61</v>
      </c>
      <c r="T61" s="262">
        <v>84.6</v>
      </c>
      <c r="U61" s="262">
        <v>343.4</v>
      </c>
      <c r="V61" s="262">
        <v>6.9</v>
      </c>
      <c r="W61" s="262">
        <v>65.8</v>
      </c>
      <c r="X61" s="262">
        <v>61.3</v>
      </c>
      <c r="Y61" s="262">
        <v>210.4</v>
      </c>
      <c r="Z61" s="262">
        <v>28792</v>
      </c>
      <c r="AA61" s="262">
        <v>127.8</v>
      </c>
      <c r="AB61" s="262">
        <v>155.19999999999999</v>
      </c>
      <c r="AC61" s="262">
        <v>129</v>
      </c>
    </row>
    <row r="62" spans="1:29" x14ac:dyDescent="0.2">
      <c r="A62" s="200">
        <v>42278</v>
      </c>
      <c r="B62" s="343">
        <v>38178097.399999984</v>
      </c>
      <c r="C62" s="348">
        <v>318799.09999999998</v>
      </c>
      <c r="D62" s="261"/>
      <c r="E62" s="261"/>
      <c r="F62" s="261">
        <v>1710463.4100000001</v>
      </c>
      <c r="G62" s="261"/>
      <c r="H62" s="343">
        <f t="shared" si="1"/>
        <v>36786433.089999989</v>
      </c>
      <c r="I62" s="155"/>
      <c r="J62" s="262">
        <v>252.3</v>
      </c>
      <c r="K62" s="262">
        <v>0.9</v>
      </c>
      <c r="L62" s="262">
        <v>1638110.0059323302</v>
      </c>
      <c r="M62" s="255"/>
      <c r="N62" s="255">
        <v>31</v>
      </c>
      <c r="O62" s="262">
        <v>1</v>
      </c>
      <c r="P62" s="262">
        <v>138.6</v>
      </c>
      <c r="Q62" s="262">
        <v>6.5</v>
      </c>
      <c r="R62" s="262">
        <v>65.7</v>
      </c>
      <c r="S62" s="262">
        <v>61.4</v>
      </c>
      <c r="T62" s="262">
        <v>85.1</v>
      </c>
      <c r="U62" s="262">
        <v>343.5</v>
      </c>
      <c r="V62" s="262">
        <v>6.8</v>
      </c>
      <c r="W62" s="262">
        <v>65.2</v>
      </c>
      <c r="X62" s="262">
        <v>60.7</v>
      </c>
      <c r="Y62" s="262">
        <v>208.5</v>
      </c>
      <c r="Z62" s="262">
        <v>28795</v>
      </c>
      <c r="AA62" s="262">
        <v>127.9</v>
      </c>
      <c r="AB62" s="262">
        <v>149.4</v>
      </c>
      <c r="AC62" s="262">
        <v>129</v>
      </c>
    </row>
    <row r="63" spans="1:29" x14ac:dyDescent="0.2">
      <c r="A63" s="200">
        <v>42309</v>
      </c>
      <c r="B63" s="343">
        <v>36946837.530000001</v>
      </c>
      <c r="C63" s="348">
        <v>226119.2</v>
      </c>
      <c r="D63" s="261"/>
      <c r="E63" s="261"/>
      <c r="F63" s="261">
        <v>14378.89</v>
      </c>
      <c r="G63" s="261"/>
      <c r="H63" s="343">
        <f t="shared" si="1"/>
        <v>37158577.840000004</v>
      </c>
      <c r="I63" s="155"/>
      <c r="J63" s="262">
        <v>341.4</v>
      </c>
      <c r="K63" s="262">
        <v>0</v>
      </c>
      <c r="L63" s="262">
        <v>1691315.1555031512</v>
      </c>
      <c r="M63" s="255"/>
      <c r="N63" s="255">
        <v>30</v>
      </c>
      <c r="O63" s="262">
        <v>1</v>
      </c>
      <c r="P63" s="262">
        <v>138.6</v>
      </c>
      <c r="Q63" s="262">
        <v>5.9</v>
      </c>
      <c r="R63" s="262">
        <v>64.599999999999994</v>
      </c>
      <c r="S63" s="262">
        <v>60.7</v>
      </c>
      <c r="T63" s="262">
        <v>84.1</v>
      </c>
      <c r="U63" s="262">
        <v>343.7</v>
      </c>
      <c r="V63" s="262">
        <v>7.1</v>
      </c>
      <c r="W63" s="262">
        <v>65</v>
      </c>
      <c r="X63" s="262">
        <v>60.4</v>
      </c>
      <c r="Y63" s="262">
        <v>207.7</v>
      </c>
      <c r="Z63" s="262">
        <v>28801</v>
      </c>
      <c r="AA63" s="262">
        <v>127.9</v>
      </c>
      <c r="AB63" s="262">
        <v>151.19999999999999</v>
      </c>
      <c r="AC63" s="262">
        <v>129.1</v>
      </c>
    </row>
    <row r="64" spans="1:29" x14ac:dyDescent="0.2">
      <c r="A64" s="200">
        <v>42339</v>
      </c>
      <c r="B64" s="343">
        <v>39604094.129999995</v>
      </c>
      <c r="C64" s="348">
        <v>179150.2</v>
      </c>
      <c r="D64" s="261"/>
      <c r="E64" s="261"/>
      <c r="F64" s="261">
        <v>13364.88</v>
      </c>
      <c r="G64" s="261"/>
      <c r="H64" s="343">
        <f t="shared" si="1"/>
        <v>39769879.449999996</v>
      </c>
      <c r="I64" s="155"/>
      <c r="J64" s="262">
        <v>418</v>
      </c>
      <c r="K64" s="262">
        <v>0</v>
      </c>
      <c r="L64" s="262">
        <v>1744520.3050739723</v>
      </c>
      <c r="M64" s="255"/>
      <c r="N64" s="255">
        <v>31</v>
      </c>
      <c r="O64" s="262">
        <v>0</v>
      </c>
      <c r="P64" s="262">
        <v>138.69999999999999</v>
      </c>
      <c r="Q64" s="262">
        <v>5.5</v>
      </c>
      <c r="R64" s="262">
        <v>64</v>
      </c>
      <c r="S64" s="262">
        <v>60.4</v>
      </c>
      <c r="T64" s="262">
        <v>83.8</v>
      </c>
      <c r="U64" s="262">
        <v>343.8</v>
      </c>
      <c r="V64" s="262">
        <v>7.7</v>
      </c>
      <c r="W64" s="262">
        <v>65</v>
      </c>
      <c r="X64" s="262">
        <v>60</v>
      </c>
      <c r="Y64" s="262">
        <v>206.4</v>
      </c>
      <c r="Z64" s="262">
        <v>28826</v>
      </c>
      <c r="AA64" s="262">
        <v>127.5</v>
      </c>
      <c r="AB64" s="262">
        <v>149.6</v>
      </c>
      <c r="AC64" s="262">
        <v>128.69999999999999</v>
      </c>
    </row>
    <row r="65" spans="1:29" x14ac:dyDescent="0.2">
      <c r="A65" s="200">
        <v>42370</v>
      </c>
      <c r="B65" s="343">
        <v>44500830.719999984</v>
      </c>
      <c r="C65" s="348">
        <v>79611.8</v>
      </c>
      <c r="D65" s="261"/>
      <c r="E65" s="261"/>
      <c r="F65" s="261">
        <v>32172.43</v>
      </c>
      <c r="G65" s="261"/>
      <c r="H65" s="343">
        <f t="shared" si="1"/>
        <v>44548270.089999981</v>
      </c>
      <c r="I65" s="155"/>
      <c r="J65" s="262">
        <v>657.2</v>
      </c>
      <c r="K65" s="262">
        <v>0</v>
      </c>
      <c r="L65" s="262">
        <v>1798539.3135523656</v>
      </c>
      <c r="M65" s="255"/>
      <c r="N65" s="255">
        <v>31</v>
      </c>
      <c r="O65" s="262">
        <v>0</v>
      </c>
      <c r="P65" s="262">
        <v>138.80000000000001</v>
      </c>
      <c r="Q65" s="262">
        <v>5.8</v>
      </c>
      <c r="R65" s="262">
        <v>63.7</v>
      </c>
      <c r="S65" s="262">
        <v>60</v>
      </c>
      <c r="T65" s="262">
        <v>83.3</v>
      </c>
      <c r="U65" s="262">
        <v>343.9</v>
      </c>
      <c r="V65" s="262">
        <v>9</v>
      </c>
      <c r="W65" s="262">
        <v>64.599999999999994</v>
      </c>
      <c r="X65" s="262">
        <v>58.8</v>
      </c>
      <c r="Y65" s="262">
        <v>202.3</v>
      </c>
      <c r="Z65" s="262">
        <v>28830</v>
      </c>
      <c r="AA65" s="262">
        <v>127.8</v>
      </c>
      <c r="AB65" s="262">
        <v>147</v>
      </c>
      <c r="AC65" s="262">
        <v>129</v>
      </c>
    </row>
    <row r="66" spans="1:29" x14ac:dyDescent="0.2">
      <c r="A66" s="200">
        <v>42401</v>
      </c>
      <c r="B66" s="343">
        <v>40982390.300000004</v>
      </c>
      <c r="C66" s="348">
        <v>188200.2</v>
      </c>
      <c r="D66" s="261"/>
      <c r="E66" s="261"/>
      <c r="F66" s="261">
        <v>12425.369999999999</v>
      </c>
      <c r="G66" s="261"/>
      <c r="H66" s="343">
        <f t="shared" si="1"/>
        <v>41158165.13000001</v>
      </c>
      <c r="I66" s="155"/>
      <c r="J66" s="262">
        <v>587.1</v>
      </c>
      <c r="K66" s="262">
        <v>0</v>
      </c>
      <c r="L66" s="262">
        <v>1852558.322030759</v>
      </c>
      <c r="M66" s="255"/>
      <c r="N66" s="404">
        <v>29</v>
      </c>
      <c r="O66" s="262">
        <v>0</v>
      </c>
      <c r="P66" s="262">
        <v>138.9</v>
      </c>
      <c r="Q66" s="262">
        <v>5.6</v>
      </c>
      <c r="R66" s="262">
        <v>63.4</v>
      </c>
      <c r="S66" s="262">
        <v>59.9</v>
      </c>
      <c r="T66" s="262">
        <v>83.2</v>
      </c>
      <c r="U66" s="262">
        <v>344</v>
      </c>
      <c r="V66" s="262">
        <v>9.3000000000000007</v>
      </c>
      <c r="W66" s="262">
        <v>64.599999999999994</v>
      </c>
      <c r="X66" s="262">
        <v>58.6</v>
      </c>
      <c r="Y66" s="262">
        <v>201.5</v>
      </c>
      <c r="Z66" s="262">
        <v>28843</v>
      </c>
      <c r="AA66" s="262">
        <v>128.19999999999999</v>
      </c>
      <c r="AB66" s="262">
        <v>143</v>
      </c>
      <c r="AC66" s="262">
        <v>129.4</v>
      </c>
    </row>
    <row r="67" spans="1:29" x14ac:dyDescent="0.2">
      <c r="A67" s="200">
        <v>42430</v>
      </c>
      <c r="B67" s="343">
        <v>39758543.469999999</v>
      </c>
      <c r="C67" s="348">
        <v>162435.20000000001</v>
      </c>
      <c r="D67" s="261"/>
      <c r="E67" s="261"/>
      <c r="F67" s="261">
        <v>111832.75</v>
      </c>
      <c r="G67" s="261"/>
      <c r="H67" s="343">
        <f t="shared" si="1"/>
        <v>39809145.920000002</v>
      </c>
      <c r="I67" s="155"/>
      <c r="J67" s="262">
        <v>448.8</v>
      </c>
      <c r="K67" s="262">
        <v>0</v>
      </c>
      <c r="L67" s="262">
        <v>1906577.3305091523</v>
      </c>
      <c r="M67" s="255"/>
      <c r="N67" s="255">
        <v>31</v>
      </c>
      <c r="O67" s="262">
        <v>1</v>
      </c>
      <c r="P67" s="262">
        <v>139</v>
      </c>
      <c r="Q67" s="262">
        <v>6</v>
      </c>
      <c r="R67" s="262">
        <v>63.5</v>
      </c>
      <c r="S67" s="262">
        <v>59.6</v>
      </c>
      <c r="T67" s="262">
        <v>82.9</v>
      </c>
      <c r="U67" s="262">
        <v>344.1</v>
      </c>
      <c r="V67" s="262">
        <v>9.3000000000000007</v>
      </c>
      <c r="W67" s="262">
        <v>63.6</v>
      </c>
      <c r="X67" s="262">
        <v>57.7</v>
      </c>
      <c r="Y67" s="262">
        <v>198.5</v>
      </c>
      <c r="Z67" s="262">
        <v>28835</v>
      </c>
      <c r="AA67" s="262">
        <v>129</v>
      </c>
      <c r="AB67" s="262">
        <v>145.80000000000001</v>
      </c>
      <c r="AC67" s="262">
        <v>130.30000000000001</v>
      </c>
    </row>
    <row r="68" spans="1:29" x14ac:dyDescent="0.2">
      <c r="A68" s="200">
        <v>42461</v>
      </c>
      <c r="B68" s="343">
        <v>36143916.349999994</v>
      </c>
      <c r="C68" s="348">
        <v>260329.09999999998</v>
      </c>
      <c r="D68" s="261"/>
      <c r="E68" s="261"/>
      <c r="F68" s="261">
        <v>181447.87</v>
      </c>
      <c r="G68" s="261"/>
      <c r="H68" s="343">
        <f t="shared" si="1"/>
        <v>36222797.579999998</v>
      </c>
      <c r="I68" s="155"/>
      <c r="J68" s="262">
        <v>384.1</v>
      </c>
      <c r="K68" s="262">
        <v>0</v>
      </c>
      <c r="L68" s="262">
        <v>1960596.3389875456</v>
      </c>
      <c r="M68" s="255"/>
      <c r="N68" s="255">
        <v>30</v>
      </c>
      <c r="O68" s="262">
        <v>1</v>
      </c>
      <c r="P68" s="262">
        <v>139.1</v>
      </c>
      <c r="Q68" s="262">
        <v>6.4</v>
      </c>
      <c r="R68" s="262">
        <v>63</v>
      </c>
      <c r="S68" s="262">
        <v>59</v>
      </c>
      <c r="T68" s="262">
        <v>82.1</v>
      </c>
      <c r="U68" s="262">
        <v>344.3</v>
      </c>
      <c r="V68" s="262">
        <v>8.3000000000000007</v>
      </c>
      <c r="W68" s="262">
        <v>62.3</v>
      </c>
      <c r="X68" s="262">
        <v>57.1</v>
      </c>
      <c r="Y68" s="262">
        <v>196.6</v>
      </c>
      <c r="Z68" s="262">
        <v>28853</v>
      </c>
      <c r="AA68" s="262">
        <v>129.6</v>
      </c>
      <c r="AB68" s="262">
        <v>153.5</v>
      </c>
      <c r="AC68" s="262">
        <v>130.69999999999999</v>
      </c>
    </row>
    <row r="69" spans="1:29" x14ac:dyDescent="0.2">
      <c r="A69" s="200">
        <v>42491</v>
      </c>
      <c r="B69" s="343">
        <v>35571116.150000006</v>
      </c>
      <c r="C69" s="348">
        <v>347914.9</v>
      </c>
      <c r="D69" s="261"/>
      <c r="E69" s="261"/>
      <c r="F69" s="261">
        <v>28639.439999999999</v>
      </c>
      <c r="G69" s="261"/>
      <c r="H69" s="343">
        <f t="shared" si="1"/>
        <v>35890391.610000007</v>
      </c>
      <c r="I69" s="155"/>
      <c r="J69" s="262">
        <v>153.1</v>
      </c>
      <c r="K69" s="262">
        <v>24.4</v>
      </c>
      <c r="L69" s="262">
        <v>2014615.3474659389</v>
      </c>
      <c r="M69" s="255"/>
      <c r="N69" s="255">
        <v>31</v>
      </c>
      <c r="O69" s="262">
        <v>1</v>
      </c>
      <c r="P69" s="262">
        <v>139.19999999999999</v>
      </c>
      <c r="Q69" s="262">
        <v>6.6</v>
      </c>
      <c r="R69" s="262">
        <v>63.4</v>
      </c>
      <c r="S69" s="262">
        <v>59.3</v>
      </c>
      <c r="T69" s="262">
        <v>82.5</v>
      </c>
      <c r="U69" s="262">
        <v>344.5</v>
      </c>
      <c r="V69" s="262">
        <v>8.1</v>
      </c>
      <c r="W69" s="262">
        <v>62</v>
      </c>
      <c r="X69" s="262">
        <v>57</v>
      </c>
      <c r="Y69" s="262">
        <v>196.3</v>
      </c>
      <c r="Z69" s="262">
        <v>28859</v>
      </c>
      <c r="AA69" s="262">
        <v>130.1</v>
      </c>
      <c r="AB69" s="262">
        <v>158.1</v>
      </c>
      <c r="AC69" s="262">
        <v>131.19999999999999</v>
      </c>
    </row>
    <row r="70" spans="1:29" x14ac:dyDescent="0.2">
      <c r="A70" s="200">
        <v>42522</v>
      </c>
      <c r="B70" s="343">
        <v>39220373.289999992</v>
      </c>
      <c r="C70" s="348">
        <v>456460.1</v>
      </c>
      <c r="D70" s="261"/>
      <c r="E70" s="261"/>
      <c r="F70" s="261">
        <v>13984.39</v>
      </c>
      <c r="G70" s="261"/>
      <c r="H70" s="343">
        <f t="shared" si="1"/>
        <v>39662848.999999993</v>
      </c>
      <c r="I70" s="155"/>
      <c r="J70" s="262">
        <v>29.2</v>
      </c>
      <c r="K70" s="262">
        <v>51.7</v>
      </c>
      <c r="L70" s="262">
        <v>2068634.3559443322</v>
      </c>
      <c r="M70" s="255"/>
      <c r="N70" s="255">
        <v>30</v>
      </c>
      <c r="O70" s="262">
        <v>0</v>
      </c>
      <c r="P70" s="262">
        <v>139.30000000000001</v>
      </c>
      <c r="Q70" s="262">
        <v>6.2</v>
      </c>
      <c r="R70" s="262">
        <v>63.9</v>
      </c>
      <c r="S70" s="262">
        <v>59.9</v>
      </c>
      <c r="T70" s="262">
        <v>83.5</v>
      </c>
      <c r="U70" s="262">
        <v>344.7</v>
      </c>
      <c r="V70" s="262">
        <v>7.7</v>
      </c>
      <c r="W70" s="262">
        <v>62.7</v>
      </c>
      <c r="X70" s="262">
        <v>57.9</v>
      </c>
      <c r="Y70" s="262">
        <v>199.5</v>
      </c>
      <c r="Z70" s="262">
        <v>28872</v>
      </c>
      <c r="AA70" s="262">
        <v>130.4</v>
      </c>
      <c r="AB70" s="262">
        <v>159.1</v>
      </c>
      <c r="AC70" s="262">
        <v>131.5</v>
      </c>
    </row>
    <row r="71" spans="1:29" x14ac:dyDescent="0.2">
      <c r="A71" s="200">
        <v>42552</v>
      </c>
      <c r="B71" s="343">
        <v>47066419.799999982</v>
      </c>
      <c r="C71" s="348">
        <v>478420.2</v>
      </c>
      <c r="D71" s="261"/>
      <c r="E71" s="261"/>
      <c r="F71" s="261">
        <v>15948.130000000001</v>
      </c>
      <c r="G71" s="261"/>
      <c r="H71" s="343">
        <f t="shared" si="1"/>
        <v>47528891.869999982</v>
      </c>
      <c r="I71" s="155"/>
      <c r="J71" s="262">
        <v>0</v>
      </c>
      <c r="K71" s="262">
        <v>140.69999999999999</v>
      </c>
      <c r="L71" s="262">
        <v>2122653.3644227255</v>
      </c>
      <c r="M71" s="255"/>
      <c r="N71" s="255">
        <v>31</v>
      </c>
      <c r="O71" s="262">
        <v>0</v>
      </c>
      <c r="P71" s="262">
        <v>139.6</v>
      </c>
      <c r="Q71" s="262">
        <v>5.9</v>
      </c>
      <c r="R71" s="262">
        <v>64.599999999999994</v>
      </c>
      <c r="S71" s="262">
        <v>60.8</v>
      </c>
      <c r="T71" s="262">
        <v>84.9</v>
      </c>
      <c r="U71" s="262">
        <v>345</v>
      </c>
      <c r="V71" s="262">
        <v>7.1</v>
      </c>
      <c r="W71" s="262">
        <v>63.6</v>
      </c>
      <c r="X71" s="262">
        <v>59.1</v>
      </c>
      <c r="Y71" s="262">
        <v>204</v>
      </c>
      <c r="Z71" s="262">
        <v>28792</v>
      </c>
      <c r="AA71" s="262">
        <v>130.30000000000001</v>
      </c>
      <c r="AB71" s="262">
        <v>157.4</v>
      </c>
      <c r="AC71" s="262">
        <v>131.4</v>
      </c>
    </row>
    <row r="72" spans="1:29" x14ac:dyDescent="0.2">
      <c r="A72" s="200">
        <v>42583</v>
      </c>
      <c r="B72" s="343">
        <v>50793950.229999974</v>
      </c>
      <c r="C72" s="348">
        <v>467442.5</v>
      </c>
      <c r="D72" s="261"/>
      <c r="E72" s="261"/>
      <c r="F72" s="261">
        <v>18063.84</v>
      </c>
      <c r="G72" s="261"/>
      <c r="H72" s="343">
        <f t="shared" si="1"/>
        <v>51243328.889999971</v>
      </c>
      <c r="I72" s="155"/>
      <c r="J72" s="262">
        <v>0.1</v>
      </c>
      <c r="K72" s="262">
        <v>159.30000000000001</v>
      </c>
      <c r="L72" s="262">
        <v>2176672.3729011188</v>
      </c>
      <c r="M72" s="255"/>
      <c r="N72" s="255">
        <v>31</v>
      </c>
      <c r="O72" s="262">
        <v>0</v>
      </c>
      <c r="P72" s="262">
        <v>139.80000000000001</v>
      </c>
      <c r="Q72" s="262">
        <v>6.1</v>
      </c>
      <c r="R72" s="262">
        <v>64.8</v>
      </c>
      <c r="S72" s="262">
        <v>60.9</v>
      </c>
      <c r="T72" s="262">
        <v>85.1</v>
      </c>
      <c r="U72" s="262">
        <v>345.2</v>
      </c>
      <c r="V72" s="262">
        <v>6.4</v>
      </c>
      <c r="W72" s="262">
        <v>63.9</v>
      </c>
      <c r="X72" s="262">
        <v>59.8</v>
      </c>
      <c r="Y72" s="262">
        <v>206.4</v>
      </c>
      <c r="Z72" s="262">
        <v>28833</v>
      </c>
      <c r="AA72" s="262">
        <v>129.9</v>
      </c>
      <c r="AB72" s="262">
        <v>155.80000000000001</v>
      </c>
      <c r="AC72" s="262">
        <v>131.1</v>
      </c>
    </row>
    <row r="73" spans="1:29" x14ac:dyDescent="0.2">
      <c r="A73" s="200">
        <v>42614</v>
      </c>
      <c r="B73" s="343">
        <v>39568638.049999982</v>
      </c>
      <c r="C73" s="348">
        <v>445687.2</v>
      </c>
      <c r="D73" s="261"/>
      <c r="E73" s="261"/>
      <c r="F73" s="261">
        <v>20093.34</v>
      </c>
      <c r="G73" s="261"/>
      <c r="H73" s="343">
        <f t="shared" si="1"/>
        <v>39994231.909999982</v>
      </c>
      <c r="I73" s="155"/>
      <c r="J73" s="262">
        <v>34.299999999999997</v>
      </c>
      <c r="K73" s="262">
        <v>48.1</v>
      </c>
      <c r="L73" s="262">
        <v>2230691.3813795121</v>
      </c>
      <c r="M73" s="255"/>
      <c r="N73" s="255">
        <v>30</v>
      </c>
      <c r="O73" s="262">
        <v>1</v>
      </c>
      <c r="P73" s="262">
        <v>139.9</v>
      </c>
      <c r="Q73" s="262">
        <v>6.1</v>
      </c>
      <c r="R73" s="262">
        <v>64</v>
      </c>
      <c r="S73" s="262">
        <v>60.1</v>
      </c>
      <c r="T73" s="262">
        <v>84.1</v>
      </c>
      <c r="U73" s="262">
        <v>345.5</v>
      </c>
      <c r="V73" s="262">
        <v>5.6</v>
      </c>
      <c r="W73" s="262">
        <v>63.6</v>
      </c>
      <c r="X73" s="262">
        <v>60.1</v>
      </c>
      <c r="Y73" s="262">
        <v>207.5</v>
      </c>
      <c r="Z73" s="262">
        <v>28864</v>
      </c>
      <c r="AA73" s="262">
        <v>130.1</v>
      </c>
      <c r="AB73" s="262">
        <v>155.4</v>
      </c>
      <c r="AC73" s="262">
        <v>131.69999999999999</v>
      </c>
    </row>
    <row r="74" spans="1:29" x14ac:dyDescent="0.2">
      <c r="A74" s="200">
        <v>42644</v>
      </c>
      <c r="B74" s="343">
        <v>35855555.68999996</v>
      </c>
      <c r="C74" s="348">
        <v>367829.6</v>
      </c>
      <c r="D74" s="261"/>
      <c r="E74" s="261"/>
      <c r="F74" s="261">
        <v>13242.140000000001</v>
      </c>
      <c r="G74" s="261"/>
      <c r="H74" s="343">
        <f t="shared" si="1"/>
        <v>36210143.149999961</v>
      </c>
      <c r="I74" s="155"/>
      <c r="J74" s="262">
        <v>198.7</v>
      </c>
      <c r="K74" s="262">
        <v>5.0999999999999996</v>
      </c>
      <c r="L74" s="262">
        <v>2284710.3898579055</v>
      </c>
      <c r="M74" s="255"/>
      <c r="N74" s="255">
        <v>31</v>
      </c>
      <c r="O74" s="262">
        <v>1</v>
      </c>
      <c r="P74" s="262">
        <v>139.9</v>
      </c>
      <c r="Q74" s="262">
        <v>5.6</v>
      </c>
      <c r="R74" s="262">
        <v>63.5</v>
      </c>
      <c r="S74" s="262">
        <v>60</v>
      </c>
      <c r="T74" s="262">
        <v>83.9</v>
      </c>
      <c r="U74" s="262">
        <v>345.8</v>
      </c>
      <c r="V74" s="262">
        <v>5.3</v>
      </c>
      <c r="W74" s="262">
        <v>64.2</v>
      </c>
      <c r="X74" s="262">
        <v>60.8</v>
      </c>
      <c r="Y74" s="262">
        <v>210.2</v>
      </c>
      <c r="Z74" s="262">
        <v>28858</v>
      </c>
      <c r="AA74" s="262">
        <v>130.6</v>
      </c>
      <c r="AB74" s="262">
        <v>157.80000000000001</v>
      </c>
      <c r="AC74" s="262">
        <v>132</v>
      </c>
    </row>
    <row r="75" spans="1:29" x14ac:dyDescent="0.2">
      <c r="A75" s="200">
        <v>42675</v>
      </c>
      <c r="B75" s="343">
        <v>36559281.450000003</v>
      </c>
      <c r="C75" s="348">
        <v>260374.9</v>
      </c>
      <c r="D75" s="261"/>
      <c r="E75" s="261"/>
      <c r="F75" s="261">
        <v>29919.379999999997</v>
      </c>
      <c r="G75" s="261"/>
      <c r="H75" s="343">
        <f t="shared" si="1"/>
        <v>36789736.969999999</v>
      </c>
      <c r="I75" s="155"/>
      <c r="J75" s="262">
        <v>356.7</v>
      </c>
      <c r="K75" s="262">
        <v>0</v>
      </c>
      <c r="L75" s="262">
        <v>2338729.3983362988</v>
      </c>
      <c r="M75" s="255"/>
      <c r="N75" s="255">
        <v>30</v>
      </c>
      <c r="O75" s="262">
        <v>1</v>
      </c>
      <c r="P75" s="262">
        <v>139.9</v>
      </c>
      <c r="Q75" s="262">
        <v>4.8</v>
      </c>
      <c r="R75" s="262">
        <v>62.5</v>
      </c>
      <c r="S75" s="262">
        <v>59.6</v>
      </c>
      <c r="T75" s="262">
        <v>83.4</v>
      </c>
      <c r="U75" s="262">
        <v>346</v>
      </c>
      <c r="V75" s="262">
        <v>5.3</v>
      </c>
      <c r="W75" s="262">
        <v>63.8</v>
      </c>
      <c r="X75" s="262">
        <v>60.4</v>
      </c>
      <c r="Y75" s="262">
        <v>209</v>
      </c>
      <c r="Z75" s="262">
        <v>28896</v>
      </c>
      <c r="AA75" s="262">
        <v>130.19999999999999</v>
      </c>
      <c r="AB75" s="262">
        <v>155.19999999999999</v>
      </c>
      <c r="AC75" s="262">
        <v>131.69999999999999</v>
      </c>
    </row>
    <row r="76" spans="1:29" x14ac:dyDescent="0.2">
      <c r="A76" s="200">
        <v>42705</v>
      </c>
      <c r="B76" s="343">
        <v>42534516.759999998</v>
      </c>
      <c r="C76" s="348">
        <v>192825.2</v>
      </c>
      <c r="D76" s="261"/>
      <c r="E76" s="261"/>
      <c r="F76" s="261">
        <v>152017.98000000001</v>
      </c>
      <c r="G76" s="261"/>
      <c r="H76" s="343">
        <f t="shared" si="1"/>
        <v>42575323.980000004</v>
      </c>
      <c r="I76" s="155"/>
      <c r="J76" s="262">
        <v>581.20000000000005</v>
      </c>
      <c r="K76" s="262">
        <v>0</v>
      </c>
      <c r="L76" s="262">
        <v>2392748.4068146921</v>
      </c>
      <c r="M76" s="255"/>
      <c r="N76" s="255">
        <v>31</v>
      </c>
      <c r="O76" s="262">
        <v>0</v>
      </c>
      <c r="P76" s="262">
        <v>140.1</v>
      </c>
      <c r="Q76" s="262">
        <v>4.7</v>
      </c>
      <c r="R76" s="262">
        <v>62.7</v>
      </c>
      <c r="S76" s="262">
        <v>59.7</v>
      </c>
      <c r="T76" s="262">
        <v>83.7</v>
      </c>
      <c r="U76" s="262">
        <v>346.1</v>
      </c>
      <c r="V76" s="262">
        <v>5.8</v>
      </c>
      <c r="W76" s="262">
        <v>63.4</v>
      </c>
      <c r="X76" s="262">
        <v>59.8</v>
      </c>
      <c r="Y76" s="262">
        <v>206.8</v>
      </c>
      <c r="Z76" s="262">
        <v>28913</v>
      </c>
      <c r="AA76" s="262">
        <v>130</v>
      </c>
      <c r="AB76" s="262">
        <v>158.1</v>
      </c>
      <c r="AC76" s="262">
        <v>131.5</v>
      </c>
    </row>
    <row r="77" spans="1:29" x14ac:dyDescent="0.2">
      <c r="A77" s="200">
        <v>42736</v>
      </c>
      <c r="B77" s="343">
        <v>43062641.590000018</v>
      </c>
      <c r="C77" s="348">
        <v>84547.299999999988</v>
      </c>
      <c r="D77" s="261"/>
      <c r="E77" s="261"/>
      <c r="F77" s="261">
        <v>15766.96</v>
      </c>
      <c r="G77" s="261"/>
      <c r="H77" s="343">
        <f t="shared" si="1"/>
        <v>43131421.930000015</v>
      </c>
      <c r="I77" s="155"/>
      <c r="J77" s="262">
        <v>593.9</v>
      </c>
      <c r="K77" s="262">
        <v>0</v>
      </c>
      <c r="L77" s="262">
        <v>2432562.491074306</v>
      </c>
      <c r="M77" s="255"/>
      <c r="N77" s="255">
        <v>31</v>
      </c>
      <c r="O77" s="262">
        <v>0</v>
      </c>
      <c r="P77" s="262">
        <v>140.19999999999999</v>
      </c>
      <c r="Q77" s="262">
        <v>5</v>
      </c>
      <c r="R77" s="262">
        <v>62.8</v>
      </c>
      <c r="S77" s="262">
        <v>59.6</v>
      </c>
      <c r="T77" s="262">
        <v>83.6</v>
      </c>
      <c r="U77" s="262">
        <v>346.3</v>
      </c>
      <c r="V77" s="262">
        <v>6.7</v>
      </c>
      <c r="W77" s="262">
        <v>61.7</v>
      </c>
      <c r="X77" s="262">
        <v>57.6</v>
      </c>
      <c r="Y77" s="262">
        <v>199.4</v>
      </c>
      <c r="Z77" s="262">
        <v>28933</v>
      </c>
      <c r="AA77" s="262">
        <v>130.80000000000001</v>
      </c>
      <c r="AB77" s="262">
        <v>162.9</v>
      </c>
      <c r="AC77" s="262">
        <v>132.1</v>
      </c>
    </row>
    <row r="78" spans="1:29" x14ac:dyDescent="0.2">
      <c r="A78" s="367">
        <v>42767</v>
      </c>
      <c r="B78" s="343">
        <v>37522207.099999994</v>
      </c>
      <c r="C78" s="348">
        <v>97386.700000000012</v>
      </c>
      <c r="D78" s="261"/>
      <c r="E78" s="261"/>
      <c r="F78" s="261">
        <v>85703.53</v>
      </c>
      <c r="G78" s="261"/>
      <c r="H78" s="343">
        <f t="shared" si="1"/>
        <v>37533890.269999996</v>
      </c>
      <c r="I78" s="155"/>
      <c r="J78" s="262">
        <v>487.8</v>
      </c>
      <c r="K78" s="262">
        <v>0</v>
      </c>
      <c r="L78" s="262">
        <v>2472376.5753339198</v>
      </c>
      <c r="M78" s="255"/>
      <c r="N78" s="255">
        <v>28</v>
      </c>
      <c r="O78" s="262">
        <v>0</v>
      </c>
      <c r="P78" s="262">
        <v>140.30000000000001</v>
      </c>
      <c r="Q78" s="262">
        <v>5.8</v>
      </c>
      <c r="R78" s="262">
        <v>63.7</v>
      </c>
      <c r="S78" s="262">
        <v>60</v>
      </c>
      <c r="T78" s="262">
        <v>84.2</v>
      </c>
      <c r="U78" s="262">
        <v>346.4</v>
      </c>
      <c r="V78" s="262">
        <v>7.2</v>
      </c>
      <c r="W78" s="262">
        <v>60.4</v>
      </c>
      <c r="X78" s="262">
        <v>56</v>
      </c>
      <c r="Y78" s="262">
        <v>194.1</v>
      </c>
      <c r="Z78" s="262">
        <v>28960</v>
      </c>
      <c r="AA78" s="262">
        <v>131.19999999999999</v>
      </c>
      <c r="AB78" s="262">
        <v>159.19999999999999</v>
      </c>
      <c r="AC78" s="262">
        <v>132.5</v>
      </c>
    </row>
    <row r="79" spans="1:29" x14ac:dyDescent="0.2">
      <c r="A79" s="200">
        <v>42795</v>
      </c>
      <c r="B79" s="343">
        <v>41370878.749999993</v>
      </c>
      <c r="C79" s="348">
        <v>206276.9</v>
      </c>
      <c r="D79" s="261"/>
      <c r="E79" s="261"/>
      <c r="F79" s="261">
        <v>13738.92</v>
      </c>
      <c r="G79" s="261"/>
      <c r="H79" s="343">
        <f t="shared" si="1"/>
        <v>41563416.729999989</v>
      </c>
      <c r="I79" s="155"/>
      <c r="J79" s="262">
        <v>555.29999999999995</v>
      </c>
      <c r="K79" s="262">
        <v>0</v>
      </c>
      <c r="L79" s="262">
        <v>2512190.6595935337</v>
      </c>
      <c r="M79" s="255"/>
      <c r="N79" s="255">
        <v>31</v>
      </c>
      <c r="O79" s="262">
        <v>1</v>
      </c>
      <c r="P79" s="262">
        <v>140.5</v>
      </c>
      <c r="Q79" s="262">
        <v>6.2</v>
      </c>
      <c r="R79" s="262">
        <v>64.599999999999994</v>
      </c>
      <c r="S79" s="262">
        <v>60.5</v>
      </c>
      <c r="T79" s="262">
        <v>85</v>
      </c>
      <c r="U79" s="262">
        <v>346.6</v>
      </c>
      <c r="V79" s="262">
        <v>7.7</v>
      </c>
      <c r="W79" s="262">
        <v>59.7</v>
      </c>
      <c r="X79" s="262">
        <v>55.1</v>
      </c>
      <c r="Y79" s="262">
        <v>191</v>
      </c>
      <c r="Z79" s="262">
        <v>28960</v>
      </c>
      <c r="AA79" s="262">
        <v>131.4</v>
      </c>
      <c r="AB79" s="262">
        <v>156.9</v>
      </c>
      <c r="AC79" s="262">
        <v>133</v>
      </c>
    </row>
    <row r="80" spans="1:29" x14ac:dyDescent="0.2">
      <c r="A80" s="200">
        <v>42826</v>
      </c>
      <c r="B80" s="343">
        <v>35639117.619999968</v>
      </c>
      <c r="C80" s="348">
        <v>255473.9</v>
      </c>
      <c r="D80" s="261"/>
      <c r="E80" s="261"/>
      <c r="F80" s="261">
        <v>947126.52</v>
      </c>
      <c r="G80" s="261"/>
      <c r="H80" s="343">
        <f t="shared" si="1"/>
        <v>34947464.999999963</v>
      </c>
      <c r="I80" s="155"/>
      <c r="J80" s="262">
        <v>261.8</v>
      </c>
      <c r="K80" s="262">
        <v>0.5</v>
      </c>
      <c r="L80" s="262">
        <v>2552004.7438531476</v>
      </c>
      <c r="M80" s="255"/>
      <c r="N80" s="255">
        <v>30</v>
      </c>
      <c r="O80" s="262">
        <v>1</v>
      </c>
      <c r="P80" s="262">
        <v>140.6</v>
      </c>
      <c r="Q80" s="262">
        <v>6</v>
      </c>
      <c r="R80" s="262">
        <v>65.099999999999994</v>
      </c>
      <c r="S80" s="262">
        <v>61.2</v>
      </c>
      <c r="T80" s="262">
        <v>86.1</v>
      </c>
      <c r="U80" s="262">
        <v>346.9</v>
      </c>
      <c r="V80" s="262">
        <v>7.9</v>
      </c>
      <c r="W80" s="262">
        <v>59.8</v>
      </c>
      <c r="X80" s="262">
        <v>55.1</v>
      </c>
      <c r="Y80" s="262">
        <v>191</v>
      </c>
      <c r="Z80" s="262">
        <v>28969</v>
      </c>
      <c r="AA80" s="262">
        <v>132</v>
      </c>
      <c r="AB80" s="262">
        <v>165.3</v>
      </c>
      <c r="AC80" s="262">
        <v>133.6</v>
      </c>
    </row>
    <row r="81" spans="1:29" x14ac:dyDescent="0.2">
      <c r="A81" s="200">
        <v>42856</v>
      </c>
      <c r="B81" s="343">
        <v>36632679.980000012</v>
      </c>
      <c r="C81" s="348">
        <v>322809.59999999998</v>
      </c>
      <c r="D81" s="261"/>
      <c r="E81" s="261"/>
      <c r="F81" s="261">
        <v>1322365.27</v>
      </c>
      <c r="G81" s="261"/>
      <c r="H81" s="343">
        <f t="shared" si="1"/>
        <v>35633124.31000001</v>
      </c>
      <c r="I81" s="155"/>
      <c r="J81" s="262">
        <v>168.3</v>
      </c>
      <c r="K81" s="262">
        <v>6.5</v>
      </c>
      <c r="L81" s="262">
        <v>2591818.8281127615</v>
      </c>
      <c r="M81" s="255"/>
      <c r="N81" s="255">
        <v>31</v>
      </c>
      <c r="O81" s="262">
        <v>1</v>
      </c>
      <c r="P81" s="262">
        <v>140.80000000000001</v>
      </c>
      <c r="Q81" s="262">
        <v>5.7</v>
      </c>
      <c r="R81" s="262">
        <v>66.099999999999994</v>
      </c>
      <c r="S81" s="262">
        <v>62.4</v>
      </c>
      <c r="T81" s="262">
        <v>87.8</v>
      </c>
      <c r="U81" s="262">
        <v>347.1</v>
      </c>
      <c r="V81" s="262">
        <v>7.4</v>
      </c>
      <c r="W81" s="262">
        <v>60.7</v>
      </c>
      <c r="X81" s="262">
        <v>56.2</v>
      </c>
      <c r="Y81" s="262">
        <v>195.1</v>
      </c>
      <c r="Z81" s="262">
        <v>29025</v>
      </c>
      <c r="AA81" s="262">
        <v>131.9</v>
      </c>
      <c r="AB81" s="262">
        <v>158.19999999999999</v>
      </c>
      <c r="AC81" s="262">
        <v>133.69999999999999</v>
      </c>
    </row>
    <row r="82" spans="1:29" x14ac:dyDescent="0.2">
      <c r="A82" s="200">
        <v>42887</v>
      </c>
      <c r="B82" s="343">
        <v>38109511.749999993</v>
      </c>
      <c r="C82" s="348">
        <v>361078.1</v>
      </c>
      <c r="D82" s="261"/>
      <c r="E82" s="261"/>
      <c r="F82" s="261">
        <v>314805.08999999997</v>
      </c>
      <c r="G82" s="261"/>
      <c r="H82" s="343">
        <f t="shared" si="1"/>
        <v>38155784.75999999</v>
      </c>
      <c r="I82" s="155"/>
      <c r="J82" s="262">
        <v>32.6</v>
      </c>
      <c r="K82" s="262">
        <v>62.2</v>
      </c>
      <c r="L82" s="262">
        <v>2631632.9123723754</v>
      </c>
      <c r="M82" s="255"/>
      <c r="N82" s="255">
        <v>30</v>
      </c>
      <c r="O82" s="262">
        <v>0</v>
      </c>
      <c r="P82" s="262">
        <v>141</v>
      </c>
      <c r="Q82" s="262">
        <v>5.3</v>
      </c>
      <c r="R82" s="262">
        <v>66.400000000000006</v>
      </c>
      <c r="S82" s="262">
        <v>62.8</v>
      </c>
      <c r="T82" s="262">
        <v>88.6</v>
      </c>
      <c r="U82" s="262">
        <v>347.5</v>
      </c>
      <c r="V82" s="262">
        <v>6.7</v>
      </c>
      <c r="W82" s="262">
        <v>61.3</v>
      </c>
      <c r="X82" s="262">
        <v>57.2</v>
      </c>
      <c r="Y82" s="262">
        <v>198.8</v>
      </c>
      <c r="Z82" s="262">
        <v>29019</v>
      </c>
      <c r="AA82" s="262">
        <v>132.1</v>
      </c>
      <c r="AB82" s="262">
        <v>154.69999999999999</v>
      </c>
      <c r="AC82" s="262">
        <v>134.19999999999999</v>
      </c>
    </row>
    <row r="83" spans="1:29" x14ac:dyDescent="0.2">
      <c r="A83" s="200">
        <v>42917</v>
      </c>
      <c r="B83" s="343">
        <v>43845120.699999988</v>
      </c>
      <c r="C83" s="348">
        <v>443172.4</v>
      </c>
      <c r="D83" s="261"/>
      <c r="E83" s="261"/>
      <c r="F83" s="261">
        <v>14305.609999999999</v>
      </c>
      <c r="G83" s="261"/>
      <c r="H83" s="343">
        <f t="shared" si="1"/>
        <v>44273987.489999987</v>
      </c>
      <c r="I83" s="155"/>
      <c r="J83" s="262">
        <v>2.2000000000000002</v>
      </c>
      <c r="K83" s="262">
        <v>88.1</v>
      </c>
      <c r="L83" s="262">
        <v>2671446.9966319893</v>
      </c>
      <c r="M83" s="255"/>
      <c r="N83" s="255">
        <v>31</v>
      </c>
      <c r="O83" s="262">
        <v>0</v>
      </c>
      <c r="P83" s="262">
        <v>141.30000000000001</v>
      </c>
      <c r="Q83" s="262">
        <v>5.8</v>
      </c>
      <c r="R83" s="262">
        <v>66.7</v>
      </c>
      <c r="S83" s="262">
        <v>62.9</v>
      </c>
      <c r="T83" s="262">
        <v>88.9</v>
      </c>
      <c r="U83" s="262">
        <v>347.8</v>
      </c>
      <c r="V83" s="262">
        <v>5.8</v>
      </c>
      <c r="W83" s="262">
        <v>62.4</v>
      </c>
      <c r="X83" s="262">
        <v>58.8</v>
      </c>
      <c r="Y83" s="262">
        <v>204.6</v>
      </c>
      <c r="Z83" s="262">
        <v>29037</v>
      </c>
      <c r="AA83" s="262">
        <v>131.9</v>
      </c>
      <c r="AB83" s="262">
        <v>151.6</v>
      </c>
      <c r="AC83" s="262">
        <v>134</v>
      </c>
    </row>
    <row r="84" spans="1:29" x14ac:dyDescent="0.2">
      <c r="A84" s="200">
        <v>42948</v>
      </c>
      <c r="B84" s="343">
        <v>43171748.199999966</v>
      </c>
      <c r="C84" s="348">
        <v>421413.8</v>
      </c>
      <c r="D84" s="261"/>
      <c r="E84" s="261"/>
      <c r="F84" s="261">
        <v>13205.18</v>
      </c>
      <c r="G84" s="261"/>
      <c r="H84" s="343">
        <f t="shared" si="1"/>
        <v>43579956.819999963</v>
      </c>
      <c r="I84" s="155"/>
      <c r="J84" s="262">
        <v>19.2</v>
      </c>
      <c r="K84" s="262">
        <v>50.8</v>
      </c>
      <c r="L84" s="262">
        <v>2711261.0808916031</v>
      </c>
      <c r="M84" s="255"/>
      <c r="N84" s="255">
        <v>31</v>
      </c>
      <c r="O84" s="262">
        <v>0</v>
      </c>
      <c r="P84" s="262">
        <v>141.6</v>
      </c>
      <c r="Q84" s="262">
        <v>6</v>
      </c>
      <c r="R84" s="262">
        <v>66.2</v>
      </c>
      <c r="S84" s="262">
        <v>62.2</v>
      </c>
      <c r="T84" s="262">
        <v>88.1</v>
      </c>
      <c r="U84" s="262">
        <v>348.2</v>
      </c>
      <c r="V84" s="262">
        <v>5.9</v>
      </c>
      <c r="W84" s="262">
        <v>62.6</v>
      </c>
      <c r="X84" s="262">
        <v>58.8</v>
      </c>
      <c r="Y84" s="262">
        <v>204.9</v>
      </c>
      <c r="Z84" s="262">
        <v>29054</v>
      </c>
      <c r="AA84" s="262">
        <v>131.80000000000001</v>
      </c>
      <c r="AB84" s="262">
        <v>152.9</v>
      </c>
      <c r="AC84" s="262">
        <v>133.80000000000001</v>
      </c>
    </row>
    <row r="85" spans="1:29" x14ac:dyDescent="0.2">
      <c r="A85" s="200">
        <v>42979</v>
      </c>
      <c r="B85" s="343">
        <v>38578980.680000037</v>
      </c>
      <c r="C85" s="348">
        <v>418377.68</v>
      </c>
      <c r="D85" s="261"/>
      <c r="E85" s="261"/>
      <c r="F85" s="261">
        <v>24372.95</v>
      </c>
      <c r="G85" s="261"/>
      <c r="H85" s="343">
        <f t="shared" si="1"/>
        <v>38972985.410000034</v>
      </c>
      <c r="I85" s="155"/>
      <c r="J85" s="262">
        <v>66.5</v>
      </c>
      <c r="K85" s="262">
        <v>49.3</v>
      </c>
      <c r="L85" s="262">
        <v>2751075.165151217</v>
      </c>
      <c r="M85" s="255"/>
      <c r="N85" s="255">
        <v>30</v>
      </c>
      <c r="O85" s="262">
        <v>1</v>
      </c>
      <c r="P85" s="262">
        <v>141.6</v>
      </c>
      <c r="Q85" s="262">
        <v>6.1</v>
      </c>
      <c r="R85" s="262">
        <v>65.7</v>
      </c>
      <c r="S85" s="262">
        <v>61.7</v>
      </c>
      <c r="T85" s="262">
        <v>87.4</v>
      </c>
      <c r="U85" s="262">
        <v>348.5</v>
      </c>
      <c r="V85" s="262">
        <v>5.7</v>
      </c>
      <c r="W85" s="262">
        <v>61.5</v>
      </c>
      <c r="X85" s="262">
        <v>58</v>
      </c>
      <c r="Y85" s="262">
        <v>202.2</v>
      </c>
      <c r="Z85" s="262">
        <v>29085</v>
      </c>
      <c r="AA85" s="262">
        <v>132.30000000000001</v>
      </c>
      <c r="AB85" s="262">
        <v>158.5</v>
      </c>
      <c r="AC85" s="262">
        <v>134.4</v>
      </c>
    </row>
    <row r="86" spans="1:29" x14ac:dyDescent="0.2">
      <c r="A86" s="200">
        <v>43009</v>
      </c>
      <c r="B86" s="343">
        <v>35892870.779999956</v>
      </c>
      <c r="C86" s="348">
        <v>372024.06</v>
      </c>
      <c r="D86" s="261"/>
      <c r="E86" s="261"/>
      <c r="F86" s="261">
        <v>8114.58</v>
      </c>
      <c r="G86" s="261"/>
      <c r="H86" s="343">
        <f t="shared" si="1"/>
        <v>36256780.259999961</v>
      </c>
      <c r="I86" s="155"/>
      <c r="J86" s="262">
        <v>152</v>
      </c>
      <c r="K86" s="262">
        <v>6.4</v>
      </c>
      <c r="L86" s="262">
        <v>2790889.2494108309</v>
      </c>
      <c r="M86" s="255"/>
      <c r="N86" s="255">
        <v>31</v>
      </c>
      <c r="O86" s="262">
        <v>1</v>
      </c>
      <c r="P86" s="262">
        <v>141.69999999999999</v>
      </c>
      <c r="Q86" s="262">
        <v>5.6</v>
      </c>
      <c r="R86" s="262">
        <v>65</v>
      </c>
      <c r="S86" s="262">
        <v>61.3</v>
      </c>
      <c r="T86" s="262">
        <v>86.9</v>
      </c>
      <c r="U86" s="262">
        <v>348.9</v>
      </c>
      <c r="V86" s="262">
        <v>6.1</v>
      </c>
      <c r="W86" s="262">
        <v>60.7</v>
      </c>
      <c r="X86" s="262">
        <v>57</v>
      </c>
      <c r="Y86" s="262">
        <v>198.9</v>
      </c>
      <c r="Z86" s="262">
        <v>29091</v>
      </c>
      <c r="AA86" s="262">
        <v>132.30000000000001</v>
      </c>
      <c r="AB86" s="262">
        <v>154.69999999999999</v>
      </c>
      <c r="AC86" s="262">
        <v>134.30000000000001</v>
      </c>
    </row>
    <row r="87" spans="1:29" x14ac:dyDescent="0.2">
      <c r="A87" s="200">
        <v>43040</v>
      </c>
      <c r="B87" s="343">
        <v>38713504.909999996</v>
      </c>
      <c r="C87" s="348">
        <v>247238.7</v>
      </c>
      <c r="D87" s="261"/>
      <c r="E87" s="261"/>
      <c r="F87" s="261">
        <v>11792.42</v>
      </c>
      <c r="G87" s="261"/>
      <c r="H87" s="343">
        <f t="shared" si="1"/>
        <v>38948951.189999998</v>
      </c>
      <c r="I87" s="155"/>
      <c r="J87" s="262">
        <v>426.4</v>
      </c>
      <c r="K87" s="262">
        <v>0</v>
      </c>
      <c r="L87" s="262">
        <v>2830703.3336704448</v>
      </c>
      <c r="M87" s="255"/>
      <c r="N87" s="255">
        <v>30</v>
      </c>
      <c r="O87" s="262">
        <v>1</v>
      </c>
      <c r="P87" s="262">
        <v>141.80000000000001</v>
      </c>
      <c r="Q87" s="262">
        <v>5</v>
      </c>
      <c r="R87" s="262">
        <v>64.599999999999994</v>
      </c>
      <c r="S87" s="262">
        <v>61.4</v>
      </c>
      <c r="T87" s="262">
        <v>87</v>
      </c>
      <c r="U87" s="262">
        <v>349.2</v>
      </c>
      <c r="V87" s="262">
        <v>6</v>
      </c>
      <c r="W87" s="262">
        <v>60.1</v>
      </c>
      <c r="X87" s="262">
        <v>56.5</v>
      </c>
      <c r="Y87" s="262">
        <v>197.4</v>
      </c>
      <c r="Z87" s="262">
        <v>29149</v>
      </c>
      <c r="AA87" s="262">
        <v>132.69999999999999</v>
      </c>
      <c r="AB87" s="262">
        <v>160.1</v>
      </c>
      <c r="AC87" s="262">
        <v>134.6</v>
      </c>
    </row>
    <row r="88" spans="1:29" x14ac:dyDescent="0.2">
      <c r="A88" s="200">
        <v>43070</v>
      </c>
      <c r="B88" s="343">
        <v>43791007.450000025</v>
      </c>
      <c r="C88" s="348">
        <v>133312</v>
      </c>
      <c r="D88" s="261"/>
      <c r="E88" s="261"/>
      <c r="F88" s="261">
        <v>13076.74</v>
      </c>
      <c r="G88" s="261"/>
      <c r="H88" s="343">
        <f t="shared" si="1"/>
        <v>43911242.710000023</v>
      </c>
      <c r="I88" s="155"/>
      <c r="J88" s="262">
        <v>711.3</v>
      </c>
      <c r="K88" s="262">
        <v>0</v>
      </c>
      <c r="L88" s="262">
        <v>2870517.4179300587</v>
      </c>
      <c r="M88" s="255"/>
      <c r="N88" s="255">
        <v>31</v>
      </c>
      <c r="O88" s="262">
        <v>0</v>
      </c>
      <c r="P88" s="262">
        <v>142</v>
      </c>
      <c r="Q88" s="262">
        <v>4.5999999999999996</v>
      </c>
      <c r="R88" s="262">
        <v>64.900000000000006</v>
      </c>
      <c r="S88" s="262">
        <v>62</v>
      </c>
      <c r="T88" s="262">
        <v>88</v>
      </c>
      <c r="U88" s="262">
        <v>349.5</v>
      </c>
      <c r="V88" s="262">
        <v>6.1</v>
      </c>
      <c r="W88" s="262">
        <v>60.5</v>
      </c>
      <c r="X88" s="262">
        <v>56.8</v>
      </c>
      <c r="Y88" s="262">
        <v>198.5</v>
      </c>
      <c r="Z88" s="262">
        <v>29158</v>
      </c>
      <c r="AA88" s="262">
        <v>132</v>
      </c>
      <c r="AB88" s="262">
        <v>159.30000000000001</v>
      </c>
      <c r="AC88" s="262">
        <v>134</v>
      </c>
    </row>
    <row r="89" spans="1:29" x14ac:dyDescent="0.2">
      <c r="A89" s="200">
        <v>43101</v>
      </c>
      <c r="B89" s="343">
        <v>47052385.459999971</v>
      </c>
      <c r="C89" s="348">
        <v>52819.100000000006</v>
      </c>
      <c r="D89" s="261"/>
      <c r="E89" s="261"/>
      <c r="F89" s="261">
        <v>10484.75</v>
      </c>
      <c r="G89" s="261"/>
      <c r="H89" s="343">
        <f t="shared" si="1"/>
        <v>47094719.809999973</v>
      </c>
      <c r="I89" s="155"/>
      <c r="J89" s="262">
        <v>731</v>
      </c>
      <c r="K89" s="262">
        <v>0</v>
      </c>
      <c r="L89" s="262">
        <v>2889719.2868504198</v>
      </c>
      <c r="M89" s="255"/>
      <c r="N89" s="255">
        <v>31</v>
      </c>
      <c r="O89" s="262">
        <v>0</v>
      </c>
      <c r="P89" s="262">
        <v>142.19999999999999</v>
      </c>
      <c r="Q89" s="262">
        <v>4.8</v>
      </c>
      <c r="R89" s="262">
        <v>64.5</v>
      </c>
      <c r="S89" s="262">
        <v>61.3</v>
      </c>
      <c r="T89" s="262">
        <v>87.2</v>
      </c>
      <c r="U89" s="262">
        <v>349.8</v>
      </c>
      <c r="V89" s="262">
        <v>5.8</v>
      </c>
      <c r="W89" s="262">
        <v>60</v>
      </c>
      <c r="X89" s="262">
        <v>56.5</v>
      </c>
      <c r="Y89" s="262">
        <v>197.8</v>
      </c>
      <c r="Z89" s="262">
        <v>29201</v>
      </c>
      <c r="AA89" s="262">
        <v>133.19999999999999</v>
      </c>
      <c r="AB89" s="262">
        <v>163.19999999999999</v>
      </c>
      <c r="AC89" s="262">
        <v>135.30000000000001</v>
      </c>
    </row>
    <row r="90" spans="1:29" x14ac:dyDescent="0.2">
      <c r="A90" s="200">
        <v>43132</v>
      </c>
      <c r="B90" s="343">
        <v>39540897.230000019</v>
      </c>
      <c r="C90" s="348">
        <v>102538</v>
      </c>
      <c r="D90" s="261"/>
      <c r="E90" s="261"/>
      <c r="F90" s="261">
        <v>11833.29</v>
      </c>
      <c r="G90" s="261"/>
      <c r="H90" s="343">
        <f t="shared" si="1"/>
        <v>39631601.94000002</v>
      </c>
      <c r="I90" s="155"/>
      <c r="J90" s="262">
        <v>540.29999999999995</v>
      </c>
      <c r="K90" s="262">
        <v>0</v>
      </c>
      <c r="L90" s="262">
        <v>2908921.155770781</v>
      </c>
      <c r="M90" s="255"/>
      <c r="N90" s="255">
        <v>28</v>
      </c>
      <c r="O90" s="262">
        <v>0</v>
      </c>
      <c r="P90" s="262">
        <v>142.4</v>
      </c>
      <c r="Q90" s="262">
        <v>5.2</v>
      </c>
      <c r="R90" s="262">
        <v>64</v>
      </c>
      <c r="S90" s="262">
        <v>60.7</v>
      </c>
      <c r="T90" s="262">
        <v>86.5</v>
      </c>
      <c r="U90" s="262">
        <v>350.2</v>
      </c>
      <c r="V90" s="262">
        <v>5.6</v>
      </c>
      <c r="W90" s="262">
        <v>59.5</v>
      </c>
      <c r="X90" s="262">
        <v>56.2</v>
      </c>
      <c r="Y90" s="262">
        <v>196.8</v>
      </c>
      <c r="Z90" s="262">
        <v>29208</v>
      </c>
      <c r="AA90" s="262">
        <v>134</v>
      </c>
      <c r="AB90" s="262">
        <v>162.30000000000001</v>
      </c>
      <c r="AC90" s="262">
        <v>136</v>
      </c>
    </row>
    <row r="91" spans="1:29" x14ac:dyDescent="0.2">
      <c r="A91" s="200">
        <v>43160</v>
      </c>
      <c r="B91" s="343">
        <v>41548740.249999993</v>
      </c>
      <c r="C91" s="348">
        <v>121362.9</v>
      </c>
      <c r="D91" s="261"/>
      <c r="E91" s="261"/>
      <c r="F91" s="261">
        <v>13193.5</v>
      </c>
      <c r="G91" s="261"/>
      <c r="H91" s="343">
        <f t="shared" si="1"/>
        <v>41656909.649999991</v>
      </c>
      <c r="I91" s="155"/>
      <c r="J91" s="262">
        <v>577.70000000000005</v>
      </c>
      <c r="K91" s="262">
        <v>0</v>
      </c>
      <c r="L91" s="262">
        <v>2928123.0246911421</v>
      </c>
      <c r="M91" s="255"/>
      <c r="N91" s="255">
        <v>31</v>
      </c>
      <c r="O91" s="262">
        <v>1</v>
      </c>
      <c r="P91" s="262">
        <v>142.6</v>
      </c>
      <c r="Q91" s="262">
        <v>5.5</v>
      </c>
      <c r="R91" s="262">
        <v>63.5</v>
      </c>
      <c r="S91" s="262">
        <v>60</v>
      </c>
      <c r="T91" s="262">
        <v>85.5</v>
      </c>
      <c r="U91" s="262">
        <v>350.6</v>
      </c>
      <c r="V91" s="262">
        <v>6.6</v>
      </c>
      <c r="W91" s="262">
        <v>59.7</v>
      </c>
      <c r="X91" s="262">
        <v>55.7</v>
      </c>
      <c r="Y91" s="262">
        <v>195.4</v>
      </c>
      <c r="Z91" s="262">
        <v>29230</v>
      </c>
      <c r="AA91" s="262">
        <v>134.6</v>
      </c>
      <c r="AB91" s="262">
        <v>164.1</v>
      </c>
      <c r="AC91" s="262">
        <v>136.69999999999999</v>
      </c>
    </row>
    <row r="92" spans="1:29" x14ac:dyDescent="0.2">
      <c r="A92" s="200">
        <v>43191</v>
      </c>
      <c r="B92" s="343">
        <v>38285930.12999998</v>
      </c>
      <c r="C92" s="348">
        <v>337549.30000000005</v>
      </c>
      <c r="D92" s="261"/>
      <c r="E92" s="261"/>
      <c r="F92" s="261">
        <v>8710.0499999999993</v>
      </c>
      <c r="G92" s="261"/>
      <c r="H92" s="343">
        <f t="shared" si="1"/>
        <v>38614769.37999998</v>
      </c>
      <c r="I92" s="155"/>
      <c r="J92" s="262">
        <v>438.3</v>
      </c>
      <c r="K92" s="262">
        <v>0</v>
      </c>
      <c r="L92" s="262">
        <v>2947324.8936115033</v>
      </c>
      <c r="M92" s="255"/>
      <c r="N92" s="255">
        <v>30</v>
      </c>
      <c r="O92" s="262">
        <v>1</v>
      </c>
      <c r="P92" s="262">
        <v>142.80000000000001</v>
      </c>
      <c r="Q92" s="262">
        <v>5.4</v>
      </c>
      <c r="R92" s="262">
        <v>64</v>
      </c>
      <c r="S92" s="262">
        <v>60.6</v>
      </c>
      <c r="T92" s="262">
        <v>86.5</v>
      </c>
      <c r="U92" s="262">
        <v>351</v>
      </c>
      <c r="V92" s="262">
        <v>6.7</v>
      </c>
      <c r="W92" s="262">
        <v>60.2</v>
      </c>
      <c r="X92" s="262">
        <v>56.2</v>
      </c>
      <c r="Y92" s="262">
        <v>197.1</v>
      </c>
      <c r="Z92" s="262">
        <v>29230</v>
      </c>
      <c r="AA92" s="262">
        <v>134.80000000000001</v>
      </c>
      <c r="AB92" s="262">
        <v>168.2</v>
      </c>
      <c r="AC92" s="262">
        <v>136.80000000000001</v>
      </c>
    </row>
    <row r="93" spans="1:29" x14ac:dyDescent="0.2">
      <c r="A93" s="200">
        <v>43221</v>
      </c>
      <c r="B93" s="343">
        <v>36063657.63000001</v>
      </c>
      <c r="C93" s="348">
        <v>306211.69999999995</v>
      </c>
      <c r="D93" s="261"/>
      <c r="E93" s="261"/>
      <c r="F93" s="261">
        <v>307995.26</v>
      </c>
      <c r="G93" s="261"/>
      <c r="H93" s="343">
        <f t="shared" si="1"/>
        <v>36061874.070000015</v>
      </c>
      <c r="I93" s="155"/>
      <c r="J93" s="262">
        <v>83.6</v>
      </c>
      <c r="K93" s="262">
        <v>30</v>
      </c>
      <c r="L93" s="262">
        <v>2966526.7625318645</v>
      </c>
      <c r="M93" s="255"/>
      <c r="N93" s="255">
        <v>31</v>
      </c>
      <c r="O93" s="262">
        <v>1</v>
      </c>
      <c r="P93" s="262">
        <v>143</v>
      </c>
      <c r="Q93" s="262">
        <v>5.7</v>
      </c>
      <c r="R93" s="262">
        <v>64.5</v>
      </c>
      <c r="S93" s="262">
        <v>60.8</v>
      </c>
      <c r="T93" s="262">
        <v>87</v>
      </c>
      <c r="U93" s="262">
        <v>351.5</v>
      </c>
      <c r="V93" s="262">
        <v>6.9</v>
      </c>
      <c r="W93" s="262">
        <v>61.3</v>
      </c>
      <c r="X93" s="262">
        <v>57.2</v>
      </c>
      <c r="Y93" s="262">
        <v>200.9</v>
      </c>
      <c r="Z93" s="262">
        <v>29232</v>
      </c>
      <c r="AA93" s="262">
        <v>134.9</v>
      </c>
      <c r="AB93" s="262">
        <v>170.5</v>
      </c>
      <c r="AC93" s="262">
        <v>136.69999999999999</v>
      </c>
    </row>
    <row r="94" spans="1:29" x14ac:dyDescent="0.2">
      <c r="A94" s="200">
        <v>43252</v>
      </c>
      <c r="B94" s="343">
        <v>38564071.070000008</v>
      </c>
      <c r="C94" s="348">
        <v>483883.5</v>
      </c>
      <c r="D94" s="261"/>
      <c r="E94" s="261"/>
      <c r="F94" s="261">
        <v>47587.08</v>
      </c>
      <c r="G94" s="261"/>
      <c r="H94" s="343">
        <f t="shared" si="1"/>
        <v>39000367.49000001</v>
      </c>
      <c r="I94" s="155"/>
      <c r="J94" s="262">
        <v>21.2</v>
      </c>
      <c r="K94" s="262">
        <v>47.8</v>
      </c>
      <c r="L94" s="262">
        <v>2985728.6314522256</v>
      </c>
      <c r="M94" s="255"/>
      <c r="N94" s="255">
        <v>30</v>
      </c>
      <c r="O94" s="262">
        <v>0</v>
      </c>
      <c r="P94" s="262">
        <v>143.19999999999999</v>
      </c>
      <c r="Q94" s="262">
        <v>5.9</v>
      </c>
      <c r="R94" s="262">
        <v>64.8</v>
      </c>
      <c r="S94" s="262">
        <v>61</v>
      </c>
      <c r="T94" s="262">
        <v>87.3</v>
      </c>
      <c r="U94" s="262">
        <v>351.9</v>
      </c>
      <c r="V94" s="262">
        <v>6.2</v>
      </c>
      <c r="W94" s="262">
        <v>61.9</v>
      </c>
      <c r="X94" s="262">
        <v>58.1</v>
      </c>
      <c r="Y94" s="262">
        <v>204.4</v>
      </c>
      <c r="Z94" s="262">
        <v>29229</v>
      </c>
      <c r="AA94" s="262">
        <v>135.30000000000001</v>
      </c>
      <c r="AB94" s="262">
        <v>168</v>
      </c>
      <c r="AC94" s="262">
        <v>137.5</v>
      </c>
    </row>
    <row r="95" spans="1:29" x14ac:dyDescent="0.2">
      <c r="A95" s="200">
        <v>43282</v>
      </c>
      <c r="B95" s="343">
        <v>49628857.740000024</v>
      </c>
      <c r="C95" s="348">
        <v>460359.30000000005</v>
      </c>
      <c r="D95" s="261"/>
      <c r="E95" s="261"/>
      <c r="F95" s="261">
        <v>12901.61</v>
      </c>
      <c r="G95" s="261"/>
      <c r="H95" s="343">
        <f t="shared" si="1"/>
        <v>50076315.430000022</v>
      </c>
      <c r="I95" s="155"/>
      <c r="J95" s="262">
        <v>0</v>
      </c>
      <c r="K95" s="262">
        <v>137.5</v>
      </c>
      <c r="L95" s="262">
        <v>3004930.5003725868</v>
      </c>
      <c r="M95" s="255"/>
      <c r="N95" s="255">
        <v>31</v>
      </c>
      <c r="O95" s="262">
        <v>0</v>
      </c>
      <c r="P95" s="262">
        <v>143.5</v>
      </c>
      <c r="Q95" s="262">
        <v>5.9</v>
      </c>
      <c r="R95" s="262">
        <v>65.2</v>
      </c>
      <c r="S95" s="262">
        <v>61.3</v>
      </c>
      <c r="T95" s="262">
        <v>88</v>
      </c>
      <c r="U95" s="262">
        <v>352.3</v>
      </c>
      <c r="V95" s="262">
        <v>6.9</v>
      </c>
      <c r="W95" s="262">
        <v>62.8</v>
      </c>
      <c r="X95" s="262">
        <v>58.5</v>
      </c>
      <c r="Y95" s="262">
        <v>206.1</v>
      </c>
      <c r="Z95" s="262">
        <v>29248</v>
      </c>
      <c r="AA95" s="262">
        <v>136</v>
      </c>
      <c r="AB95" s="262">
        <v>168.6</v>
      </c>
      <c r="AC95" s="262">
        <v>138</v>
      </c>
    </row>
    <row r="96" spans="1:29" x14ac:dyDescent="0.2">
      <c r="A96" s="200">
        <v>43313</v>
      </c>
      <c r="B96" s="343">
        <v>48629695.239999965</v>
      </c>
      <c r="C96" s="348">
        <v>541090.4</v>
      </c>
      <c r="D96" s="261"/>
      <c r="E96" s="261"/>
      <c r="F96" s="261">
        <v>12697.28</v>
      </c>
      <c r="G96" s="261"/>
      <c r="H96" s="343">
        <f t="shared" si="1"/>
        <v>49158088.359999962</v>
      </c>
      <c r="I96" s="155"/>
      <c r="J96" s="262">
        <v>1.6</v>
      </c>
      <c r="K96" s="262">
        <v>124</v>
      </c>
      <c r="L96" s="262">
        <v>3024132.3692929479</v>
      </c>
      <c r="M96" s="255"/>
      <c r="N96" s="255">
        <v>31</v>
      </c>
      <c r="O96" s="262">
        <v>0</v>
      </c>
      <c r="P96" s="262">
        <v>143.80000000000001</v>
      </c>
      <c r="Q96" s="262">
        <v>6.2</v>
      </c>
      <c r="R96" s="262">
        <v>65.099999999999994</v>
      </c>
      <c r="S96" s="262">
        <v>61.1</v>
      </c>
      <c r="T96" s="262">
        <v>87.9</v>
      </c>
      <c r="U96" s="262">
        <v>352.8</v>
      </c>
      <c r="V96" s="262">
        <v>7.3</v>
      </c>
      <c r="W96" s="262">
        <v>62.8</v>
      </c>
      <c r="X96" s="262">
        <v>58.2</v>
      </c>
      <c r="Y96" s="262">
        <v>205.4</v>
      </c>
      <c r="Z96" s="262">
        <v>29265</v>
      </c>
      <c r="AA96" s="262">
        <v>135.9</v>
      </c>
      <c r="AB96" s="262">
        <v>167.1</v>
      </c>
      <c r="AC96" s="262">
        <v>137.9</v>
      </c>
    </row>
    <row r="97" spans="1:29" x14ac:dyDescent="0.2">
      <c r="A97" s="200">
        <v>43344</v>
      </c>
      <c r="B97" s="343">
        <v>41064153.550000027</v>
      </c>
      <c r="C97" s="348">
        <v>445219.2</v>
      </c>
      <c r="D97" s="261"/>
      <c r="E97" s="261"/>
      <c r="F97" s="261">
        <v>12831.55</v>
      </c>
      <c r="G97" s="261"/>
      <c r="H97" s="343">
        <f t="shared" si="1"/>
        <v>41496541.200000033</v>
      </c>
      <c r="I97" s="155"/>
      <c r="J97" s="262">
        <v>57.9</v>
      </c>
      <c r="K97" s="262">
        <v>69.3</v>
      </c>
      <c r="L97" s="262">
        <v>3043334.2382133091</v>
      </c>
      <c r="M97" s="255"/>
      <c r="N97" s="255">
        <v>30</v>
      </c>
      <c r="O97" s="262">
        <v>1</v>
      </c>
      <c r="P97" s="262">
        <v>144</v>
      </c>
      <c r="Q97" s="262">
        <v>5.7</v>
      </c>
      <c r="R97" s="262">
        <v>64.7</v>
      </c>
      <c r="S97" s="262">
        <v>61</v>
      </c>
      <c r="T97" s="262">
        <v>87.9</v>
      </c>
      <c r="U97" s="262">
        <v>353.2</v>
      </c>
      <c r="V97" s="262">
        <v>7.1</v>
      </c>
      <c r="W97" s="262">
        <v>62.5</v>
      </c>
      <c r="X97" s="262">
        <v>58.1</v>
      </c>
      <c r="Y97" s="262">
        <v>205.1</v>
      </c>
      <c r="Z97" s="262">
        <v>29273</v>
      </c>
      <c r="AA97" s="262">
        <v>135.19999999999999</v>
      </c>
      <c r="AB97" s="262">
        <v>164.6</v>
      </c>
      <c r="AC97" s="262">
        <v>137.4</v>
      </c>
    </row>
    <row r="98" spans="1:29" x14ac:dyDescent="0.2">
      <c r="A98" s="200">
        <v>43374</v>
      </c>
      <c r="B98" s="343">
        <v>37443471.689999975</v>
      </c>
      <c r="C98" s="348">
        <v>336027.3</v>
      </c>
      <c r="D98" s="261"/>
      <c r="E98" s="261"/>
      <c r="F98" s="261">
        <v>16147.44</v>
      </c>
      <c r="G98" s="261"/>
      <c r="H98" s="343">
        <f t="shared" si="1"/>
        <v>37763351.549999975</v>
      </c>
      <c r="I98" s="155"/>
      <c r="J98" s="262">
        <v>258.2</v>
      </c>
      <c r="K98" s="262">
        <v>11.1</v>
      </c>
      <c r="L98" s="262">
        <v>3062536.1071336702</v>
      </c>
      <c r="M98" s="255"/>
      <c r="N98" s="255">
        <v>31</v>
      </c>
      <c r="O98" s="262">
        <v>1</v>
      </c>
      <c r="P98" s="262">
        <v>144.19999999999999</v>
      </c>
      <c r="Q98" s="262">
        <v>5.3</v>
      </c>
      <c r="R98" s="262">
        <v>63.3</v>
      </c>
      <c r="S98" s="262">
        <v>60</v>
      </c>
      <c r="T98" s="262">
        <v>86.5</v>
      </c>
      <c r="U98" s="262">
        <v>353.6</v>
      </c>
      <c r="V98" s="262">
        <v>6.5</v>
      </c>
      <c r="W98" s="262">
        <v>62</v>
      </c>
      <c r="X98" s="262">
        <v>57.9</v>
      </c>
      <c r="Y98" s="262">
        <v>204.7</v>
      </c>
      <c r="Z98" s="262">
        <v>29290</v>
      </c>
      <c r="AA98" s="262">
        <v>135.6</v>
      </c>
      <c r="AB98" s="262">
        <v>160.69999999999999</v>
      </c>
      <c r="AC98" s="262">
        <v>137.9</v>
      </c>
    </row>
    <row r="99" spans="1:29" x14ac:dyDescent="0.2">
      <c r="A99" s="200">
        <v>43405</v>
      </c>
      <c r="B99" s="343">
        <v>39843675.400000006</v>
      </c>
      <c r="C99" s="348">
        <v>220943.8</v>
      </c>
      <c r="D99" s="261"/>
      <c r="E99" s="261"/>
      <c r="F99" s="261">
        <v>13164.31</v>
      </c>
      <c r="G99" s="261"/>
      <c r="H99" s="343">
        <f t="shared" si="1"/>
        <v>40051454.890000001</v>
      </c>
      <c r="I99" s="155"/>
      <c r="J99" s="262">
        <v>479.8</v>
      </c>
      <c r="K99" s="262">
        <v>0</v>
      </c>
      <c r="L99" s="262">
        <v>3081737.9760540314</v>
      </c>
      <c r="M99" s="255"/>
      <c r="N99" s="255">
        <v>30</v>
      </c>
      <c r="O99" s="262">
        <v>1</v>
      </c>
      <c r="P99" s="262">
        <v>144.30000000000001</v>
      </c>
      <c r="Q99" s="262">
        <v>4.7</v>
      </c>
      <c r="R99" s="262">
        <v>62.4</v>
      </c>
      <c r="S99" s="262">
        <v>59.5</v>
      </c>
      <c r="T99" s="262">
        <v>85.8</v>
      </c>
      <c r="U99" s="262">
        <v>353.9</v>
      </c>
      <c r="V99" s="262">
        <v>6.1</v>
      </c>
      <c r="W99" s="262">
        <v>60.9</v>
      </c>
      <c r="X99" s="262">
        <v>57.2</v>
      </c>
      <c r="Y99" s="262">
        <v>202.6</v>
      </c>
      <c r="Z99" s="262">
        <v>29307</v>
      </c>
      <c r="AA99" s="262">
        <v>135.1</v>
      </c>
      <c r="AB99" s="262">
        <v>152.4</v>
      </c>
      <c r="AC99" s="262">
        <v>137.4</v>
      </c>
    </row>
    <row r="100" spans="1:29" x14ac:dyDescent="0.2">
      <c r="A100" s="200">
        <v>43435</v>
      </c>
      <c r="B100" s="343">
        <v>41914947.409999989</v>
      </c>
      <c r="C100" s="348">
        <v>119224.4</v>
      </c>
      <c r="D100" s="261"/>
      <c r="E100" s="261"/>
      <c r="F100" s="261">
        <v>13613.82</v>
      </c>
      <c r="G100" s="261">
        <v>1283.8</v>
      </c>
      <c r="H100" s="343">
        <f t="shared" si="1"/>
        <v>42019274.18999999</v>
      </c>
      <c r="I100" s="155"/>
      <c r="J100" s="262">
        <v>550.4</v>
      </c>
      <c r="K100" s="262">
        <v>0</v>
      </c>
      <c r="L100" s="262">
        <v>3100939.8449743926</v>
      </c>
      <c r="M100" s="255"/>
      <c r="N100" s="255">
        <v>31</v>
      </c>
      <c r="O100" s="262">
        <v>0</v>
      </c>
      <c r="P100" s="262">
        <v>144.4</v>
      </c>
      <c r="Q100" s="262">
        <v>4.9000000000000004</v>
      </c>
      <c r="R100" s="262">
        <v>62</v>
      </c>
      <c r="S100" s="262">
        <v>58.9</v>
      </c>
      <c r="T100" s="262">
        <v>85.1</v>
      </c>
      <c r="U100" s="262">
        <v>354.3</v>
      </c>
      <c r="V100" s="262">
        <v>6.3</v>
      </c>
      <c r="W100" s="262">
        <v>60.8</v>
      </c>
      <c r="X100" s="262">
        <v>57</v>
      </c>
      <c r="Y100" s="262">
        <v>201.8</v>
      </c>
      <c r="Z100" s="262">
        <v>29323</v>
      </c>
      <c r="AA100" s="262">
        <v>135</v>
      </c>
      <c r="AB100" s="262">
        <v>147.4</v>
      </c>
      <c r="AC100" s="262">
        <v>137.5</v>
      </c>
    </row>
    <row r="101" spans="1:29" x14ac:dyDescent="0.2">
      <c r="A101" s="200">
        <v>43466</v>
      </c>
      <c r="B101" s="343">
        <v>46622026.859999999</v>
      </c>
      <c r="C101" s="348">
        <v>74462.720000000001</v>
      </c>
      <c r="D101" s="261"/>
      <c r="E101" s="261"/>
      <c r="F101" s="261">
        <v>13421.18</v>
      </c>
      <c r="G101" s="261">
        <v>4484.0387591999997</v>
      </c>
      <c r="H101" s="343">
        <f t="shared" si="1"/>
        <v>46678584.361240797</v>
      </c>
      <c r="I101" s="155"/>
      <c r="J101" s="262">
        <v>726.3</v>
      </c>
      <c r="K101" s="262">
        <v>0</v>
      </c>
      <c r="L101" s="262">
        <v>3103377.6068723211</v>
      </c>
      <c r="M101" s="255"/>
      <c r="N101" s="255">
        <v>31</v>
      </c>
      <c r="O101" s="262">
        <v>0</v>
      </c>
      <c r="P101" s="262">
        <v>144.5</v>
      </c>
      <c r="Q101" s="262">
        <v>5.0999999999999996</v>
      </c>
      <c r="R101" s="262">
        <v>62</v>
      </c>
      <c r="S101" s="262">
        <v>58.8</v>
      </c>
      <c r="T101" s="262">
        <v>85</v>
      </c>
      <c r="U101" s="262">
        <v>354.7</v>
      </c>
      <c r="V101" s="262">
        <v>6.5</v>
      </c>
      <c r="W101" s="262">
        <v>60.1</v>
      </c>
      <c r="X101" s="262">
        <v>56.1</v>
      </c>
      <c r="Y101" s="262">
        <v>199.1</v>
      </c>
      <c r="Z101" s="262">
        <v>29344</v>
      </c>
      <c r="AA101" s="262">
        <v>135.19999999999999</v>
      </c>
      <c r="AB101" s="262">
        <v>146.19999999999999</v>
      </c>
      <c r="AC101" s="262">
        <v>137.69999999999999</v>
      </c>
    </row>
    <row r="102" spans="1:29" x14ac:dyDescent="0.2">
      <c r="A102" s="200">
        <v>43497</v>
      </c>
      <c r="B102" s="343">
        <v>41188691.579999998</v>
      </c>
      <c r="C102" s="348">
        <v>101188.9</v>
      </c>
      <c r="D102" s="261"/>
      <c r="E102" s="261"/>
      <c r="F102" s="261">
        <v>20169.71</v>
      </c>
      <c r="G102" s="261">
        <v>75244.473404100005</v>
      </c>
      <c r="H102" s="343">
        <f t="shared" si="1"/>
        <v>41194466.296595894</v>
      </c>
      <c r="I102" s="155"/>
      <c r="J102" s="262">
        <v>587.79999999999995</v>
      </c>
      <c r="K102" s="262">
        <v>0</v>
      </c>
      <c r="L102" s="262">
        <v>3105815.3687702497</v>
      </c>
      <c r="M102" s="255"/>
      <c r="N102" s="255">
        <v>28</v>
      </c>
      <c r="O102" s="262">
        <v>0</v>
      </c>
      <c r="P102" s="262">
        <v>144.69999999999999</v>
      </c>
      <c r="Q102" s="262">
        <v>4.9000000000000004</v>
      </c>
      <c r="R102" s="262">
        <v>61.9</v>
      </c>
      <c r="S102" s="262">
        <v>58.9</v>
      </c>
      <c r="T102" s="262">
        <v>85.2</v>
      </c>
      <c r="U102" s="262">
        <v>355</v>
      </c>
      <c r="V102" s="262">
        <v>7</v>
      </c>
      <c r="W102" s="262">
        <v>59.8</v>
      </c>
      <c r="X102" s="262">
        <v>55.6</v>
      </c>
      <c r="Y102" s="262">
        <v>197.4</v>
      </c>
      <c r="Z102" s="262">
        <v>29330</v>
      </c>
      <c r="AA102" s="262">
        <v>136</v>
      </c>
      <c r="AB102" s="262">
        <v>145.80000000000001</v>
      </c>
      <c r="AC102" s="262">
        <v>138.6</v>
      </c>
    </row>
    <row r="103" spans="1:29" x14ac:dyDescent="0.2">
      <c r="A103" s="200">
        <v>43525</v>
      </c>
      <c r="B103" s="343">
        <v>42070897.649999976</v>
      </c>
      <c r="C103" s="348">
        <v>143751.79999999999</v>
      </c>
      <c r="D103" s="261"/>
      <c r="E103" s="261"/>
      <c r="F103" s="261">
        <v>12866.58</v>
      </c>
      <c r="G103" s="261">
        <v>111282.004548</v>
      </c>
      <c r="H103" s="343">
        <f t="shared" si="1"/>
        <v>42090500.865451977</v>
      </c>
      <c r="I103" s="155"/>
      <c r="J103" s="262">
        <v>598</v>
      </c>
      <c r="K103" s="262">
        <v>0</v>
      </c>
      <c r="L103" s="262">
        <v>3108253.1306681782</v>
      </c>
      <c r="M103" s="255"/>
      <c r="N103" s="255">
        <v>31</v>
      </c>
      <c r="O103" s="262">
        <v>1</v>
      </c>
      <c r="P103" s="262">
        <v>144.9</v>
      </c>
      <c r="Q103" s="262">
        <v>4.9000000000000004</v>
      </c>
      <c r="R103" s="262">
        <v>62.5</v>
      </c>
      <c r="S103" s="262">
        <v>59.4</v>
      </c>
      <c r="T103" s="262">
        <v>86.1</v>
      </c>
      <c r="U103" s="262">
        <v>355.4</v>
      </c>
      <c r="V103" s="262">
        <v>7.3</v>
      </c>
      <c r="W103" s="262">
        <v>58.4</v>
      </c>
      <c r="X103" s="262">
        <v>54.1</v>
      </c>
      <c r="Y103" s="262">
        <v>192.4</v>
      </c>
      <c r="Z103" s="262">
        <v>29340</v>
      </c>
      <c r="AA103" s="262">
        <v>137</v>
      </c>
      <c r="AB103" s="262">
        <v>155.4</v>
      </c>
      <c r="AC103" s="262">
        <v>139.5</v>
      </c>
    </row>
    <row r="104" spans="1:29" x14ac:dyDescent="0.2">
      <c r="A104" s="200">
        <v>43556</v>
      </c>
      <c r="B104" s="343">
        <v>36296821.840000033</v>
      </c>
      <c r="C104" s="348">
        <v>327033</v>
      </c>
      <c r="D104" s="261"/>
      <c r="E104" s="261"/>
      <c r="F104" s="261">
        <v>13041.72</v>
      </c>
      <c r="G104" s="261">
        <v>71062.896890699994</v>
      </c>
      <c r="H104" s="343">
        <f t="shared" si="1"/>
        <v>36539750.223109335</v>
      </c>
      <c r="I104" s="155"/>
      <c r="J104" s="262">
        <v>334.1</v>
      </c>
      <c r="K104" s="262">
        <v>0</v>
      </c>
      <c r="L104" s="262">
        <v>3110690.8925661067</v>
      </c>
      <c r="M104" s="255"/>
      <c r="N104" s="255">
        <v>30</v>
      </c>
      <c r="O104" s="262">
        <v>1</v>
      </c>
      <c r="P104" s="262">
        <v>145.1</v>
      </c>
      <c r="Q104" s="262">
        <v>4.9000000000000004</v>
      </c>
      <c r="R104" s="262">
        <v>63.6</v>
      </c>
      <c r="S104" s="262">
        <v>60.6</v>
      </c>
      <c r="T104" s="262">
        <v>87.9</v>
      </c>
      <c r="U104" s="262">
        <v>355.7</v>
      </c>
      <c r="V104" s="262">
        <v>7.2</v>
      </c>
      <c r="W104" s="262">
        <v>57.6</v>
      </c>
      <c r="X104" s="262">
        <v>53.5</v>
      </c>
      <c r="Y104" s="262">
        <v>190.2</v>
      </c>
      <c r="Z104" s="262">
        <v>29411</v>
      </c>
      <c r="AA104" s="262">
        <v>137.4</v>
      </c>
      <c r="AB104" s="262">
        <v>165.4</v>
      </c>
      <c r="AC104" s="262">
        <v>139.80000000000001</v>
      </c>
    </row>
    <row r="105" spans="1:29" x14ac:dyDescent="0.2">
      <c r="A105" s="200">
        <v>43586</v>
      </c>
      <c r="B105" s="343">
        <v>35335301.459999986</v>
      </c>
      <c r="C105" s="348">
        <v>340531.80000000005</v>
      </c>
      <c r="D105" s="261"/>
      <c r="E105" s="261"/>
      <c r="F105" s="261">
        <v>13403.66</v>
      </c>
      <c r="G105" s="261">
        <v>130424.53714289999</v>
      </c>
      <c r="H105" s="343">
        <f t="shared" si="1"/>
        <v>35532005.062857084</v>
      </c>
      <c r="I105" s="155"/>
      <c r="J105" s="262">
        <v>173.7</v>
      </c>
      <c r="K105" s="262">
        <v>1.8</v>
      </c>
      <c r="L105" s="262">
        <v>3113128.6544640353</v>
      </c>
      <c r="M105" s="255"/>
      <c r="N105" s="255">
        <v>31</v>
      </c>
      <c r="O105" s="262">
        <v>1</v>
      </c>
      <c r="P105" s="262">
        <v>145.30000000000001</v>
      </c>
      <c r="Q105" s="262">
        <v>4.7</v>
      </c>
      <c r="R105" s="262">
        <v>64.8</v>
      </c>
      <c r="S105" s="262">
        <v>61.7</v>
      </c>
      <c r="T105" s="262">
        <v>89.7</v>
      </c>
      <c r="U105" s="262">
        <v>356.1</v>
      </c>
      <c r="V105" s="262">
        <v>6.2</v>
      </c>
      <c r="W105" s="262">
        <v>57.4</v>
      </c>
      <c r="X105" s="262">
        <v>53.9</v>
      </c>
      <c r="Y105" s="262">
        <v>191.9</v>
      </c>
      <c r="Z105" s="262">
        <v>29394</v>
      </c>
      <c r="AA105" s="262">
        <v>138.1</v>
      </c>
      <c r="AB105" s="262">
        <v>167.1</v>
      </c>
      <c r="AC105" s="262">
        <v>140.30000000000001</v>
      </c>
    </row>
    <row r="106" spans="1:29" x14ac:dyDescent="0.2">
      <c r="A106" s="200">
        <v>43617</v>
      </c>
      <c r="B106" s="343">
        <v>36918421.580000013</v>
      </c>
      <c r="C106" s="348">
        <v>415601.5</v>
      </c>
      <c r="D106" s="261"/>
      <c r="E106" s="261"/>
      <c r="F106" s="261">
        <v>12317.83</v>
      </c>
      <c r="G106" s="261">
        <v>170812.68131069999</v>
      </c>
      <c r="H106" s="343">
        <f t="shared" si="1"/>
        <v>37150892.568689317</v>
      </c>
      <c r="I106" s="155"/>
      <c r="J106" s="262">
        <v>33.6</v>
      </c>
      <c r="K106" s="262">
        <v>31.8</v>
      </c>
      <c r="L106" s="262">
        <v>3115566.4163619638</v>
      </c>
      <c r="M106" s="255"/>
      <c r="N106" s="255">
        <v>30</v>
      </c>
      <c r="O106" s="262">
        <v>0</v>
      </c>
      <c r="P106" s="262">
        <v>145.6</v>
      </c>
      <c r="Q106" s="262">
        <v>4.7</v>
      </c>
      <c r="R106" s="262">
        <v>65.7</v>
      </c>
      <c r="S106" s="262">
        <v>62.6</v>
      </c>
      <c r="T106" s="262">
        <v>91.2</v>
      </c>
      <c r="U106" s="262">
        <v>356.6</v>
      </c>
      <c r="V106" s="262">
        <v>5.4</v>
      </c>
      <c r="W106" s="262">
        <v>58</v>
      </c>
      <c r="X106" s="262">
        <v>55</v>
      </c>
      <c r="Y106" s="262">
        <v>196</v>
      </c>
      <c r="Z106" s="262">
        <v>29406</v>
      </c>
      <c r="AA106" s="262">
        <v>138</v>
      </c>
      <c r="AB106" s="262">
        <v>161.1</v>
      </c>
      <c r="AC106" s="262">
        <v>140.30000000000001</v>
      </c>
    </row>
    <row r="107" spans="1:29" x14ac:dyDescent="0.2">
      <c r="A107" s="200">
        <v>43647</v>
      </c>
      <c r="B107" s="343">
        <v>48958080.650000021</v>
      </c>
      <c r="C107" s="348">
        <v>492115.4</v>
      </c>
      <c r="D107" s="261"/>
      <c r="E107" s="261"/>
      <c r="F107" s="261">
        <v>13479.55</v>
      </c>
      <c r="G107" s="261">
        <v>272439.18277289998</v>
      </c>
      <c r="H107" s="343">
        <f t="shared" si="1"/>
        <v>49164277.317227118</v>
      </c>
      <c r="I107" s="155"/>
      <c r="J107" s="262">
        <v>0</v>
      </c>
      <c r="K107" s="262">
        <v>143.80000000000001</v>
      </c>
      <c r="L107" s="262">
        <v>3118004.1782598924</v>
      </c>
      <c r="M107" s="255"/>
      <c r="N107" s="255">
        <v>31</v>
      </c>
      <c r="O107" s="262">
        <v>0</v>
      </c>
      <c r="P107" s="262">
        <v>145.9</v>
      </c>
      <c r="Q107" s="262">
        <v>5</v>
      </c>
      <c r="R107" s="262">
        <v>65.5</v>
      </c>
      <c r="S107" s="262">
        <v>62.2</v>
      </c>
      <c r="T107" s="262">
        <v>90.8</v>
      </c>
      <c r="U107" s="262">
        <v>357.1</v>
      </c>
      <c r="V107" s="262">
        <v>5.4</v>
      </c>
      <c r="W107" s="262">
        <v>59</v>
      </c>
      <c r="X107" s="262">
        <v>55.8</v>
      </c>
      <c r="Y107" s="262">
        <v>199.2</v>
      </c>
      <c r="Z107" s="262">
        <v>29415</v>
      </c>
      <c r="AA107" s="262">
        <v>138.80000000000001</v>
      </c>
      <c r="AB107" s="262">
        <v>165.5</v>
      </c>
      <c r="AC107" s="262">
        <v>141.19999999999999</v>
      </c>
    </row>
    <row r="108" spans="1:29" x14ac:dyDescent="0.2">
      <c r="A108" s="200">
        <v>43678</v>
      </c>
      <c r="B108" s="343">
        <v>45777930.170000002</v>
      </c>
      <c r="C108" s="348">
        <v>490898.1</v>
      </c>
      <c r="D108" s="261"/>
      <c r="E108" s="261"/>
      <c r="F108" s="261">
        <v>13497.07</v>
      </c>
      <c r="G108" s="261">
        <v>348271.57798290002</v>
      </c>
      <c r="H108" s="343">
        <f t="shared" si="1"/>
        <v>45907059.6220171</v>
      </c>
      <c r="I108" s="155"/>
      <c r="J108" s="262">
        <v>4.5999999999999996</v>
      </c>
      <c r="K108" s="262">
        <v>76</v>
      </c>
      <c r="L108" s="262">
        <v>3120441.9401578209</v>
      </c>
      <c r="M108" s="255"/>
      <c r="N108" s="255">
        <v>31</v>
      </c>
      <c r="O108" s="262">
        <v>0</v>
      </c>
      <c r="P108" s="262">
        <v>146.19999999999999</v>
      </c>
      <c r="Q108" s="262">
        <v>6.1</v>
      </c>
      <c r="R108" s="262">
        <v>65.099999999999994</v>
      </c>
      <c r="S108" s="262">
        <v>61.2</v>
      </c>
      <c r="T108" s="262">
        <v>89.5</v>
      </c>
      <c r="U108" s="262">
        <v>357.6</v>
      </c>
      <c r="V108" s="262">
        <v>5.7</v>
      </c>
      <c r="W108" s="262">
        <v>59.9</v>
      </c>
      <c r="X108" s="262">
        <v>56.5</v>
      </c>
      <c r="Y108" s="262">
        <v>202</v>
      </c>
      <c r="Z108" s="262">
        <v>29440</v>
      </c>
      <c r="AA108" s="262">
        <v>138.5</v>
      </c>
      <c r="AB108" s="262">
        <v>160.69999999999999</v>
      </c>
      <c r="AC108" s="262">
        <v>140.9</v>
      </c>
    </row>
    <row r="109" spans="1:29" x14ac:dyDescent="0.2">
      <c r="A109" s="200">
        <v>43709</v>
      </c>
      <c r="B109" s="343">
        <v>37514501.140000001</v>
      </c>
      <c r="C109" s="348">
        <v>491100.5</v>
      </c>
      <c r="D109" s="261"/>
      <c r="E109" s="261"/>
      <c r="F109" s="261">
        <v>10210.370000000001</v>
      </c>
      <c r="G109" s="261">
        <v>461243.88508769998</v>
      </c>
      <c r="H109" s="343">
        <f t="shared" si="1"/>
        <v>37534147.384912297</v>
      </c>
      <c r="I109" s="155" t="s">
        <v>57</v>
      </c>
      <c r="J109" s="262">
        <v>32</v>
      </c>
      <c r="K109" s="262">
        <v>11.6</v>
      </c>
      <c r="L109" s="262">
        <v>3122879.7020557495</v>
      </c>
      <c r="M109" s="255"/>
      <c r="N109" s="255">
        <v>30</v>
      </c>
      <c r="O109" s="262">
        <v>1</v>
      </c>
      <c r="P109" s="262">
        <v>146.5</v>
      </c>
      <c r="Q109" s="262">
        <v>6.3</v>
      </c>
      <c r="R109" s="262">
        <v>63.8</v>
      </c>
      <c r="S109" s="262">
        <v>59.7</v>
      </c>
      <c r="T109" s="262">
        <v>87.5</v>
      </c>
      <c r="U109" s="262">
        <v>358.1</v>
      </c>
      <c r="V109" s="262">
        <v>5.7</v>
      </c>
      <c r="W109" s="262">
        <v>60.2</v>
      </c>
      <c r="X109" s="262">
        <v>56.7</v>
      </c>
      <c r="Y109" s="262">
        <v>203.1</v>
      </c>
      <c r="Z109" s="262">
        <v>29481</v>
      </c>
      <c r="AA109" s="262">
        <v>137.5</v>
      </c>
      <c r="AB109" s="262">
        <v>159.5</v>
      </c>
      <c r="AC109" s="262">
        <v>139.69999999999999</v>
      </c>
    </row>
    <row r="110" spans="1:29" x14ac:dyDescent="0.2">
      <c r="A110" s="200">
        <v>43739</v>
      </c>
      <c r="B110" s="343">
        <v>36374484.030000001</v>
      </c>
      <c r="C110" s="348">
        <v>387286.9</v>
      </c>
      <c r="D110" s="261"/>
      <c r="E110" s="261"/>
      <c r="F110" s="261">
        <v>13100.1</v>
      </c>
      <c r="G110" s="261">
        <v>572140.582299</v>
      </c>
      <c r="H110" s="343">
        <f t="shared" si="1"/>
        <v>36176530.247700997</v>
      </c>
      <c r="I110" s="155"/>
      <c r="J110" s="262">
        <v>220.9</v>
      </c>
      <c r="K110" s="262">
        <v>3.9</v>
      </c>
      <c r="L110" s="262">
        <v>3125317.463953678</v>
      </c>
      <c r="M110" s="255"/>
      <c r="N110" s="255">
        <v>31</v>
      </c>
      <c r="O110" s="262">
        <v>1</v>
      </c>
      <c r="P110" s="262">
        <v>146.80000000000001</v>
      </c>
      <c r="Q110" s="262">
        <v>6.1</v>
      </c>
      <c r="R110" s="262">
        <v>62.5</v>
      </c>
      <c r="S110" s="262">
        <v>58.6</v>
      </c>
      <c r="T110" s="262">
        <v>86</v>
      </c>
      <c r="U110" s="262">
        <v>358.6</v>
      </c>
      <c r="V110" s="262">
        <v>5</v>
      </c>
      <c r="W110" s="262">
        <v>60</v>
      </c>
      <c r="X110" s="262">
        <v>57</v>
      </c>
      <c r="Y110" s="262">
        <v>204.3</v>
      </c>
      <c r="Z110" s="262">
        <v>29505</v>
      </c>
      <c r="AA110" s="262">
        <v>137.9</v>
      </c>
      <c r="AB110" s="262">
        <v>158</v>
      </c>
      <c r="AC110" s="262">
        <v>140.30000000000001</v>
      </c>
    </row>
    <row r="111" spans="1:29" x14ac:dyDescent="0.2">
      <c r="A111" s="200">
        <v>43770</v>
      </c>
      <c r="B111" s="343">
        <v>40089238.080000013</v>
      </c>
      <c r="C111" s="348">
        <v>202676.10000000003</v>
      </c>
      <c r="D111" s="261"/>
      <c r="E111" s="261"/>
      <c r="F111" s="261">
        <v>12802.37</v>
      </c>
      <c r="G111" s="261">
        <v>541670.92512389994</v>
      </c>
      <c r="H111" s="343">
        <f t="shared" si="1"/>
        <v>39737440.884876117</v>
      </c>
      <c r="I111" s="155"/>
      <c r="J111" s="262">
        <v>502.7</v>
      </c>
      <c r="K111" s="262">
        <v>0</v>
      </c>
      <c r="L111" s="262">
        <v>3127755.2258516066</v>
      </c>
      <c r="M111" s="255"/>
      <c r="N111" s="255">
        <v>30</v>
      </c>
      <c r="O111" s="262">
        <v>1</v>
      </c>
      <c r="P111" s="262">
        <v>146.9</v>
      </c>
      <c r="Q111" s="262">
        <v>5.6</v>
      </c>
      <c r="R111" s="262">
        <v>61.7</v>
      </c>
      <c r="S111" s="262">
        <v>58.2</v>
      </c>
      <c r="T111" s="262">
        <v>85.5</v>
      </c>
      <c r="U111" s="262">
        <v>359</v>
      </c>
      <c r="V111" s="262">
        <v>4.9000000000000004</v>
      </c>
      <c r="W111" s="262">
        <v>60.1</v>
      </c>
      <c r="X111" s="262">
        <v>57.2</v>
      </c>
      <c r="Y111" s="262">
        <v>205.2</v>
      </c>
      <c r="Z111" s="262">
        <v>29533</v>
      </c>
      <c r="AA111" s="262">
        <v>137.69999999999999</v>
      </c>
      <c r="AB111" s="262">
        <v>159</v>
      </c>
      <c r="AC111" s="262">
        <v>139.9</v>
      </c>
    </row>
    <row r="112" spans="1:29" x14ac:dyDescent="0.2">
      <c r="A112" s="200">
        <v>43800</v>
      </c>
      <c r="B112" s="343">
        <v>42739198.629999965</v>
      </c>
      <c r="C112" s="348">
        <v>176382.10000000003</v>
      </c>
      <c r="D112" s="261"/>
      <c r="E112" s="261"/>
      <c r="F112" s="261">
        <v>13467.88</v>
      </c>
      <c r="G112" s="261">
        <v>578267.14721489989</v>
      </c>
      <c r="H112" s="343">
        <f t="shared" si="1"/>
        <v>42323845.702785067</v>
      </c>
      <c r="I112" s="155"/>
      <c r="J112" s="262">
        <v>564.6</v>
      </c>
      <c r="K112" s="262">
        <v>0</v>
      </c>
      <c r="L112" s="262">
        <v>3130192.9877495351</v>
      </c>
      <c r="M112" s="255"/>
      <c r="N112" s="255">
        <v>31</v>
      </c>
      <c r="O112" s="262">
        <v>0</v>
      </c>
      <c r="P112" s="262">
        <v>147.1</v>
      </c>
      <c r="Q112" s="262">
        <v>5.4</v>
      </c>
      <c r="R112" s="262">
        <v>61.3</v>
      </c>
      <c r="S112" s="262">
        <v>58</v>
      </c>
      <c r="T112" s="262">
        <v>85.3</v>
      </c>
      <c r="U112" s="262">
        <v>359.4</v>
      </c>
      <c r="V112" s="262">
        <v>4.7</v>
      </c>
      <c r="W112" s="262">
        <v>60.4</v>
      </c>
      <c r="X112" s="262">
        <v>57.5</v>
      </c>
      <c r="Y112" s="262">
        <v>206.8</v>
      </c>
      <c r="Z112" s="262">
        <v>29573</v>
      </c>
      <c r="AA112" s="262">
        <v>137.80000000000001</v>
      </c>
      <c r="AB112" s="262">
        <v>158.69999999999999</v>
      </c>
      <c r="AC112" s="262">
        <v>140.1</v>
      </c>
    </row>
    <row r="113" spans="1:29" x14ac:dyDescent="0.2">
      <c r="A113" s="200">
        <v>43831</v>
      </c>
      <c r="B113" s="343">
        <v>44000407</v>
      </c>
      <c r="C113" s="348">
        <v>99207</v>
      </c>
      <c r="D113" s="261"/>
      <c r="E113" s="261"/>
      <c r="F113" s="261">
        <v>13462.040592000001</v>
      </c>
      <c r="G113" s="261">
        <v>587163.51322199998</v>
      </c>
      <c r="H113" s="343">
        <f t="shared" si="1"/>
        <v>43498988.446185999</v>
      </c>
      <c r="I113" s="155"/>
      <c r="J113" s="262">
        <v>566.4</v>
      </c>
      <c r="K113" s="262">
        <v>0</v>
      </c>
      <c r="L113" s="262">
        <v>3128290.8658073363</v>
      </c>
      <c r="M113" s="255"/>
      <c r="N113" s="255">
        <v>31</v>
      </c>
      <c r="O113" s="262">
        <v>0</v>
      </c>
      <c r="P113" s="262"/>
      <c r="Q113" s="262"/>
      <c r="R113" s="262"/>
      <c r="S113" s="262"/>
      <c r="T113" s="262"/>
      <c r="U113" s="262"/>
      <c r="V113" s="262"/>
      <c r="W113" s="262"/>
      <c r="X113" s="262"/>
      <c r="Y113" s="262"/>
      <c r="Z113" s="262">
        <v>29597</v>
      </c>
      <c r="AA113" s="262"/>
      <c r="AB113" s="262">
        <v>158.1</v>
      </c>
      <c r="AC113" s="262"/>
    </row>
    <row r="114" spans="1:29" x14ac:dyDescent="0.2">
      <c r="A114" s="200">
        <v>43862</v>
      </c>
      <c r="B114" s="343">
        <v>41219886</v>
      </c>
      <c r="C114" s="348">
        <v>110566</v>
      </c>
      <c r="D114" s="261"/>
      <c r="E114" s="261"/>
      <c r="F114" s="261">
        <v>12563.014464000002</v>
      </c>
      <c r="G114" s="261">
        <v>550664.55358199996</v>
      </c>
      <c r="H114" s="343">
        <f t="shared" si="1"/>
        <v>40767224.431953996</v>
      </c>
      <c r="I114" s="155"/>
      <c r="J114" s="262">
        <v>586.90000000000009</v>
      </c>
      <c r="K114" s="262">
        <v>0</v>
      </c>
      <c r="L114" s="262">
        <v>3126388.7438651375</v>
      </c>
      <c r="M114" s="255"/>
      <c r="N114" s="404">
        <v>29</v>
      </c>
      <c r="O114" s="262">
        <v>0</v>
      </c>
      <c r="P114" s="262"/>
      <c r="Q114" s="262"/>
      <c r="R114" s="262"/>
      <c r="S114" s="262"/>
      <c r="T114" s="262"/>
      <c r="U114" s="262"/>
      <c r="V114" s="262"/>
      <c r="W114" s="262"/>
      <c r="X114" s="262"/>
      <c r="Y114" s="262"/>
      <c r="Z114" s="262">
        <v>29634</v>
      </c>
      <c r="AA114" s="262"/>
      <c r="AB114" s="262">
        <v>155.30000000000001</v>
      </c>
      <c r="AC114" s="262"/>
    </row>
    <row r="115" spans="1:29" x14ac:dyDescent="0.2">
      <c r="A115" s="200">
        <v>43891</v>
      </c>
      <c r="B115" s="343">
        <v>39943443</v>
      </c>
      <c r="C115" s="348">
        <v>151929</v>
      </c>
      <c r="D115" s="261"/>
      <c r="E115" s="261"/>
      <c r="F115" s="261">
        <v>13584.635064</v>
      </c>
      <c r="G115" s="261">
        <v>629142.21641699993</v>
      </c>
      <c r="H115" s="343">
        <f t="shared" si="1"/>
        <v>39452645.148519002</v>
      </c>
      <c r="I115" s="155"/>
      <c r="J115" s="262">
        <v>433.8</v>
      </c>
      <c r="K115" s="262">
        <v>0</v>
      </c>
      <c r="L115" s="262">
        <v>3124486.6219229386</v>
      </c>
      <c r="M115" s="255"/>
      <c r="N115" s="255">
        <v>31</v>
      </c>
      <c r="O115" s="262">
        <v>1</v>
      </c>
      <c r="P115" s="262"/>
      <c r="Q115" s="262"/>
      <c r="R115" s="262"/>
      <c r="S115" s="262"/>
      <c r="T115" s="262"/>
      <c r="U115" s="262"/>
      <c r="V115" s="262"/>
      <c r="W115" s="262"/>
      <c r="X115" s="262"/>
      <c r="Y115" s="262"/>
      <c r="Z115" s="262">
        <v>29659</v>
      </c>
      <c r="AA115" s="262"/>
      <c r="AB115" s="262">
        <v>136.69999999999999</v>
      </c>
      <c r="AC115" s="262"/>
    </row>
    <row r="116" spans="1:29" x14ac:dyDescent="0.2">
      <c r="A116" s="200">
        <v>43922</v>
      </c>
      <c r="B116" s="343">
        <v>34785312</v>
      </c>
      <c r="C116" s="348">
        <v>286156</v>
      </c>
      <c r="D116" s="261"/>
      <c r="E116" s="261"/>
      <c r="F116" s="261">
        <v>12878.257392000001</v>
      </c>
      <c r="G116" s="261">
        <v>569627.60411700001</v>
      </c>
      <c r="H116" s="343">
        <f t="shared" si="1"/>
        <v>34488962.138490997</v>
      </c>
      <c r="I116" s="155"/>
      <c r="J116" s="262">
        <v>372.9</v>
      </c>
      <c r="K116" s="262">
        <v>0</v>
      </c>
      <c r="L116" s="262">
        <v>3122584.4999807398</v>
      </c>
      <c r="M116" s="255"/>
      <c r="N116" s="255">
        <v>30</v>
      </c>
      <c r="O116" s="262">
        <v>1</v>
      </c>
      <c r="P116" s="262"/>
      <c r="Q116" s="262"/>
      <c r="R116" s="262"/>
      <c r="S116" s="262"/>
      <c r="T116" s="262"/>
      <c r="U116" s="262"/>
      <c r="V116" s="262"/>
      <c r="W116" s="262"/>
      <c r="X116" s="262"/>
      <c r="Y116" s="262"/>
      <c r="Z116" s="262">
        <v>29701</v>
      </c>
      <c r="AA116" s="262"/>
      <c r="AB116" s="262">
        <v>125.6</v>
      </c>
      <c r="AC116" s="262"/>
    </row>
    <row r="117" spans="1:29" x14ac:dyDescent="0.2">
      <c r="A117" s="200">
        <v>43952</v>
      </c>
      <c r="B117" s="343">
        <v>35305256</v>
      </c>
      <c r="C117" s="348">
        <v>365992</v>
      </c>
      <c r="D117" s="261"/>
      <c r="E117" s="261"/>
      <c r="F117" s="261">
        <v>13275.229968</v>
      </c>
      <c r="G117" s="261">
        <v>647363.54954699997</v>
      </c>
      <c r="H117" s="343">
        <f t="shared" si="1"/>
        <v>35010609.220485002</v>
      </c>
      <c r="I117" s="155"/>
      <c r="J117" s="262">
        <v>207.90000000000003</v>
      </c>
      <c r="K117" s="262">
        <v>22.8</v>
      </c>
      <c r="L117" s="262">
        <v>3120682.3780385409</v>
      </c>
      <c r="M117" s="255"/>
      <c r="N117" s="255">
        <v>31</v>
      </c>
      <c r="O117" s="262">
        <v>1</v>
      </c>
      <c r="P117" s="262"/>
      <c r="Q117" s="262"/>
      <c r="R117" s="262"/>
      <c r="S117" s="262"/>
      <c r="T117" s="262"/>
      <c r="U117" s="262"/>
      <c r="V117" s="262"/>
      <c r="W117" s="262"/>
      <c r="X117" s="262"/>
      <c r="Y117" s="262"/>
      <c r="Z117" s="262">
        <v>29709</v>
      </c>
      <c r="AA117" s="262"/>
      <c r="AB117" s="262">
        <v>133.4</v>
      </c>
      <c r="AC117" s="262"/>
    </row>
    <row r="118" spans="1:29" x14ac:dyDescent="0.2">
      <c r="A118" s="200">
        <v>43983</v>
      </c>
      <c r="B118" s="343">
        <v>39004716</v>
      </c>
      <c r="C118" s="348">
        <v>439107</v>
      </c>
      <c r="D118" s="261"/>
      <c r="E118" s="261"/>
      <c r="F118" s="261">
        <v>12965.824872000001</v>
      </c>
      <c r="G118" s="261">
        <v>392558.23678500002</v>
      </c>
      <c r="H118" s="343">
        <f t="shared" si="1"/>
        <v>39038298.938343003</v>
      </c>
      <c r="I118" s="155"/>
      <c r="J118" s="262">
        <v>27.5</v>
      </c>
      <c r="K118" s="262">
        <v>73.699999999999989</v>
      </c>
      <c r="L118" s="262">
        <v>3118780.2560963421</v>
      </c>
      <c r="M118" s="255"/>
      <c r="N118" s="255">
        <v>30</v>
      </c>
      <c r="O118" s="262">
        <v>0</v>
      </c>
      <c r="P118" s="262"/>
      <c r="Q118" s="262"/>
      <c r="R118" s="262"/>
      <c r="S118" s="262"/>
      <c r="T118" s="262"/>
      <c r="U118" s="262"/>
      <c r="V118" s="262"/>
      <c r="W118" s="262"/>
      <c r="X118" s="262"/>
      <c r="Y118" s="262"/>
      <c r="Z118" s="262">
        <v>29739</v>
      </c>
      <c r="AA118" s="262"/>
      <c r="AB118" s="262">
        <v>146.30000000000001</v>
      </c>
      <c r="AC118" s="262"/>
    </row>
    <row r="119" spans="1:29" x14ac:dyDescent="0.2">
      <c r="A119" s="200">
        <v>44013</v>
      </c>
      <c r="B119" s="343">
        <v>51209111</v>
      </c>
      <c r="C119" s="348">
        <v>574326</v>
      </c>
      <c r="D119" s="261"/>
      <c r="E119" s="261"/>
      <c r="F119" s="261">
        <v>12930.79788</v>
      </c>
      <c r="G119" s="261">
        <v>62946.006551999999</v>
      </c>
      <c r="H119" s="343">
        <f t="shared" si="1"/>
        <v>51707560.195568003</v>
      </c>
      <c r="I119" s="155"/>
      <c r="J119" s="262">
        <v>0</v>
      </c>
      <c r="K119" s="262">
        <v>168.5</v>
      </c>
      <c r="L119" s="262">
        <v>3116878.1341541433</v>
      </c>
      <c r="M119" s="255"/>
      <c r="N119" s="255">
        <v>31</v>
      </c>
      <c r="O119" s="262">
        <v>0</v>
      </c>
      <c r="P119" s="262"/>
      <c r="Q119" s="262"/>
      <c r="R119" s="262"/>
      <c r="S119" s="262"/>
      <c r="T119" s="262"/>
      <c r="U119" s="262"/>
      <c r="V119" s="262"/>
      <c r="W119" s="262"/>
      <c r="X119" s="262"/>
      <c r="Y119" s="262"/>
      <c r="Z119" s="262">
        <v>29749</v>
      </c>
      <c r="AA119" s="262"/>
      <c r="AB119" s="262">
        <v>149.6</v>
      </c>
      <c r="AC119" s="262"/>
    </row>
    <row r="120" spans="1:29" x14ac:dyDescent="0.2">
      <c r="A120" s="200">
        <v>44044</v>
      </c>
      <c r="B120" s="343">
        <v>45776807</v>
      </c>
      <c r="C120" s="348">
        <v>522569</v>
      </c>
      <c r="D120" s="261"/>
      <c r="E120" s="261"/>
      <c r="F120" s="261">
        <v>12965.824872000001</v>
      </c>
      <c r="G120" s="261">
        <v>31484.261951999997</v>
      </c>
      <c r="H120" s="343">
        <f t="shared" si="1"/>
        <v>46254925.913176</v>
      </c>
      <c r="I120" s="155"/>
      <c r="J120" s="262">
        <v>1.5999999999999999</v>
      </c>
      <c r="K120" s="262">
        <v>95.6</v>
      </c>
      <c r="L120" s="262">
        <v>3114976.0122119444</v>
      </c>
      <c r="M120" s="255"/>
      <c r="N120" s="255">
        <v>31</v>
      </c>
      <c r="O120" s="262">
        <v>0</v>
      </c>
      <c r="P120" s="262"/>
      <c r="Q120" s="262"/>
      <c r="R120" s="262"/>
      <c r="S120" s="262"/>
      <c r="T120" s="262"/>
      <c r="U120" s="262"/>
      <c r="V120" s="262"/>
      <c r="W120" s="262"/>
      <c r="X120" s="262"/>
      <c r="Y120" s="262"/>
      <c r="Z120" s="262">
        <v>29752</v>
      </c>
      <c r="AA120" s="262"/>
      <c r="AB120" s="262">
        <v>149.30000000000001</v>
      </c>
      <c r="AC120" s="262"/>
    </row>
    <row r="121" spans="1:29" x14ac:dyDescent="0.2">
      <c r="A121" s="200">
        <v>44075</v>
      </c>
      <c r="B121" s="343">
        <v>36368524</v>
      </c>
      <c r="C121" s="348">
        <v>471729</v>
      </c>
      <c r="D121" s="261"/>
      <c r="E121" s="261"/>
      <c r="F121" s="261">
        <v>12422.906496</v>
      </c>
      <c r="G121" s="261">
        <v>119654.393859</v>
      </c>
      <c r="H121" s="343">
        <f t="shared" si="1"/>
        <v>36708175.699644998</v>
      </c>
      <c r="I121" s="155"/>
      <c r="J121" s="262">
        <v>74.999999999999986</v>
      </c>
      <c r="K121" s="262">
        <v>23.399999999999995</v>
      </c>
      <c r="L121" s="262">
        <v>3113073.8902697456</v>
      </c>
      <c r="M121" s="255"/>
      <c r="N121" s="255">
        <v>30</v>
      </c>
      <c r="O121" s="262">
        <v>1</v>
      </c>
      <c r="P121" s="262"/>
      <c r="Q121" s="262"/>
      <c r="R121" s="262"/>
      <c r="S121" s="262"/>
      <c r="T121" s="262"/>
      <c r="U121" s="262"/>
      <c r="V121" s="262"/>
      <c r="W121" s="262"/>
      <c r="X121" s="262"/>
      <c r="Y121" s="262"/>
      <c r="Z121" s="262">
        <v>29726</v>
      </c>
      <c r="AA121" s="262"/>
      <c r="AB121" s="262">
        <v>147.80000000000001</v>
      </c>
      <c r="AC121" s="262"/>
    </row>
    <row r="122" spans="1:29" x14ac:dyDescent="0.2">
      <c r="A122" s="200">
        <v>44105</v>
      </c>
      <c r="B122" s="343">
        <v>35464048</v>
      </c>
      <c r="C122" s="348">
        <v>391430</v>
      </c>
      <c r="D122" s="261"/>
      <c r="E122" s="261"/>
      <c r="F122" s="261">
        <v>13105.932839999999</v>
      </c>
      <c r="G122" s="261">
        <v>44318.839851000004</v>
      </c>
      <c r="H122" s="343">
        <f>B122+SUM(C122:E122)-SUM(F122:G122)</f>
        <v>35798053.227309003</v>
      </c>
      <c r="I122" s="155"/>
      <c r="J122" s="262">
        <v>252.50000000000006</v>
      </c>
      <c r="K122" s="262">
        <v>0</v>
      </c>
      <c r="L122" s="262">
        <v>3111171.7683275468</v>
      </c>
      <c r="M122" s="255"/>
      <c r="N122" s="255">
        <v>31</v>
      </c>
      <c r="O122" s="262">
        <v>1</v>
      </c>
      <c r="P122" s="262"/>
      <c r="Q122" s="262"/>
      <c r="R122" s="262"/>
      <c r="S122" s="262"/>
      <c r="T122" s="262"/>
      <c r="U122" s="262"/>
      <c r="V122" s="262"/>
      <c r="W122" s="262"/>
      <c r="X122" s="262"/>
      <c r="Y122" s="262"/>
      <c r="Z122" s="262">
        <v>29745</v>
      </c>
      <c r="AA122" s="262"/>
      <c r="AB122" s="262">
        <v>150.5</v>
      </c>
      <c r="AC122" s="262"/>
    </row>
    <row r="123" spans="1:29" x14ac:dyDescent="0.2">
      <c r="A123" s="200">
        <v>44136</v>
      </c>
      <c r="B123" s="343">
        <v>36859381</v>
      </c>
      <c r="C123" s="348">
        <v>244169</v>
      </c>
      <c r="D123" s="261"/>
      <c r="E123" s="261"/>
      <c r="F123" s="261">
        <v>12586.365792000001</v>
      </c>
      <c r="G123" s="261">
        <v>192618.22437000001</v>
      </c>
      <c r="H123" s="343">
        <f>B123+SUM(C123:E123)-SUM(F123:G123)</f>
        <v>36898345.409837998</v>
      </c>
      <c r="I123" s="155"/>
      <c r="J123" s="262">
        <v>329.20000000000005</v>
      </c>
      <c r="K123" s="262">
        <v>0</v>
      </c>
      <c r="L123" s="262">
        <v>3109269.6463853479</v>
      </c>
      <c r="M123" s="255"/>
      <c r="N123" s="255">
        <v>30</v>
      </c>
      <c r="O123" s="262">
        <v>1</v>
      </c>
      <c r="P123" s="262"/>
      <c r="Q123" s="262"/>
      <c r="R123" s="262"/>
      <c r="S123" s="262"/>
      <c r="T123" s="262"/>
      <c r="U123" s="262"/>
      <c r="V123" s="262"/>
      <c r="W123" s="262"/>
      <c r="X123" s="262"/>
      <c r="Y123" s="262"/>
      <c r="Z123" s="262">
        <v>29783</v>
      </c>
      <c r="AA123" s="262"/>
      <c r="AB123" s="262">
        <v>150</v>
      </c>
      <c r="AC123" s="262"/>
    </row>
    <row r="124" spans="1:29" x14ac:dyDescent="0.2">
      <c r="A124" s="200">
        <v>44166</v>
      </c>
      <c r="B124" s="343">
        <v>42748295</v>
      </c>
      <c r="C124" s="348">
        <v>188968</v>
      </c>
      <c r="D124" s="261"/>
      <c r="E124" s="261"/>
      <c r="F124" s="261">
        <v>13053.392352000001</v>
      </c>
      <c r="G124" s="261">
        <v>53963.772291000001</v>
      </c>
      <c r="H124" s="343">
        <f>B124+SUM(C124:E124)-SUM(F124:G124)</f>
        <v>42870245.835357003</v>
      </c>
      <c r="I124" s="155"/>
      <c r="J124" s="262">
        <v>540.4</v>
      </c>
      <c r="K124" s="262">
        <v>0</v>
      </c>
      <c r="L124" s="262">
        <v>3107367.5244431491</v>
      </c>
      <c r="M124" s="255"/>
      <c r="N124" s="255">
        <v>31</v>
      </c>
      <c r="O124" s="262">
        <v>0</v>
      </c>
      <c r="P124" s="262"/>
      <c r="Q124" s="262"/>
      <c r="R124" s="262"/>
      <c r="S124" s="262"/>
      <c r="T124" s="262"/>
      <c r="U124" s="262"/>
      <c r="V124" s="262"/>
      <c r="W124" s="262"/>
      <c r="X124" s="262"/>
      <c r="Y124" s="262"/>
      <c r="Z124" s="262">
        <v>29827</v>
      </c>
      <c r="AA124" s="262"/>
      <c r="AB124" s="262">
        <v>153.19999999999999</v>
      </c>
      <c r="AC124" s="262"/>
    </row>
    <row r="125" spans="1:29" x14ac:dyDescent="0.2">
      <c r="A125" s="200"/>
      <c r="B125" s="343"/>
      <c r="C125" s="348"/>
      <c r="D125" s="261"/>
      <c r="E125" s="261"/>
      <c r="F125" s="261"/>
      <c r="G125" s="261"/>
      <c r="H125" s="343"/>
      <c r="I125" s="155"/>
      <c r="J125" s="262"/>
      <c r="K125" s="262"/>
      <c r="L125" s="262"/>
      <c r="M125" s="255"/>
      <c r="N125" s="255"/>
      <c r="O125" s="262"/>
      <c r="P125" s="262"/>
      <c r="Q125" s="262"/>
      <c r="R125" s="262"/>
      <c r="S125" s="262"/>
      <c r="T125" s="262"/>
      <c r="U125" s="262"/>
      <c r="V125" s="262"/>
      <c r="W125" s="262"/>
      <c r="X125" s="262"/>
      <c r="Y125" s="262"/>
      <c r="Z125" s="262"/>
      <c r="AA125" s="262"/>
      <c r="AB125" s="262"/>
      <c r="AC125" s="262"/>
    </row>
    <row r="126" spans="1:29" x14ac:dyDescent="0.2">
      <c r="A126" s="200"/>
      <c r="B126" s="343"/>
      <c r="C126" s="348"/>
      <c r="D126" s="261"/>
      <c r="E126" s="261"/>
      <c r="F126" s="261"/>
      <c r="G126" s="261"/>
      <c r="H126" s="343"/>
      <c r="I126" s="155"/>
      <c r="J126" s="262"/>
      <c r="K126" s="262"/>
      <c r="L126" s="262"/>
      <c r="M126" s="255"/>
      <c r="N126" s="255"/>
      <c r="O126" s="262"/>
      <c r="P126" s="262"/>
      <c r="Q126" s="262"/>
      <c r="R126" s="262"/>
      <c r="S126" s="262"/>
      <c r="T126" s="262"/>
      <c r="U126" s="262"/>
      <c r="V126" s="262"/>
      <c r="W126" s="262"/>
      <c r="X126" s="262"/>
      <c r="Y126" s="262"/>
      <c r="Z126" s="262"/>
      <c r="AA126" s="262"/>
      <c r="AB126" s="262"/>
      <c r="AC126" s="262"/>
    </row>
    <row r="127" spans="1:29" x14ac:dyDescent="0.2">
      <c r="A127" s="200"/>
      <c r="B127" s="343"/>
      <c r="C127" s="348"/>
      <c r="D127" s="261"/>
      <c r="E127" s="261"/>
      <c r="F127" s="261"/>
      <c r="G127" s="261"/>
      <c r="H127" s="343"/>
      <c r="I127" s="155"/>
      <c r="J127" s="262"/>
      <c r="K127" s="262"/>
      <c r="L127" s="262"/>
      <c r="M127" s="255"/>
      <c r="N127" s="255"/>
      <c r="O127" s="262"/>
      <c r="P127" s="262"/>
      <c r="Q127" s="262"/>
      <c r="R127" s="262"/>
      <c r="S127" s="262"/>
      <c r="T127" s="262"/>
      <c r="U127" s="262"/>
      <c r="V127" s="262"/>
      <c r="W127" s="262"/>
      <c r="X127" s="262"/>
      <c r="Y127" s="262"/>
      <c r="Z127" s="262"/>
      <c r="AA127" s="262"/>
      <c r="AB127" s="262"/>
      <c r="AC127" s="262"/>
    </row>
    <row r="128" spans="1:29" x14ac:dyDescent="0.2">
      <c r="A128" s="200"/>
      <c r="B128" s="343"/>
      <c r="C128" s="348"/>
      <c r="D128" s="261"/>
      <c r="E128" s="261"/>
      <c r="F128" s="261"/>
      <c r="G128" s="261"/>
      <c r="H128" s="343"/>
      <c r="I128" s="155"/>
      <c r="J128" s="262"/>
      <c r="K128" s="262"/>
      <c r="L128" s="262"/>
      <c r="M128" s="255"/>
      <c r="N128" s="255"/>
      <c r="O128" s="262"/>
      <c r="P128" s="262"/>
      <c r="Q128" s="262"/>
      <c r="R128" s="262"/>
      <c r="S128" s="262"/>
      <c r="T128" s="262"/>
      <c r="U128" s="262"/>
      <c r="V128" s="262"/>
      <c r="W128" s="262"/>
      <c r="X128" s="262"/>
      <c r="Y128" s="262"/>
      <c r="Z128" s="262"/>
      <c r="AA128" s="262"/>
      <c r="AB128" s="262"/>
      <c r="AC128" s="262"/>
    </row>
    <row r="129" spans="1:29" x14ac:dyDescent="0.2">
      <c r="A129" s="200"/>
      <c r="B129" s="343"/>
      <c r="C129" s="348"/>
      <c r="D129" s="261"/>
      <c r="E129" s="261"/>
      <c r="F129" s="261"/>
      <c r="G129" s="261"/>
      <c r="H129" s="343"/>
      <c r="I129" s="155"/>
      <c r="J129" s="262"/>
      <c r="K129" s="262"/>
      <c r="L129" s="262"/>
      <c r="M129" s="255"/>
      <c r="N129" s="255"/>
      <c r="O129" s="262"/>
      <c r="P129" s="262"/>
      <c r="Q129" s="262"/>
      <c r="R129" s="262"/>
      <c r="S129" s="262"/>
      <c r="T129" s="262"/>
      <c r="U129" s="262"/>
      <c r="V129" s="262"/>
      <c r="W129" s="262"/>
      <c r="X129" s="262"/>
      <c r="Y129" s="262"/>
      <c r="Z129" s="262"/>
      <c r="AA129" s="262"/>
      <c r="AB129" s="262"/>
      <c r="AC129" s="262"/>
    </row>
    <row r="130" spans="1:29" x14ac:dyDescent="0.2">
      <c r="A130" s="200"/>
      <c r="B130" s="343"/>
      <c r="C130" s="348"/>
      <c r="D130" s="261"/>
      <c r="E130" s="261"/>
      <c r="F130" s="261"/>
      <c r="G130" s="261"/>
      <c r="H130" s="343"/>
      <c r="I130" s="155"/>
      <c r="J130" s="262"/>
      <c r="K130" s="262"/>
      <c r="L130" s="262"/>
      <c r="M130" s="255"/>
      <c r="N130" s="255"/>
      <c r="O130" s="262"/>
      <c r="P130" s="262"/>
      <c r="Q130" s="262"/>
      <c r="R130" s="262"/>
      <c r="S130" s="262"/>
      <c r="T130" s="262"/>
      <c r="U130" s="262"/>
      <c r="V130" s="262"/>
      <c r="W130" s="262"/>
      <c r="X130" s="262"/>
      <c r="Y130" s="262"/>
      <c r="Z130" s="262"/>
      <c r="AA130" s="262"/>
      <c r="AB130" s="262"/>
      <c r="AC130" s="262"/>
    </row>
    <row r="131" spans="1:29" x14ac:dyDescent="0.2">
      <c r="A131" s="200"/>
      <c r="B131" s="343"/>
      <c r="C131" s="348"/>
      <c r="D131" s="261"/>
      <c r="E131" s="261"/>
      <c r="F131" s="261"/>
      <c r="G131" s="261"/>
      <c r="H131" s="343"/>
      <c r="I131" s="155"/>
      <c r="J131" s="262"/>
      <c r="K131" s="262"/>
      <c r="L131" s="262"/>
      <c r="M131" s="255"/>
      <c r="N131" s="255"/>
      <c r="O131" s="262"/>
      <c r="P131" s="262"/>
      <c r="Q131" s="262"/>
      <c r="R131" s="262"/>
      <c r="S131" s="262"/>
      <c r="T131" s="262"/>
      <c r="U131" s="262"/>
      <c r="V131" s="262"/>
      <c r="W131" s="262"/>
      <c r="X131" s="262"/>
      <c r="Y131" s="262"/>
      <c r="Z131" s="262"/>
      <c r="AA131" s="262"/>
      <c r="AB131" s="262"/>
      <c r="AC131" s="262"/>
    </row>
    <row r="132" spans="1:29" x14ac:dyDescent="0.2">
      <c r="A132" s="200"/>
      <c r="B132" s="343"/>
      <c r="C132" s="348"/>
      <c r="D132" s="261"/>
      <c r="E132" s="261"/>
      <c r="F132" s="261"/>
      <c r="G132" s="261"/>
      <c r="H132" s="343"/>
      <c r="I132" s="155"/>
      <c r="J132" s="262"/>
      <c r="K132" s="262"/>
      <c r="L132" s="262"/>
      <c r="M132" s="255"/>
      <c r="N132" s="255"/>
      <c r="O132" s="262"/>
      <c r="P132" s="262"/>
      <c r="Q132" s="262"/>
      <c r="R132" s="262"/>
      <c r="S132" s="262"/>
      <c r="T132" s="262"/>
      <c r="U132" s="262"/>
      <c r="V132" s="262"/>
      <c r="W132" s="262"/>
      <c r="X132" s="262"/>
      <c r="Y132" s="262"/>
      <c r="Z132" s="262"/>
      <c r="AA132" s="262"/>
      <c r="AB132" s="262"/>
      <c r="AC132" s="262"/>
    </row>
    <row r="133" spans="1:29" x14ac:dyDescent="0.2">
      <c r="A133" s="200"/>
      <c r="B133" s="343"/>
      <c r="C133" s="348"/>
      <c r="D133" s="261"/>
      <c r="E133" s="261"/>
      <c r="F133" s="261"/>
      <c r="G133" s="261"/>
      <c r="H133" s="343"/>
      <c r="I133" s="155"/>
      <c r="J133" s="262"/>
      <c r="K133" s="262"/>
      <c r="L133" s="262"/>
      <c r="M133" s="255"/>
      <c r="N133" s="255"/>
      <c r="O133" s="262"/>
      <c r="P133" s="262"/>
      <c r="Q133" s="262"/>
      <c r="R133" s="262"/>
      <c r="S133" s="262"/>
      <c r="T133" s="262"/>
      <c r="U133" s="262"/>
      <c r="V133" s="262"/>
      <c r="W133" s="262"/>
      <c r="X133" s="262"/>
      <c r="Y133" s="262"/>
      <c r="Z133" s="262"/>
      <c r="AA133" s="262"/>
      <c r="AB133" s="262"/>
      <c r="AC133" s="262"/>
    </row>
    <row r="134" spans="1:29" x14ac:dyDescent="0.2">
      <c r="A134" s="200"/>
      <c r="B134" s="343"/>
      <c r="C134" s="348"/>
      <c r="D134" s="261"/>
      <c r="E134" s="261"/>
      <c r="F134" s="261"/>
      <c r="G134" s="261"/>
      <c r="H134" s="343"/>
      <c r="I134" s="155"/>
      <c r="J134" s="262"/>
      <c r="K134" s="262"/>
      <c r="L134" s="262"/>
      <c r="M134" s="255"/>
      <c r="N134" s="255"/>
      <c r="O134" s="262"/>
      <c r="P134" s="262"/>
      <c r="Q134" s="262"/>
      <c r="R134" s="262"/>
      <c r="S134" s="262"/>
      <c r="T134" s="262"/>
      <c r="U134" s="262"/>
      <c r="V134" s="262"/>
      <c r="W134" s="262"/>
      <c r="X134" s="262"/>
      <c r="Y134" s="262"/>
      <c r="Z134" s="262"/>
      <c r="AA134" s="262"/>
      <c r="AB134" s="262"/>
      <c r="AC134" s="262"/>
    </row>
    <row r="135" spans="1:29" x14ac:dyDescent="0.2">
      <c r="A135" s="200"/>
      <c r="B135" s="343"/>
      <c r="C135" s="348"/>
      <c r="D135" s="261"/>
      <c r="E135" s="261"/>
      <c r="F135" s="261"/>
      <c r="G135" s="261"/>
      <c r="H135" s="343"/>
      <c r="I135" s="155"/>
      <c r="J135" s="262"/>
      <c r="K135" s="262"/>
      <c r="L135" s="262"/>
      <c r="M135" s="255"/>
      <c r="N135" s="255"/>
      <c r="O135" s="262"/>
      <c r="P135" s="262"/>
      <c r="Q135" s="262"/>
      <c r="R135" s="262"/>
      <c r="S135" s="262"/>
      <c r="T135" s="262"/>
      <c r="U135" s="262"/>
      <c r="V135" s="262"/>
      <c r="W135" s="262"/>
      <c r="X135" s="262"/>
      <c r="Y135" s="262"/>
      <c r="Z135" s="262"/>
      <c r="AA135" s="262"/>
      <c r="AB135" s="262"/>
      <c r="AC135" s="262"/>
    </row>
    <row r="136" spans="1:29" x14ac:dyDescent="0.2">
      <c r="A136" s="200"/>
      <c r="B136" s="343"/>
      <c r="C136" s="348"/>
      <c r="D136" s="261"/>
      <c r="E136" s="261"/>
      <c r="F136" s="261"/>
      <c r="G136" s="261"/>
      <c r="H136" s="343"/>
      <c r="I136" s="155"/>
      <c r="J136" s="262"/>
      <c r="K136" s="262"/>
      <c r="L136" s="262"/>
      <c r="M136" s="255"/>
      <c r="N136" s="255"/>
      <c r="O136" s="262"/>
      <c r="P136" s="262"/>
      <c r="Q136" s="262"/>
      <c r="R136" s="262"/>
      <c r="S136" s="262"/>
      <c r="T136" s="262"/>
      <c r="U136" s="262"/>
      <c r="V136" s="262"/>
      <c r="W136" s="262"/>
      <c r="X136" s="262"/>
      <c r="Y136" s="262"/>
      <c r="Z136" s="262"/>
      <c r="AA136" s="262"/>
      <c r="AB136" s="262"/>
      <c r="AC136" s="262"/>
    </row>
    <row r="137" spans="1:29" x14ac:dyDescent="0.2">
      <c r="J137" s="142" t="s">
        <v>57</v>
      </c>
      <c r="L137" s="142" t="s">
        <v>57</v>
      </c>
    </row>
    <row r="139" spans="1:29" x14ac:dyDescent="0.2">
      <c r="A139" s="263" t="s">
        <v>111</v>
      </c>
      <c r="B139" s="344"/>
      <c r="C139" s="349"/>
      <c r="D139" s="265"/>
      <c r="E139" s="265"/>
      <c r="F139" s="265"/>
      <c r="G139" s="265"/>
      <c r="H139" s="344"/>
      <c r="I139" s="266"/>
      <c r="J139" s="264"/>
      <c r="K139" s="264"/>
      <c r="L139" s="264"/>
      <c r="M139" s="264"/>
      <c r="N139" s="264"/>
      <c r="O139" s="264"/>
      <c r="P139" s="264"/>
      <c r="Q139" s="264"/>
      <c r="R139" s="264"/>
      <c r="S139" s="264"/>
      <c r="T139" s="264"/>
      <c r="U139" s="264"/>
      <c r="V139" s="264"/>
      <c r="W139" s="264"/>
      <c r="X139" s="264"/>
      <c r="Y139" s="264"/>
      <c r="Z139" s="264"/>
      <c r="AA139" s="264"/>
      <c r="AB139" s="264"/>
      <c r="AC139" s="264"/>
    </row>
    <row r="140" spans="1:29" x14ac:dyDescent="0.2">
      <c r="A140" s="267" t="s">
        <v>112</v>
      </c>
      <c r="B140" s="344"/>
      <c r="C140" s="349"/>
      <c r="D140" s="265"/>
      <c r="E140" s="265"/>
      <c r="F140" s="265"/>
      <c r="G140" s="265"/>
      <c r="H140" s="344"/>
      <c r="I140" s="266"/>
      <c r="J140" s="264"/>
      <c r="K140" s="264"/>
      <c r="L140" s="264"/>
      <c r="M140" s="264"/>
      <c r="N140" s="264"/>
      <c r="O140" s="264"/>
      <c r="P140" s="264"/>
      <c r="Q140" s="264"/>
      <c r="R140" s="264"/>
      <c r="S140" s="264"/>
      <c r="T140" s="264"/>
      <c r="U140" s="264"/>
      <c r="V140" s="264"/>
      <c r="W140" s="264"/>
      <c r="X140" s="264"/>
      <c r="Y140" s="264"/>
      <c r="Z140" s="264"/>
      <c r="AA140" s="264"/>
      <c r="AB140" s="264"/>
      <c r="AC140" s="264"/>
    </row>
    <row r="141" spans="1:29" x14ac:dyDescent="0.2">
      <c r="A141" s="267" t="s">
        <v>113</v>
      </c>
      <c r="B141" s="344"/>
      <c r="C141" s="349"/>
      <c r="D141" s="265"/>
      <c r="E141" s="265"/>
      <c r="F141" s="265"/>
      <c r="G141" s="265"/>
      <c r="H141" s="344"/>
      <c r="I141" s="266"/>
      <c r="J141" s="264"/>
      <c r="K141" s="264"/>
      <c r="L141" s="264"/>
      <c r="M141" s="264"/>
      <c r="N141" s="264"/>
      <c r="O141" s="264"/>
      <c r="P141" s="264"/>
      <c r="Q141" s="264"/>
      <c r="R141" s="264"/>
      <c r="S141" s="264"/>
      <c r="T141" s="264"/>
      <c r="U141" s="264"/>
      <c r="V141" s="264"/>
      <c r="W141" s="264"/>
      <c r="X141" s="264"/>
      <c r="Y141" s="264"/>
      <c r="Z141" s="264"/>
      <c r="AA141" s="264"/>
      <c r="AB141" s="264"/>
      <c r="AC141" s="264"/>
    </row>
    <row r="142" spans="1:29" x14ac:dyDescent="0.2">
      <c r="A142" s="267" t="s">
        <v>118</v>
      </c>
      <c r="B142" s="344"/>
      <c r="C142" s="349"/>
      <c r="D142" s="265"/>
      <c r="E142" s="265"/>
      <c r="F142" s="265"/>
      <c r="G142" s="265"/>
      <c r="H142" s="344"/>
      <c r="I142" s="266"/>
      <c r="J142" s="264"/>
      <c r="K142" s="264"/>
      <c r="L142" s="264"/>
      <c r="M142" s="264"/>
      <c r="N142" s="264"/>
      <c r="O142" s="264"/>
      <c r="P142" s="264"/>
      <c r="Q142" s="264"/>
      <c r="R142" s="264"/>
      <c r="S142" s="264"/>
      <c r="T142" s="264"/>
      <c r="U142" s="264"/>
      <c r="V142" s="264"/>
      <c r="W142" s="264"/>
      <c r="X142" s="264"/>
      <c r="Y142" s="264"/>
      <c r="Z142" s="264"/>
      <c r="AA142" s="264"/>
      <c r="AB142" s="264"/>
      <c r="AC142" s="264"/>
    </row>
    <row r="143" spans="1:29" x14ac:dyDescent="0.2">
      <c r="A143" s="267" t="s">
        <v>119</v>
      </c>
      <c r="B143" s="344"/>
      <c r="C143" s="349"/>
      <c r="D143" s="265"/>
      <c r="E143" s="265"/>
      <c r="F143" s="265"/>
      <c r="G143" s="265"/>
      <c r="H143" s="344"/>
      <c r="I143" s="266"/>
      <c r="J143" s="264"/>
      <c r="K143" s="264"/>
      <c r="L143" s="264"/>
      <c r="M143" s="264"/>
      <c r="N143" s="264"/>
      <c r="O143" s="264"/>
      <c r="P143" s="264"/>
      <c r="Q143" s="264"/>
      <c r="R143" s="264"/>
      <c r="S143" s="264"/>
      <c r="T143" s="264"/>
      <c r="U143" s="264"/>
      <c r="V143" s="264"/>
      <c r="W143" s="264"/>
      <c r="X143" s="264"/>
      <c r="Y143" s="264"/>
      <c r="Z143" s="264"/>
      <c r="AA143" s="264"/>
      <c r="AB143" s="264"/>
      <c r="AC143" s="264"/>
    </row>
    <row r="144" spans="1:29" x14ac:dyDescent="0.2">
      <c r="A144" s="267" t="s">
        <v>120</v>
      </c>
      <c r="B144" s="344"/>
      <c r="C144" s="349"/>
      <c r="D144" s="265"/>
      <c r="E144" s="265"/>
      <c r="F144" s="265"/>
      <c r="G144" s="265"/>
      <c r="H144" s="344"/>
      <c r="I144" s="266"/>
      <c r="J144" s="264"/>
      <c r="K144" s="264"/>
      <c r="L144" s="264"/>
      <c r="M144" s="264"/>
      <c r="N144" s="264"/>
      <c r="O144" s="264"/>
      <c r="P144" s="264"/>
      <c r="Q144" s="264"/>
      <c r="R144" s="264"/>
      <c r="S144" s="264"/>
      <c r="T144" s="264"/>
      <c r="U144" s="264"/>
      <c r="V144" s="264"/>
      <c r="W144" s="264"/>
      <c r="X144" s="264"/>
      <c r="Y144" s="264"/>
      <c r="Z144" s="264"/>
      <c r="AA144" s="264"/>
      <c r="AB144" s="264"/>
      <c r="AC144" s="264"/>
    </row>
    <row r="145" spans="1:29" ht="25.5" x14ac:dyDescent="0.2">
      <c r="A145" s="283" t="s">
        <v>131</v>
      </c>
      <c r="B145" s="344"/>
      <c r="C145" s="349"/>
      <c r="D145" s="265"/>
      <c r="E145" s="265"/>
      <c r="F145" s="265"/>
      <c r="G145" s="265"/>
      <c r="H145" s="344"/>
      <c r="I145" s="266"/>
      <c r="J145" s="264"/>
      <c r="K145" s="264"/>
      <c r="L145" s="264"/>
      <c r="M145" s="264"/>
      <c r="N145" s="264"/>
      <c r="O145" s="264"/>
      <c r="P145" s="264"/>
      <c r="Q145" s="264"/>
      <c r="R145" s="264"/>
      <c r="S145" s="264"/>
      <c r="T145" s="264"/>
      <c r="U145" s="264"/>
      <c r="V145" s="264"/>
      <c r="W145" s="264"/>
      <c r="X145" s="264"/>
      <c r="Y145" s="264"/>
      <c r="Z145" s="264"/>
      <c r="AA145" s="264"/>
      <c r="AB145" s="264"/>
      <c r="AC145" s="264"/>
    </row>
    <row r="146" spans="1:29" x14ac:dyDescent="0.2">
      <c r="A146" s="267"/>
      <c r="B146" s="344"/>
      <c r="C146" s="349"/>
      <c r="D146" s="265"/>
      <c r="E146" s="265"/>
      <c r="F146" s="265"/>
      <c r="G146" s="265"/>
      <c r="H146" s="344"/>
      <c r="I146" s="266"/>
      <c r="J146" s="264"/>
      <c r="K146" s="264"/>
      <c r="L146" s="264"/>
      <c r="M146" s="264"/>
      <c r="N146" s="264"/>
      <c r="O146" s="264"/>
      <c r="P146" s="264"/>
      <c r="Q146" s="264"/>
      <c r="R146" s="264"/>
      <c r="S146" s="264"/>
      <c r="T146" s="264"/>
      <c r="U146" s="264"/>
      <c r="V146" s="264"/>
      <c r="W146" s="264"/>
      <c r="X146" s="264"/>
      <c r="Y146" s="264"/>
      <c r="Z146" s="264"/>
      <c r="AA146" s="264"/>
      <c r="AB146" s="264"/>
      <c r="AC146" s="264"/>
    </row>
    <row r="147" spans="1:29" x14ac:dyDescent="0.2">
      <c r="A147" s="267"/>
      <c r="B147" s="344"/>
      <c r="C147" s="349"/>
      <c r="D147" s="265"/>
      <c r="E147" s="265"/>
      <c r="F147" s="265"/>
      <c r="G147" s="265"/>
      <c r="H147" s="344"/>
      <c r="I147" s="266"/>
      <c r="J147" s="264"/>
      <c r="K147" s="264"/>
      <c r="L147" s="264"/>
      <c r="M147" s="264"/>
      <c r="N147" s="264"/>
      <c r="O147" s="264"/>
      <c r="P147" s="264"/>
      <c r="Q147" s="264"/>
      <c r="R147" s="264"/>
      <c r="S147" s="264"/>
      <c r="T147" s="264"/>
      <c r="U147" s="264"/>
      <c r="V147" s="264"/>
      <c r="W147" s="264"/>
      <c r="X147" s="264"/>
      <c r="Y147" s="264"/>
      <c r="Z147" s="264"/>
      <c r="AA147" s="264"/>
      <c r="AB147" s="264"/>
      <c r="AC147" s="264"/>
    </row>
    <row r="148" spans="1:29" x14ac:dyDescent="0.2">
      <c r="A148" s="231"/>
      <c r="B148" s="345"/>
      <c r="C148" s="350"/>
      <c r="D148" s="232"/>
      <c r="E148" s="232"/>
      <c r="F148" s="232"/>
      <c r="G148" s="232"/>
      <c r="H148" s="345"/>
      <c r="J148" s="228"/>
      <c r="K148" s="228"/>
      <c r="L148" s="228"/>
      <c r="M148" s="228"/>
      <c r="N148" s="228"/>
      <c r="O148" s="228"/>
      <c r="P148" s="228"/>
      <c r="Q148" s="228"/>
      <c r="R148" s="228"/>
      <c r="S148" s="228"/>
      <c r="T148" s="228"/>
      <c r="U148" s="228"/>
      <c r="V148" s="228"/>
      <c r="W148" s="228"/>
      <c r="X148" s="228"/>
      <c r="Y148" s="228"/>
      <c r="Z148" s="228"/>
      <c r="AA148" s="228"/>
      <c r="AB148" s="228"/>
      <c r="AC148" s="228"/>
    </row>
    <row r="149" spans="1:29" x14ac:dyDescent="0.2">
      <c r="A149" s="356">
        <v>40179</v>
      </c>
      <c r="B149" s="357">
        <v>51396622.38000004</v>
      </c>
      <c r="C149" s="358">
        <v>0</v>
      </c>
      <c r="D149" s="359"/>
      <c r="E149" s="359"/>
      <c r="F149" s="359">
        <v>846208.3</v>
      </c>
      <c r="G149" s="359"/>
      <c r="H149" s="357">
        <f>B149+SUM(C149:E149)-SUM(F149:G149)</f>
        <v>50550414.080000043</v>
      </c>
      <c r="I149" s="360"/>
      <c r="J149" s="361">
        <v>711.1</v>
      </c>
      <c r="K149" s="361">
        <v>0</v>
      </c>
      <c r="L149" s="361">
        <v>507393.61344157456</v>
      </c>
      <c r="M149" s="362"/>
      <c r="N149" s="362">
        <v>31</v>
      </c>
      <c r="O149" s="361">
        <v>0</v>
      </c>
      <c r="P149" s="361">
        <v>130.19999999999999</v>
      </c>
      <c r="Q149" s="361">
        <v>5.2</v>
      </c>
      <c r="R149" s="361">
        <v>64.7</v>
      </c>
      <c r="S149" s="361">
        <v>61.4</v>
      </c>
      <c r="T149" s="361">
        <v>80</v>
      </c>
      <c r="U149" s="361">
        <v>334.6</v>
      </c>
      <c r="V149" s="361">
        <v>11.3</v>
      </c>
      <c r="W149" s="361">
        <v>62.8</v>
      </c>
      <c r="X149" s="361">
        <v>55.7</v>
      </c>
      <c r="Y149" s="361">
        <v>186.4</v>
      </c>
      <c r="Z149" s="361">
        <v>28542</v>
      </c>
      <c r="AA149" s="361">
        <v>114.5</v>
      </c>
      <c r="AB149" s="361">
        <v>130.5</v>
      </c>
      <c r="AC149" s="361">
        <v>114.5</v>
      </c>
    </row>
    <row r="150" spans="1:29" x14ac:dyDescent="0.2">
      <c r="A150" s="356">
        <v>40210</v>
      </c>
      <c r="B150" s="357">
        <v>46811438.209999993</v>
      </c>
      <c r="C150" s="358">
        <v>0</v>
      </c>
      <c r="D150" s="359"/>
      <c r="E150" s="359"/>
      <c r="F150" s="359">
        <v>1841513.37</v>
      </c>
      <c r="G150" s="359"/>
      <c r="H150" s="357">
        <f t="shared" ref="H150:H160" si="2">B150+SUM(C150:E150)-SUM(F150:G150)</f>
        <v>44969924.839999996</v>
      </c>
      <c r="I150" s="360"/>
      <c r="J150" s="361">
        <v>632.5</v>
      </c>
      <c r="K150" s="361">
        <v>0</v>
      </c>
      <c r="L150" s="361">
        <v>515690.00693749124</v>
      </c>
      <c r="M150" s="362"/>
      <c r="N150" s="362">
        <v>28</v>
      </c>
      <c r="O150" s="361">
        <v>0</v>
      </c>
      <c r="P150" s="361">
        <v>130.30000000000001</v>
      </c>
      <c r="Q150" s="361">
        <v>5.4</v>
      </c>
      <c r="R150" s="361">
        <v>63</v>
      </c>
      <c r="S150" s="361">
        <v>59.6</v>
      </c>
      <c r="T150" s="361">
        <v>77.7</v>
      </c>
      <c r="U150" s="361">
        <v>334.7</v>
      </c>
      <c r="V150" s="361">
        <v>11.7</v>
      </c>
      <c r="W150" s="361">
        <v>62.5</v>
      </c>
      <c r="X150" s="361">
        <v>55.2</v>
      </c>
      <c r="Y150" s="361">
        <v>184.7</v>
      </c>
      <c r="Z150" s="361">
        <v>28454</v>
      </c>
      <c r="AA150" s="361">
        <v>115.1</v>
      </c>
      <c r="AB150" s="361">
        <v>129.19999999999999</v>
      </c>
      <c r="AC150" s="361">
        <v>115.1</v>
      </c>
    </row>
    <row r="151" spans="1:29" x14ac:dyDescent="0.2">
      <c r="A151" s="356">
        <v>40238</v>
      </c>
      <c r="B151" s="357">
        <v>47224368.439999953</v>
      </c>
      <c r="C151" s="358">
        <v>0</v>
      </c>
      <c r="D151" s="359"/>
      <c r="E151" s="359"/>
      <c r="F151" s="359">
        <v>2304087.0900000003</v>
      </c>
      <c r="G151" s="359"/>
      <c r="H151" s="357">
        <f t="shared" si="2"/>
        <v>44920281.349999949</v>
      </c>
      <c r="I151" s="360"/>
      <c r="J151" s="361">
        <v>468</v>
      </c>
      <c r="K151" s="361">
        <v>0</v>
      </c>
      <c r="L151" s="361">
        <v>523986.40043340792</v>
      </c>
      <c r="M151" s="362"/>
      <c r="N151" s="362">
        <v>31</v>
      </c>
      <c r="O151" s="361">
        <v>1</v>
      </c>
      <c r="P151" s="361">
        <v>130.4</v>
      </c>
      <c r="Q151" s="361">
        <v>5.9</v>
      </c>
      <c r="R151" s="361">
        <v>62.3</v>
      </c>
      <c r="S151" s="361">
        <v>58.6</v>
      </c>
      <c r="T151" s="361">
        <v>76.400000000000006</v>
      </c>
      <c r="U151" s="361">
        <v>334.8</v>
      </c>
      <c r="V151" s="361">
        <v>11.5</v>
      </c>
      <c r="W151" s="361">
        <v>62.4</v>
      </c>
      <c r="X151" s="361">
        <v>55.2</v>
      </c>
      <c r="Y151" s="361">
        <v>184.8</v>
      </c>
      <c r="Z151" s="361">
        <v>28464</v>
      </c>
      <c r="AA151" s="361">
        <v>115.3</v>
      </c>
      <c r="AB151" s="361">
        <v>131.80000000000001</v>
      </c>
      <c r="AC151" s="361">
        <v>115.3</v>
      </c>
    </row>
    <row r="152" spans="1:29" x14ac:dyDescent="0.2">
      <c r="A152" s="356">
        <v>40269</v>
      </c>
      <c r="B152" s="357">
        <v>39955840.87000002</v>
      </c>
      <c r="C152" s="358">
        <v>0</v>
      </c>
      <c r="D152" s="359"/>
      <c r="E152" s="359"/>
      <c r="F152" s="359">
        <v>1615459.04</v>
      </c>
      <c r="G152" s="359"/>
      <c r="H152" s="357">
        <f t="shared" si="2"/>
        <v>38340381.830000021</v>
      </c>
      <c r="I152" s="360"/>
      <c r="J152" s="361">
        <v>253.8</v>
      </c>
      <c r="K152" s="361">
        <v>0</v>
      </c>
      <c r="L152" s="361">
        <v>532282.7939293246</v>
      </c>
      <c r="M152" s="362"/>
      <c r="N152" s="362">
        <v>30</v>
      </c>
      <c r="O152" s="361">
        <v>1</v>
      </c>
      <c r="P152" s="361">
        <v>130.5</v>
      </c>
      <c r="Q152" s="361">
        <v>5.9</v>
      </c>
      <c r="R152" s="361">
        <v>62.2</v>
      </c>
      <c r="S152" s="361">
        <v>58.5</v>
      </c>
      <c r="T152" s="361">
        <v>76.400000000000006</v>
      </c>
      <c r="U152" s="361">
        <v>334.9</v>
      </c>
      <c r="V152" s="361">
        <v>10.5</v>
      </c>
      <c r="W152" s="361">
        <v>61.7</v>
      </c>
      <c r="X152" s="361">
        <v>55.2</v>
      </c>
      <c r="Y152" s="361">
        <v>184.9</v>
      </c>
      <c r="Z152" s="361">
        <v>28387</v>
      </c>
      <c r="AA152" s="361">
        <v>115.7</v>
      </c>
      <c r="AB152" s="361">
        <v>135.30000000000001</v>
      </c>
      <c r="AC152" s="361">
        <v>115.8</v>
      </c>
    </row>
    <row r="153" spans="1:29" x14ac:dyDescent="0.2">
      <c r="A153" s="356">
        <v>40299</v>
      </c>
      <c r="B153" s="357">
        <v>42421978.980000004</v>
      </c>
      <c r="C153" s="358">
        <v>0</v>
      </c>
      <c r="D153" s="359"/>
      <c r="E153" s="359"/>
      <c r="F153" s="359">
        <v>1507061.0799999996</v>
      </c>
      <c r="G153" s="359"/>
      <c r="H153" s="357">
        <f t="shared" si="2"/>
        <v>40914917.900000006</v>
      </c>
      <c r="I153" s="360"/>
      <c r="J153" s="361">
        <v>125.4</v>
      </c>
      <c r="K153" s="361">
        <v>27.5</v>
      </c>
      <c r="L153" s="361">
        <v>540579.18742524134</v>
      </c>
      <c r="M153" s="362"/>
      <c r="N153" s="362">
        <v>31</v>
      </c>
      <c r="O153" s="361">
        <v>1</v>
      </c>
      <c r="P153" s="361">
        <v>130.6</v>
      </c>
      <c r="Q153" s="361">
        <v>5.9</v>
      </c>
      <c r="R153" s="361">
        <v>63.2</v>
      </c>
      <c r="S153" s="361">
        <v>59.4</v>
      </c>
      <c r="T153" s="361">
        <v>77.599999999999994</v>
      </c>
      <c r="U153" s="361">
        <v>335</v>
      </c>
      <c r="V153" s="361">
        <v>9.9</v>
      </c>
      <c r="W153" s="361">
        <v>62.4</v>
      </c>
      <c r="X153" s="361">
        <v>56.2</v>
      </c>
      <c r="Y153" s="361">
        <v>188.2</v>
      </c>
      <c r="Z153" s="361">
        <v>28365</v>
      </c>
      <c r="AA153" s="361">
        <v>116.2</v>
      </c>
      <c r="AB153" s="361">
        <v>138.30000000000001</v>
      </c>
      <c r="AC153" s="361">
        <v>116.3</v>
      </c>
    </row>
    <row r="154" spans="1:29" x14ac:dyDescent="0.2">
      <c r="A154" s="356">
        <v>40330</v>
      </c>
      <c r="B154" s="357">
        <v>46215608.019999944</v>
      </c>
      <c r="C154" s="358">
        <v>0</v>
      </c>
      <c r="D154" s="359"/>
      <c r="E154" s="359"/>
      <c r="F154" s="359">
        <v>2493665.83</v>
      </c>
      <c r="G154" s="359"/>
      <c r="H154" s="357">
        <f t="shared" si="2"/>
        <v>43721942.189999945</v>
      </c>
      <c r="I154" s="360"/>
      <c r="J154" s="361">
        <v>23.6</v>
      </c>
      <c r="K154" s="361">
        <v>53.9</v>
      </c>
      <c r="L154" s="361">
        <v>548875.58092115808</v>
      </c>
      <c r="M154" s="362"/>
      <c r="N154" s="362">
        <v>30</v>
      </c>
      <c r="O154" s="361">
        <v>0</v>
      </c>
      <c r="P154" s="361">
        <v>130.80000000000001</v>
      </c>
      <c r="Q154" s="361">
        <v>6.2</v>
      </c>
      <c r="R154" s="361">
        <v>63.3</v>
      </c>
      <c r="S154" s="361">
        <v>59.4</v>
      </c>
      <c r="T154" s="361">
        <v>77.7</v>
      </c>
      <c r="U154" s="361">
        <v>335.2</v>
      </c>
      <c r="V154" s="361">
        <v>8.6</v>
      </c>
      <c r="W154" s="361">
        <v>63.2</v>
      </c>
      <c r="X154" s="361">
        <v>57.7</v>
      </c>
      <c r="Y154" s="361">
        <v>193.5</v>
      </c>
      <c r="Z154" s="361">
        <v>28383</v>
      </c>
      <c r="AA154" s="361">
        <v>116</v>
      </c>
      <c r="AB154" s="361">
        <v>136</v>
      </c>
      <c r="AC154" s="361">
        <v>116.1</v>
      </c>
    </row>
    <row r="155" spans="1:29" x14ac:dyDescent="0.2">
      <c r="A155" s="356">
        <v>40360</v>
      </c>
      <c r="B155" s="357">
        <v>55926190.800000042</v>
      </c>
      <c r="C155" s="358">
        <v>0</v>
      </c>
      <c r="D155" s="359"/>
      <c r="E155" s="359"/>
      <c r="F155" s="359">
        <v>3534009.1000000006</v>
      </c>
      <c r="G155" s="359"/>
      <c r="H155" s="357">
        <f t="shared" si="2"/>
        <v>52392181.70000004</v>
      </c>
      <c r="I155" s="360"/>
      <c r="J155" s="361">
        <v>4.5999999999999996</v>
      </c>
      <c r="K155" s="361">
        <v>124</v>
      </c>
      <c r="L155" s="361">
        <v>557171.97441707482</v>
      </c>
      <c r="M155" s="362"/>
      <c r="N155" s="362">
        <v>31</v>
      </c>
      <c r="O155" s="361">
        <v>0</v>
      </c>
      <c r="P155" s="361">
        <v>130.9</v>
      </c>
      <c r="Q155" s="361">
        <v>6.2</v>
      </c>
      <c r="R155" s="361">
        <v>63.9</v>
      </c>
      <c r="S155" s="361">
        <v>60</v>
      </c>
      <c r="T155" s="361">
        <v>78.5</v>
      </c>
      <c r="U155" s="361">
        <v>335.4</v>
      </c>
      <c r="V155" s="361">
        <v>8.6</v>
      </c>
      <c r="W155" s="361">
        <v>64</v>
      </c>
      <c r="X155" s="361">
        <v>58.5</v>
      </c>
      <c r="Y155" s="361">
        <v>196.1</v>
      </c>
      <c r="Z155" s="361">
        <v>28381</v>
      </c>
      <c r="AA155" s="361">
        <v>117</v>
      </c>
      <c r="AB155" s="361">
        <v>143.6</v>
      </c>
      <c r="AC155" s="361">
        <v>117.1</v>
      </c>
    </row>
    <row r="156" spans="1:29" x14ac:dyDescent="0.2">
      <c r="A156" s="356">
        <v>40391</v>
      </c>
      <c r="B156" s="357">
        <v>54796356.969999917</v>
      </c>
      <c r="C156" s="358">
        <v>0</v>
      </c>
      <c r="D156" s="359"/>
      <c r="E156" s="359"/>
      <c r="F156" s="359">
        <v>4030462.1999999997</v>
      </c>
      <c r="G156" s="359"/>
      <c r="H156" s="357">
        <f t="shared" si="2"/>
        <v>50765894.769999914</v>
      </c>
      <c r="I156" s="360"/>
      <c r="J156" s="361">
        <v>7.7</v>
      </c>
      <c r="K156" s="361">
        <v>103.4</v>
      </c>
      <c r="L156" s="361">
        <v>565468.36791299155</v>
      </c>
      <c r="M156" s="362"/>
      <c r="N156" s="362">
        <v>31</v>
      </c>
      <c r="O156" s="361">
        <v>0</v>
      </c>
      <c r="P156" s="361">
        <v>131.1</v>
      </c>
      <c r="Q156" s="361">
        <v>6.7</v>
      </c>
      <c r="R156" s="361">
        <v>63.9</v>
      </c>
      <c r="S156" s="361">
        <v>59.6</v>
      </c>
      <c r="T156" s="361">
        <v>78.099999999999994</v>
      </c>
      <c r="U156" s="361">
        <v>335.7</v>
      </c>
      <c r="V156" s="361">
        <v>8.6</v>
      </c>
      <c r="W156" s="361">
        <v>63.8</v>
      </c>
      <c r="X156" s="361">
        <v>58.3</v>
      </c>
      <c r="Y156" s="361">
        <v>195.6</v>
      </c>
      <c r="Z156" s="361">
        <v>28341</v>
      </c>
      <c r="AA156" s="361">
        <v>117</v>
      </c>
      <c r="AB156" s="361">
        <v>142.6</v>
      </c>
      <c r="AC156" s="361">
        <v>117.1</v>
      </c>
    </row>
    <row r="157" spans="1:29" x14ac:dyDescent="0.2">
      <c r="A157" s="356">
        <v>40422</v>
      </c>
      <c r="B157" s="357">
        <v>44022864.74999997</v>
      </c>
      <c r="C157" s="358">
        <v>0</v>
      </c>
      <c r="D157" s="359"/>
      <c r="E157" s="359"/>
      <c r="F157" s="359">
        <v>2924436.34</v>
      </c>
      <c r="G157" s="359"/>
      <c r="H157" s="357">
        <f t="shared" si="2"/>
        <v>41098428.409999967</v>
      </c>
      <c r="I157" s="360"/>
      <c r="J157" s="361">
        <v>88.8</v>
      </c>
      <c r="K157" s="361">
        <v>25.5</v>
      </c>
      <c r="L157" s="361">
        <v>573764.76140890829</v>
      </c>
      <c r="M157" s="362"/>
      <c r="N157" s="362">
        <v>30</v>
      </c>
      <c r="O157" s="361">
        <v>1</v>
      </c>
      <c r="P157" s="361">
        <v>131.1</v>
      </c>
      <c r="Q157" s="361">
        <v>6.9</v>
      </c>
      <c r="R157" s="361">
        <v>63.2</v>
      </c>
      <c r="S157" s="361">
        <v>58.9</v>
      </c>
      <c r="T157" s="361">
        <v>77.2</v>
      </c>
      <c r="U157" s="361">
        <v>335.9</v>
      </c>
      <c r="V157" s="361">
        <v>9.1999999999999993</v>
      </c>
      <c r="W157" s="361">
        <v>62.8</v>
      </c>
      <c r="X157" s="361">
        <v>57</v>
      </c>
      <c r="Y157" s="361">
        <v>191.5</v>
      </c>
      <c r="Z157" s="361">
        <v>28354</v>
      </c>
      <c r="AA157" s="361">
        <v>117.1</v>
      </c>
      <c r="AB157" s="361">
        <v>142</v>
      </c>
      <c r="AC157" s="361">
        <v>117.3</v>
      </c>
    </row>
    <row r="158" spans="1:29" x14ac:dyDescent="0.2">
      <c r="A158" s="356">
        <v>40452</v>
      </c>
      <c r="B158" s="357">
        <v>43089704.280000031</v>
      </c>
      <c r="C158" s="358">
        <v>3897</v>
      </c>
      <c r="D158" s="359"/>
      <c r="E158" s="359"/>
      <c r="F158" s="359">
        <v>2432323.65</v>
      </c>
      <c r="G158" s="359"/>
      <c r="H158" s="357">
        <f t="shared" si="2"/>
        <v>40661277.630000032</v>
      </c>
      <c r="I158" s="360"/>
      <c r="J158" s="361">
        <v>256.7</v>
      </c>
      <c r="K158" s="361">
        <v>0.1</v>
      </c>
      <c r="L158" s="361">
        <v>582061.15490482503</v>
      </c>
      <c r="M158" s="362"/>
      <c r="N158" s="362">
        <v>31</v>
      </c>
      <c r="O158" s="361">
        <v>1</v>
      </c>
      <c r="P158" s="361">
        <v>131.1</v>
      </c>
      <c r="Q158" s="361">
        <v>7.3</v>
      </c>
      <c r="R158" s="361">
        <v>61.8</v>
      </c>
      <c r="S158" s="361">
        <v>57.3</v>
      </c>
      <c r="T158" s="361">
        <v>75.099999999999994</v>
      </c>
      <c r="U158" s="361">
        <v>336.1</v>
      </c>
      <c r="V158" s="361">
        <v>8.9</v>
      </c>
      <c r="W158" s="361">
        <v>62.5</v>
      </c>
      <c r="X158" s="361">
        <v>56.9</v>
      </c>
      <c r="Y158" s="361">
        <v>191.4</v>
      </c>
      <c r="Z158" s="361">
        <v>28347</v>
      </c>
      <c r="AA158" s="361">
        <v>117.8</v>
      </c>
      <c r="AB158" s="361">
        <v>144.69999999999999</v>
      </c>
      <c r="AC158" s="361">
        <v>117.7</v>
      </c>
    </row>
    <row r="159" spans="1:29" x14ac:dyDescent="0.2">
      <c r="A159" s="356">
        <v>40483</v>
      </c>
      <c r="B159" s="357">
        <v>43749496.590000004</v>
      </c>
      <c r="C159" s="358">
        <v>2744</v>
      </c>
      <c r="D159" s="359"/>
      <c r="E159" s="359"/>
      <c r="F159" s="359">
        <v>1350947.51</v>
      </c>
      <c r="G159" s="359"/>
      <c r="H159" s="357">
        <f t="shared" si="2"/>
        <v>42401293.080000006</v>
      </c>
      <c r="I159" s="360"/>
      <c r="J159" s="361">
        <v>410.4</v>
      </c>
      <c r="K159" s="361">
        <v>0</v>
      </c>
      <c r="L159" s="361">
        <v>590357.54840074177</v>
      </c>
      <c r="M159" s="362"/>
      <c r="N159" s="362">
        <v>30</v>
      </c>
      <c r="O159" s="361">
        <v>1</v>
      </c>
      <c r="P159" s="361">
        <v>131.19999999999999</v>
      </c>
      <c r="Q159" s="361">
        <v>6.3</v>
      </c>
      <c r="R159" s="361">
        <v>60.6</v>
      </c>
      <c r="S159" s="361">
        <v>56.8</v>
      </c>
      <c r="T159" s="361">
        <v>74.5</v>
      </c>
      <c r="U159" s="361">
        <v>336.2</v>
      </c>
      <c r="V159" s="361">
        <v>8.6999999999999993</v>
      </c>
      <c r="W159" s="361">
        <v>62.4</v>
      </c>
      <c r="X159" s="361">
        <v>57</v>
      </c>
      <c r="Y159" s="361">
        <v>191.5</v>
      </c>
      <c r="Z159" s="361">
        <v>28388</v>
      </c>
      <c r="AA159" s="361">
        <v>118</v>
      </c>
      <c r="AB159" s="361">
        <v>145.69999999999999</v>
      </c>
      <c r="AC159" s="361">
        <v>117.8</v>
      </c>
    </row>
    <row r="160" spans="1:29" x14ac:dyDescent="0.2">
      <c r="A160" s="356">
        <v>40513</v>
      </c>
      <c r="B160" s="357">
        <v>49963488.439999975</v>
      </c>
      <c r="C160" s="358">
        <v>1431</v>
      </c>
      <c r="D160" s="359"/>
      <c r="E160" s="359"/>
      <c r="F160" s="359">
        <v>839487.51</v>
      </c>
      <c r="G160" s="359"/>
      <c r="H160" s="357">
        <f t="shared" si="2"/>
        <v>49125431.929999977</v>
      </c>
      <c r="I160" s="360"/>
      <c r="J160" s="361">
        <v>671.3</v>
      </c>
      <c r="K160" s="361">
        <v>0</v>
      </c>
      <c r="L160" s="361">
        <v>598653.94189665851</v>
      </c>
      <c r="M160" s="362"/>
      <c r="N160" s="362">
        <v>31</v>
      </c>
      <c r="O160" s="361">
        <v>0</v>
      </c>
      <c r="P160" s="361">
        <v>131.30000000000001</v>
      </c>
      <c r="Q160" s="361">
        <v>5.9</v>
      </c>
      <c r="R160" s="361">
        <v>61.1</v>
      </c>
      <c r="S160" s="361">
        <v>57.5</v>
      </c>
      <c r="T160" s="361">
        <v>75.5</v>
      </c>
      <c r="U160" s="361">
        <v>336.3</v>
      </c>
      <c r="V160" s="361">
        <v>8.9</v>
      </c>
      <c r="W160" s="361">
        <v>62.7</v>
      </c>
      <c r="X160" s="361">
        <v>57.1</v>
      </c>
      <c r="Y160" s="361">
        <v>192</v>
      </c>
      <c r="Z160" s="361">
        <v>28404</v>
      </c>
      <c r="AA160" s="361">
        <v>117.9</v>
      </c>
      <c r="AB160" s="361">
        <v>147.30000000000001</v>
      </c>
      <c r="AC160" s="361">
        <v>117.6</v>
      </c>
    </row>
  </sheetData>
  <sheetProtection selectLockedCells="1" selectUnlockedCells="1"/>
  <mergeCells count="2">
    <mergeCell ref="J3:Y3"/>
    <mergeCell ref="A3:H3"/>
  </mergeCells>
  <pageMargins left="0.7" right="0.7" top="0.75" bottom="0.75" header="0.3" footer="0.3"/>
  <pageSetup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Y1366"/>
  <sheetViews>
    <sheetView showGridLines="0" workbookViewId="0">
      <pane xSplit="1" ySplit="4" topLeftCell="B5" activePane="bottomRight" state="frozen"/>
      <selection activeCell="C31" sqref="C31"/>
      <selection pane="topRight" activeCell="C31" sqref="C31"/>
      <selection pane="bottomLeft" activeCell="C31" sqref="C31"/>
      <selection pane="bottomRight" activeCell="D5" sqref="D5:D124"/>
    </sheetView>
  </sheetViews>
  <sheetFormatPr defaultColWidth="9.33203125" defaultRowHeight="12.75" x14ac:dyDescent="0.2"/>
  <cols>
    <col min="1" max="1" width="16.33203125" style="2" customWidth="1"/>
    <col min="2" max="5" width="12.83203125" style="2" customWidth="1"/>
    <col min="6" max="6" width="13.83203125" style="2" bestFit="1" customWidth="1"/>
    <col min="7" max="7" width="15" style="2" customWidth="1"/>
    <col min="8" max="8" width="16.1640625" style="2" customWidth="1"/>
    <col min="9" max="11" width="12.83203125" style="2" customWidth="1"/>
    <col min="12" max="12" width="11.5" style="2" customWidth="1"/>
    <col min="13" max="15" width="12.83203125" style="2" customWidth="1"/>
    <col min="16" max="16" width="13.83203125" style="2" bestFit="1" customWidth="1"/>
    <col min="17" max="51" width="12.83203125" style="2" customWidth="1"/>
    <col min="52" max="16384" width="9.33203125" style="2"/>
  </cols>
  <sheetData>
    <row r="1" spans="1:51" ht="15" customHeight="1" thickBot="1" x14ac:dyDescent="0.25">
      <c r="C1" s="416" t="s">
        <v>41</v>
      </c>
      <c r="D1" s="33"/>
      <c r="E1" s="34" t="s">
        <v>42</v>
      </c>
      <c r="F1" s="31">
        <v>0</v>
      </c>
      <c r="J1" s="35"/>
      <c r="K1" s="35"/>
      <c r="L1" s="35"/>
      <c r="M1" s="35"/>
      <c r="N1" s="35"/>
      <c r="O1" s="35"/>
      <c r="P1" s="35"/>
      <c r="R1" s="38">
        <v>1</v>
      </c>
      <c r="AS1" s="134"/>
      <c r="AT1" s="135"/>
      <c r="AU1" s="136" t="s">
        <v>46</v>
      </c>
      <c r="AV1" s="137">
        <v>10</v>
      </c>
    </row>
    <row r="2" spans="1:51" ht="15" customHeight="1" thickBot="1" x14ac:dyDescent="0.25">
      <c r="C2" s="417"/>
      <c r="D2" s="36"/>
      <c r="E2" s="37" t="s">
        <v>114</v>
      </c>
      <c r="F2" s="32">
        <v>0</v>
      </c>
      <c r="J2" s="35"/>
      <c r="K2" s="35"/>
      <c r="L2" s="35"/>
      <c r="M2" s="35"/>
      <c r="N2" s="35"/>
      <c r="O2" s="35"/>
      <c r="P2" s="35"/>
    </row>
    <row r="3" spans="1:51" ht="15" customHeight="1" thickBot="1" x14ac:dyDescent="0.25">
      <c r="A3" s="30" t="s">
        <v>40</v>
      </c>
      <c r="B3" s="138" t="s">
        <v>45</v>
      </c>
      <c r="C3" s="138" t="s">
        <v>45</v>
      </c>
      <c r="D3" s="138" t="s">
        <v>45</v>
      </c>
      <c r="E3" s="138" t="s">
        <v>45</v>
      </c>
      <c r="F3" s="138" t="s">
        <v>45</v>
      </c>
      <c r="G3" s="138" t="s">
        <v>149</v>
      </c>
      <c r="H3" s="138" t="s">
        <v>45</v>
      </c>
      <c r="I3" s="138" t="s">
        <v>45</v>
      </c>
      <c r="J3" s="138" t="s">
        <v>45</v>
      </c>
      <c r="K3" s="138" t="s">
        <v>45</v>
      </c>
      <c r="L3" s="138" t="s">
        <v>45</v>
      </c>
      <c r="M3" s="138" t="s">
        <v>45</v>
      </c>
      <c r="N3" s="138" t="s">
        <v>45</v>
      </c>
      <c r="O3" s="138" t="s">
        <v>45</v>
      </c>
      <c r="P3" s="138" t="s">
        <v>45</v>
      </c>
      <c r="Q3" s="138" t="s">
        <v>45</v>
      </c>
      <c r="R3" s="138" t="s">
        <v>45</v>
      </c>
      <c r="S3" s="138" t="s">
        <v>45</v>
      </c>
      <c r="T3" s="138" t="s">
        <v>45</v>
      </c>
      <c r="U3" s="138" t="s">
        <v>45</v>
      </c>
      <c r="V3" s="138" t="s">
        <v>45</v>
      </c>
      <c r="W3" s="138" t="s">
        <v>45</v>
      </c>
      <c r="X3" s="138" t="s">
        <v>45</v>
      </c>
      <c r="Y3" s="138" t="s">
        <v>45</v>
      </c>
      <c r="Z3" s="138" t="s">
        <v>45</v>
      </c>
      <c r="AA3" s="138" t="s">
        <v>45</v>
      </c>
      <c r="AB3" s="138" t="s">
        <v>45</v>
      </c>
      <c r="AC3" s="138" t="s">
        <v>45</v>
      </c>
      <c r="AD3" s="138" t="s">
        <v>45</v>
      </c>
      <c r="AE3" s="138" t="s">
        <v>45</v>
      </c>
      <c r="AF3" s="138" t="s">
        <v>45</v>
      </c>
      <c r="AG3" s="138" t="s">
        <v>45</v>
      </c>
      <c r="AH3" s="138" t="s">
        <v>45</v>
      </c>
      <c r="AI3" s="138" t="s">
        <v>45</v>
      </c>
      <c r="AJ3" s="138" t="s">
        <v>45</v>
      </c>
      <c r="AK3" s="138" t="s">
        <v>45</v>
      </c>
      <c r="AL3" s="138" t="s">
        <v>45</v>
      </c>
      <c r="AM3" s="138" t="s">
        <v>45</v>
      </c>
      <c r="AN3" s="138" t="s">
        <v>45</v>
      </c>
      <c r="AO3" s="138" t="s">
        <v>45</v>
      </c>
      <c r="AP3" s="138" t="s">
        <v>45</v>
      </c>
      <c r="AQ3" s="138" t="s">
        <v>45</v>
      </c>
      <c r="AR3" s="138" t="s">
        <v>45</v>
      </c>
      <c r="AS3" s="138" t="s">
        <v>45</v>
      </c>
      <c r="AT3" s="138" t="s">
        <v>45</v>
      </c>
      <c r="AU3" s="138" t="s">
        <v>45</v>
      </c>
      <c r="AV3" s="138" t="s">
        <v>45</v>
      </c>
      <c r="AW3" s="138" t="s">
        <v>45</v>
      </c>
      <c r="AX3" s="138" t="s">
        <v>45</v>
      </c>
      <c r="AY3" s="138" t="s">
        <v>45</v>
      </c>
    </row>
    <row r="4" spans="1:51" ht="25.5" customHeight="1" thickBot="1" x14ac:dyDescent="0.25">
      <c r="A4" s="22" t="s">
        <v>106</v>
      </c>
      <c r="B4" s="28" t="s">
        <v>48</v>
      </c>
      <c r="C4" s="28" t="s">
        <v>49</v>
      </c>
      <c r="D4" s="212" t="s">
        <v>147</v>
      </c>
      <c r="E4" s="212" t="s">
        <v>148</v>
      </c>
      <c r="F4" s="212" t="s">
        <v>169</v>
      </c>
      <c r="G4" s="28" t="s">
        <v>152</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x14ac:dyDescent="0.2">
      <c r="A5" s="377">
        <v>50205500</v>
      </c>
      <c r="B5" s="378">
        <v>794.5999755859375</v>
      </c>
      <c r="C5" s="378">
        <v>0</v>
      </c>
      <c r="D5" s="378">
        <v>31</v>
      </c>
      <c r="E5" s="378">
        <v>0</v>
      </c>
      <c r="F5" s="378">
        <v>598792.8125</v>
      </c>
      <c r="G5" s="378">
        <v>28443</v>
      </c>
      <c r="H5" s="257"/>
      <c r="I5" s="257"/>
      <c r="J5" s="257"/>
      <c r="K5" s="257"/>
      <c r="L5" s="257"/>
      <c r="M5" s="257"/>
      <c r="N5" s="257"/>
      <c r="O5" s="257"/>
      <c r="P5" s="257"/>
      <c r="Q5" s="257"/>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59"/>
      <c r="AW5" s="259"/>
      <c r="AX5" s="259"/>
      <c r="AY5" s="259"/>
    </row>
    <row r="6" spans="1:51" x14ac:dyDescent="0.2">
      <c r="A6" s="377">
        <v>45182972</v>
      </c>
      <c r="B6" s="378">
        <v>645.29998779296875</v>
      </c>
      <c r="C6" s="378">
        <v>0</v>
      </c>
      <c r="D6" s="378">
        <v>28</v>
      </c>
      <c r="E6" s="378">
        <v>0</v>
      </c>
      <c r="F6" s="378">
        <v>598931.625</v>
      </c>
      <c r="G6" s="378">
        <v>28447</v>
      </c>
      <c r="H6" s="257"/>
      <c r="I6" s="257"/>
      <c r="J6" s="257"/>
      <c r="K6" s="257"/>
      <c r="L6" s="257"/>
      <c r="M6" s="257"/>
      <c r="N6" s="257"/>
      <c r="O6" s="257"/>
      <c r="P6" s="257"/>
      <c r="Q6" s="257"/>
      <c r="R6" s="260"/>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row>
    <row r="7" spans="1:51" x14ac:dyDescent="0.2">
      <c r="A7" s="377">
        <v>46925212</v>
      </c>
      <c r="B7" s="378">
        <v>568.5999755859375</v>
      </c>
      <c r="C7" s="378">
        <v>0</v>
      </c>
      <c r="D7" s="378">
        <v>31</v>
      </c>
      <c r="E7" s="378">
        <v>1</v>
      </c>
      <c r="F7" s="378">
        <v>599070.5</v>
      </c>
      <c r="G7" s="378">
        <v>28437</v>
      </c>
      <c r="H7" s="257"/>
      <c r="I7" s="257"/>
      <c r="J7" s="257"/>
      <c r="K7" s="257"/>
      <c r="L7" s="257"/>
      <c r="M7" s="257"/>
      <c r="N7" s="257"/>
      <c r="O7" s="257"/>
      <c r="P7" s="257"/>
      <c r="Q7" s="257"/>
      <c r="R7" s="260"/>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row>
    <row r="8" spans="1:51" x14ac:dyDescent="0.2">
      <c r="A8" s="377">
        <v>40611160</v>
      </c>
      <c r="B8" s="378">
        <v>324.89999389648438</v>
      </c>
      <c r="C8" s="378">
        <v>0.40000000596046448</v>
      </c>
      <c r="D8" s="378">
        <v>30</v>
      </c>
      <c r="E8" s="378">
        <v>1</v>
      </c>
      <c r="F8" s="378">
        <v>599209.3125</v>
      </c>
      <c r="G8" s="378">
        <v>28398</v>
      </c>
      <c r="H8" s="257"/>
      <c r="I8" s="257"/>
      <c r="J8" s="257"/>
      <c r="K8" s="257"/>
      <c r="L8" s="257"/>
      <c r="M8" s="257"/>
      <c r="N8" s="257"/>
      <c r="O8" s="257"/>
      <c r="P8" s="257"/>
      <c r="Q8" s="257"/>
      <c r="R8" s="260"/>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row>
    <row r="9" spans="1:51" x14ac:dyDescent="0.2">
      <c r="A9" s="377">
        <v>40042244</v>
      </c>
      <c r="B9" s="378">
        <v>136</v>
      </c>
      <c r="C9" s="378">
        <v>12.5</v>
      </c>
      <c r="D9" s="378">
        <v>31</v>
      </c>
      <c r="E9" s="378">
        <v>1</v>
      </c>
      <c r="F9" s="378">
        <v>599348.1875</v>
      </c>
      <c r="G9" s="378">
        <v>28386</v>
      </c>
      <c r="H9" s="257"/>
      <c r="I9" s="257"/>
      <c r="J9" s="257"/>
      <c r="K9" s="257"/>
      <c r="L9" s="257"/>
      <c r="M9" s="257"/>
      <c r="N9" s="257"/>
      <c r="O9" s="257"/>
      <c r="P9" s="257"/>
      <c r="Q9" s="257"/>
      <c r="R9" s="260"/>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row>
    <row r="10" spans="1:51" x14ac:dyDescent="0.2">
      <c r="A10" s="377">
        <v>42347068</v>
      </c>
      <c r="B10" s="378">
        <v>22.700000762939453</v>
      </c>
      <c r="C10" s="378">
        <v>40.200000762939453</v>
      </c>
      <c r="D10" s="378">
        <v>30</v>
      </c>
      <c r="E10" s="378">
        <v>0</v>
      </c>
      <c r="F10" s="379">
        <v>599487</v>
      </c>
      <c r="G10" s="378">
        <v>28410</v>
      </c>
      <c r="H10" s="257"/>
      <c r="I10" s="257"/>
      <c r="J10" s="257"/>
      <c r="K10" s="257"/>
      <c r="L10" s="257"/>
      <c r="M10" s="257"/>
      <c r="N10" s="257"/>
      <c r="O10" s="257"/>
      <c r="P10" s="257"/>
      <c r="Q10" s="257"/>
      <c r="R10" s="260"/>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row>
    <row r="11" spans="1:51" x14ac:dyDescent="0.2">
      <c r="A11" s="377">
        <v>52532224</v>
      </c>
      <c r="B11" s="378">
        <v>0.20000000298023224</v>
      </c>
      <c r="C11" s="378">
        <v>158.60000610351563</v>
      </c>
      <c r="D11" s="378">
        <v>31</v>
      </c>
      <c r="E11" s="378">
        <v>0</v>
      </c>
      <c r="F11" s="378">
        <v>599625.875</v>
      </c>
      <c r="G11" s="378">
        <v>28362</v>
      </c>
      <c r="H11" s="257"/>
      <c r="I11" s="257"/>
      <c r="J11" s="257"/>
      <c r="K11" s="257"/>
      <c r="L11" s="257"/>
      <c r="M11" s="257"/>
      <c r="N11" s="257"/>
      <c r="O11" s="257"/>
      <c r="P11" s="257"/>
      <c r="Q11" s="257"/>
      <c r="R11" s="260"/>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row>
    <row r="12" spans="1:51" x14ac:dyDescent="0.2">
      <c r="A12" s="377">
        <v>49450808</v>
      </c>
      <c r="B12" s="378">
        <v>4.0999999046325684</v>
      </c>
      <c r="C12" s="378">
        <v>88.800003051757813</v>
      </c>
      <c r="D12" s="378">
        <v>31</v>
      </c>
      <c r="E12" s="378">
        <v>0</v>
      </c>
      <c r="F12" s="378">
        <v>599764.75</v>
      </c>
      <c r="G12" s="378">
        <v>28364</v>
      </c>
      <c r="H12" s="257"/>
      <c r="I12" s="257"/>
      <c r="J12" s="257"/>
      <c r="K12" s="257"/>
      <c r="L12" s="257"/>
      <c r="M12" s="257"/>
      <c r="N12" s="257"/>
      <c r="O12" s="257"/>
      <c r="P12" s="257"/>
      <c r="Q12" s="257"/>
      <c r="R12" s="260"/>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row>
    <row r="13" spans="1:51" x14ac:dyDescent="0.2">
      <c r="A13" s="377">
        <v>41922952</v>
      </c>
      <c r="B13" s="378">
        <v>55.5</v>
      </c>
      <c r="C13" s="378">
        <v>29.5</v>
      </c>
      <c r="D13" s="378">
        <v>30</v>
      </c>
      <c r="E13" s="378">
        <v>1</v>
      </c>
      <c r="F13" s="378">
        <v>599903.5625</v>
      </c>
      <c r="G13" s="378">
        <v>28384</v>
      </c>
      <c r="H13" s="257"/>
      <c r="I13" s="257"/>
      <c r="J13" s="257"/>
      <c r="K13" s="257"/>
      <c r="L13" s="257"/>
      <c r="M13" s="257"/>
      <c r="N13" s="257"/>
      <c r="O13" s="257"/>
      <c r="P13" s="257"/>
      <c r="Q13" s="257"/>
      <c r="R13" s="260"/>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row>
    <row r="14" spans="1:51" x14ac:dyDescent="0.2">
      <c r="A14" s="377">
        <v>40489448</v>
      </c>
      <c r="B14" s="378">
        <v>238.80000305175781</v>
      </c>
      <c r="C14" s="378">
        <v>0</v>
      </c>
      <c r="D14" s="378">
        <v>31</v>
      </c>
      <c r="E14" s="378">
        <v>1</v>
      </c>
      <c r="F14" s="378">
        <v>600042.4375</v>
      </c>
      <c r="G14" s="378">
        <v>28497</v>
      </c>
      <c r="H14" s="257"/>
      <c r="I14" s="257"/>
      <c r="J14" s="257"/>
      <c r="K14" s="257"/>
      <c r="L14" s="257"/>
      <c r="M14" s="257"/>
      <c r="N14" s="257"/>
      <c r="O14" s="257"/>
      <c r="P14" s="257"/>
      <c r="Q14" s="257"/>
      <c r="R14" s="260"/>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row>
    <row r="15" spans="1:51" x14ac:dyDescent="0.2">
      <c r="A15" s="377">
        <v>40965236</v>
      </c>
      <c r="B15" s="378">
        <v>320</v>
      </c>
      <c r="C15" s="378">
        <v>0</v>
      </c>
      <c r="D15" s="378">
        <v>30</v>
      </c>
      <c r="E15" s="378">
        <v>1</v>
      </c>
      <c r="F15" s="378">
        <v>600181.25</v>
      </c>
      <c r="G15" s="378">
        <v>28559</v>
      </c>
      <c r="H15" s="257"/>
      <c r="I15" s="257"/>
      <c r="J15" s="257"/>
      <c r="K15" s="257"/>
      <c r="L15" s="257"/>
      <c r="M15" s="257"/>
      <c r="N15" s="257"/>
      <c r="O15" s="257"/>
      <c r="P15" s="257"/>
      <c r="Q15" s="257"/>
      <c r="R15" s="260"/>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row>
    <row r="16" spans="1:51" x14ac:dyDescent="0.2">
      <c r="A16" s="377">
        <v>44906800</v>
      </c>
      <c r="B16" s="378">
        <v>512</v>
      </c>
      <c r="C16" s="378">
        <v>0</v>
      </c>
      <c r="D16" s="378">
        <v>31</v>
      </c>
      <c r="E16" s="378">
        <v>0</v>
      </c>
      <c r="F16" s="378">
        <v>600320.125</v>
      </c>
      <c r="G16" s="378">
        <v>28539</v>
      </c>
      <c r="H16" s="257"/>
      <c r="I16" s="257"/>
      <c r="J16" s="257"/>
      <c r="K16" s="257"/>
      <c r="L16" s="257"/>
      <c r="M16" s="257"/>
      <c r="N16" s="257"/>
      <c r="O16" s="257"/>
      <c r="P16" s="257"/>
      <c r="Q16" s="257"/>
      <c r="R16" s="260"/>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row>
    <row r="17" spans="1:51" x14ac:dyDescent="0.2">
      <c r="A17" s="377">
        <v>46790240</v>
      </c>
      <c r="B17" s="378">
        <v>600.79998779296875</v>
      </c>
      <c r="C17" s="378">
        <v>0</v>
      </c>
      <c r="D17" s="378">
        <v>31</v>
      </c>
      <c r="E17" s="378">
        <v>0</v>
      </c>
      <c r="F17" s="378">
        <v>608498.875</v>
      </c>
      <c r="G17" s="378">
        <v>28599</v>
      </c>
      <c r="H17" s="257"/>
      <c r="I17" s="257"/>
      <c r="J17" s="257"/>
      <c r="K17" s="257"/>
      <c r="L17" s="257"/>
      <c r="M17" s="257"/>
      <c r="N17" s="257"/>
      <c r="O17" s="257"/>
      <c r="P17" s="257"/>
      <c r="Q17" s="257"/>
      <c r="R17" s="260"/>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row>
    <row r="18" spans="1:51" x14ac:dyDescent="0.2">
      <c r="A18" s="377">
        <v>43059504</v>
      </c>
      <c r="B18" s="378">
        <v>533.20001220703125</v>
      </c>
      <c r="C18" s="378">
        <v>0</v>
      </c>
      <c r="D18" s="378">
        <v>29</v>
      </c>
      <c r="E18" s="378">
        <v>0</v>
      </c>
      <c r="F18" s="378">
        <v>616677.625</v>
      </c>
      <c r="G18" s="378">
        <v>28605</v>
      </c>
      <c r="H18" s="257"/>
      <c r="I18" s="257"/>
      <c r="J18" s="257"/>
      <c r="K18" s="257"/>
      <c r="L18" s="257"/>
      <c r="M18" s="257"/>
      <c r="N18" s="257"/>
      <c r="O18" s="257"/>
      <c r="P18" s="257"/>
      <c r="Q18" s="257"/>
      <c r="R18" s="260"/>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row>
    <row r="19" spans="1:51" x14ac:dyDescent="0.2">
      <c r="A19" s="377">
        <v>41836364</v>
      </c>
      <c r="B19" s="378">
        <v>333.79998779296875</v>
      </c>
      <c r="C19" s="378">
        <v>0</v>
      </c>
      <c r="D19" s="378">
        <v>31</v>
      </c>
      <c r="E19" s="378">
        <v>1</v>
      </c>
      <c r="F19" s="378">
        <v>624856.375</v>
      </c>
      <c r="G19" s="378">
        <v>28561</v>
      </c>
      <c r="H19" s="257"/>
      <c r="I19" s="257"/>
      <c r="J19" s="257"/>
      <c r="K19" s="257"/>
      <c r="L19" s="257"/>
      <c r="M19" s="257"/>
      <c r="N19" s="257"/>
      <c r="O19" s="257"/>
      <c r="P19" s="257"/>
      <c r="Q19" s="257"/>
      <c r="R19" s="260"/>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row>
    <row r="20" spans="1:51" x14ac:dyDescent="0.2">
      <c r="A20" s="377">
        <v>38318888</v>
      </c>
      <c r="B20" s="378">
        <v>340.5</v>
      </c>
      <c r="C20" s="378">
        <v>0</v>
      </c>
      <c r="D20" s="378">
        <v>30</v>
      </c>
      <c r="E20" s="378">
        <v>1</v>
      </c>
      <c r="F20" s="378">
        <v>633035.125</v>
      </c>
      <c r="G20" s="378">
        <v>28583</v>
      </c>
      <c r="H20" s="257"/>
      <c r="I20" s="257"/>
      <c r="J20" s="257"/>
      <c r="K20" s="257"/>
      <c r="L20" s="257"/>
      <c r="M20" s="257"/>
      <c r="N20" s="257"/>
      <c r="O20" s="257"/>
      <c r="P20" s="257"/>
      <c r="Q20" s="257"/>
      <c r="R20" s="260"/>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row>
    <row r="21" spans="1:51" x14ac:dyDescent="0.2">
      <c r="A21" s="377">
        <v>39705860</v>
      </c>
      <c r="B21" s="378">
        <v>82.300003051757813</v>
      </c>
      <c r="C21" s="378">
        <v>28.899999618530273</v>
      </c>
      <c r="D21" s="378">
        <v>31</v>
      </c>
      <c r="E21" s="378">
        <v>1</v>
      </c>
      <c r="F21" s="378">
        <v>641213.875</v>
      </c>
      <c r="G21" s="378">
        <v>28574</v>
      </c>
      <c r="H21" s="257"/>
      <c r="I21" s="257"/>
      <c r="J21" s="257"/>
      <c r="K21" s="257"/>
      <c r="L21" s="257"/>
      <c r="M21" s="257"/>
      <c r="N21" s="257"/>
      <c r="O21" s="257"/>
      <c r="P21" s="257"/>
      <c r="Q21" s="257"/>
      <c r="R21" s="260"/>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row>
    <row r="22" spans="1:51" x14ac:dyDescent="0.2">
      <c r="A22" s="377">
        <v>42958924</v>
      </c>
      <c r="B22" s="378">
        <v>31.600000381469727</v>
      </c>
      <c r="C22" s="378">
        <v>64.599998474121094</v>
      </c>
      <c r="D22" s="378">
        <v>30</v>
      </c>
      <c r="E22" s="378">
        <v>0</v>
      </c>
      <c r="F22" s="378">
        <v>649392.625</v>
      </c>
      <c r="G22" s="378">
        <v>28616</v>
      </c>
      <c r="H22" s="257"/>
      <c r="I22" s="257"/>
      <c r="J22" s="257"/>
      <c r="K22" s="257"/>
      <c r="L22" s="257"/>
      <c r="M22" s="257"/>
      <c r="N22" s="257"/>
      <c r="O22" s="257"/>
      <c r="P22" s="257"/>
      <c r="Q22" s="257"/>
      <c r="R22" s="260"/>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row>
    <row r="23" spans="1:51" x14ac:dyDescent="0.2">
      <c r="A23" s="377">
        <v>51833832</v>
      </c>
      <c r="B23" s="378">
        <v>0</v>
      </c>
      <c r="C23" s="378">
        <v>152.89999389648438</v>
      </c>
      <c r="D23" s="378">
        <v>31</v>
      </c>
      <c r="E23" s="378">
        <v>0</v>
      </c>
      <c r="F23" s="378">
        <v>657571.375</v>
      </c>
      <c r="G23" s="378">
        <v>28618</v>
      </c>
      <c r="H23" s="257"/>
      <c r="I23" s="257"/>
      <c r="J23" s="257"/>
      <c r="K23" s="257"/>
      <c r="L23" s="257"/>
      <c r="M23" s="257"/>
      <c r="N23" s="257"/>
      <c r="O23" s="257"/>
      <c r="P23" s="257"/>
      <c r="Q23" s="257"/>
      <c r="R23" s="260"/>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row>
    <row r="24" spans="1:51" x14ac:dyDescent="0.2">
      <c r="A24" s="377">
        <v>48709368</v>
      </c>
      <c r="B24" s="378">
        <v>6</v>
      </c>
      <c r="C24" s="378">
        <v>76.599998474121094</v>
      </c>
      <c r="D24" s="378">
        <v>31</v>
      </c>
      <c r="E24" s="378">
        <v>0</v>
      </c>
      <c r="F24" s="378">
        <v>665750.1875</v>
      </c>
      <c r="G24" s="378">
        <v>28610</v>
      </c>
      <c r="H24" s="257"/>
      <c r="I24" s="257"/>
      <c r="J24" s="257"/>
      <c r="K24" s="257"/>
      <c r="L24" s="257"/>
      <c r="M24" s="257"/>
      <c r="N24" s="257"/>
      <c r="O24" s="257"/>
      <c r="P24" s="257"/>
      <c r="Q24" s="257"/>
      <c r="R24" s="260"/>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row>
    <row r="25" spans="1:51" x14ac:dyDescent="0.2">
      <c r="A25" s="377">
        <v>40386344</v>
      </c>
      <c r="B25" s="378">
        <v>86.099998474121094</v>
      </c>
      <c r="C25" s="378">
        <v>28.899999618530273</v>
      </c>
      <c r="D25" s="378">
        <v>30</v>
      </c>
      <c r="E25" s="378">
        <v>1</v>
      </c>
      <c r="F25" s="378">
        <v>673928.9375</v>
      </c>
      <c r="G25" s="378">
        <v>28614</v>
      </c>
      <c r="H25" s="257"/>
      <c r="I25" s="257"/>
      <c r="J25" s="257"/>
      <c r="K25" s="257"/>
      <c r="L25" s="257"/>
      <c r="M25" s="257"/>
      <c r="N25" s="257"/>
      <c r="O25" s="257"/>
      <c r="P25" s="257"/>
      <c r="Q25" s="257"/>
      <c r="R25" s="260"/>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row>
    <row r="26" spans="1:51" x14ac:dyDescent="0.2">
      <c r="A26" s="377">
        <v>40191612</v>
      </c>
      <c r="B26" s="378">
        <v>227.39999389648438</v>
      </c>
      <c r="C26" s="378">
        <v>0.80000001192092896</v>
      </c>
      <c r="D26" s="378">
        <v>31</v>
      </c>
      <c r="E26" s="378">
        <v>1</v>
      </c>
      <c r="F26" s="378">
        <v>682107.6875</v>
      </c>
      <c r="G26" s="378">
        <v>28631</v>
      </c>
      <c r="H26" s="257"/>
      <c r="I26" s="257"/>
      <c r="J26" s="257"/>
      <c r="K26" s="257"/>
      <c r="L26" s="257"/>
      <c r="M26" s="257"/>
      <c r="N26" s="257"/>
      <c r="O26" s="257"/>
      <c r="P26" s="257"/>
      <c r="Q26" s="257"/>
      <c r="R26" s="260"/>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row>
    <row r="27" spans="1:51" x14ac:dyDescent="0.2">
      <c r="A27" s="377">
        <v>42546572</v>
      </c>
      <c r="B27" s="378">
        <v>432.39999389648438</v>
      </c>
      <c r="C27" s="378">
        <v>0</v>
      </c>
      <c r="D27" s="378">
        <v>30</v>
      </c>
      <c r="E27" s="378">
        <v>1</v>
      </c>
      <c r="F27" s="378">
        <v>690286.4375</v>
      </c>
      <c r="G27" s="378">
        <v>28647</v>
      </c>
      <c r="H27" s="257"/>
      <c r="I27" s="257"/>
      <c r="J27" s="257"/>
      <c r="K27" s="257"/>
      <c r="L27" s="257"/>
      <c r="M27" s="257"/>
      <c r="N27" s="257"/>
      <c r="O27" s="257"/>
      <c r="P27" s="257"/>
      <c r="Q27" s="257"/>
      <c r="R27" s="260"/>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row>
    <row r="28" spans="1:51" x14ac:dyDescent="0.2">
      <c r="A28" s="377">
        <v>44574932</v>
      </c>
      <c r="B28" s="378">
        <v>505.10000610351563</v>
      </c>
      <c r="C28" s="378">
        <v>0</v>
      </c>
      <c r="D28" s="378">
        <v>31</v>
      </c>
      <c r="E28" s="378">
        <v>0</v>
      </c>
      <c r="F28" s="378">
        <v>698465.1875</v>
      </c>
      <c r="G28" s="378">
        <v>28658</v>
      </c>
      <c r="H28" s="257"/>
      <c r="I28" s="257"/>
      <c r="J28" s="257"/>
      <c r="K28" s="257"/>
      <c r="L28" s="257"/>
      <c r="M28" s="257"/>
      <c r="N28" s="257"/>
      <c r="O28" s="257"/>
      <c r="P28" s="257"/>
      <c r="Q28" s="257"/>
      <c r="R28" s="260"/>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row>
    <row r="29" spans="1:51" x14ac:dyDescent="0.2">
      <c r="A29" s="377">
        <v>48092056</v>
      </c>
      <c r="B29" s="378">
        <v>617.29998779296875</v>
      </c>
      <c r="C29" s="378">
        <v>0</v>
      </c>
      <c r="D29" s="378">
        <v>31</v>
      </c>
      <c r="E29" s="378">
        <v>0</v>
      </c>
      <c r="F29" s="378">
        <v>713105.625</v>
      </c>
      <c r="G29" s="378">
        <v>28708</v>
      </c>
      <c r="H29" s="257"/>
      <c r="I29" s="257"/>
      <c r="J29" s="257"/>
      <c r="K29" s="257"/>
      <c r="L29" s="257"/>
      <c r="M29" s="257"/>
      <c r="N29" s="257"/>
      <c r="O29" s="257"/>
      <c r="P29" s="257"/>
      <c r="Q29" s="257"/>
      <c r="R29" s="260"/>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row>
    <row r="30" spans="1:51" x14ac:dyDescent="0.2">
      <c r="A30" s="377">
        <v>43415700</v>
      </c>
      <c r="B30" s="378">
        <v>640.0999755859375</v>
      </c>
      <c r="C30" s="378">
        <v>0</v>
      </c>
      <c r="D30" s="378">
        <v>28</v>
      </c>
      <c r="E30" s="378">
        <v>0</v>
      </c>
      <c r="F30" s="378">
        <v>727746.0625</v>
      </c>
      <c r="G30" s="378">
        <v>28707</v>
      </c>
      <c r="H30" s="257"/>
      <c r="I30" s="257"/>
      <c r="J30" s="257"/>
      <c r="K30" s="257"/>
      <c r="L30" s="257"/>
      <c r="M30" s="257"/>
      <c r="N30" s="257"/>
      <c r="O30" s="257"/>
      <c r="P30" s="257"/>
      <c r="Q30" s="257"/>
      <c r="R30" s="260"/>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row>
    <row r="31" spans="1:51" x14ac:dyDescent="0.2">
      <c r="A31" s="377">
        <v>43520436</v>
      </c>
      <c r="B31" s="378">
        <v>555.4000244140625</v>
      </c>
      <c r="C31" s="378">
        <v>0</v>
      </c>
      <c r="D31" s="378">
        <v>31</v>
      </c>
      <c r="E31" s="378">
        <v>1</v>
      </c>
      <c r="F31" s="378">
        <v>742386.5</v>
      </c>
      <c r="G31" s="378">
        <v>28697</v>
      </c>
      <c r="H31" s="257"/>
      <c r="I31" s="257"/>
      <c r="J31" s="257"/>
      <c r="K31" s="257"/>
      <c r="L31" s="257"/>
      <c r="M31" s="257"/>
      <c r="N31" s="257"/>
      <c r="O31" s="257"/>
      <c r="P31" s="257"/>
      <c r="Q31" s="257"/>
      <c r="R31" s="260"/>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row>
    <row r="32" spans="1:51" x14ac:dyDescent="0.2">
      <c r="A32" s="377">
        <v>38293524</v>
      </c>
      <c r="B32" s="378">
        <v>339.89999389648438</v>
      </c>
      <c r="C32" s="378">
        <v>0</v>
      </c>
      <c r="D32" s="378">
        <v>30</v>
      </c>
      <c r="E32" s="378">
        <v>1</v>
      </c>
      <c r="F32" s="378">
        <v>757026.9375</v>
      </c>
      <c r="G32" s="378">
        <v>28661</v>
      </c>
      <c r="H32" s="257"/>
      <c r="I32" s="257"/>
      <c r="J32" s="257"/>
      <c r="K32" s="257"/>
      <c r="L32" s="257"/>
      <c r="M32" s="257"/>
      <c r="N32" s="257"/>
      <c r="O32" s="257"/>
      <c r="P32" s="257"/>
      <c r="Q32" s="257"/>
      <c r="R32" s="260"/>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row>
    <row r="33" spans="1:51" x14ac:dyDescent="0.2">
      <c r="A33" s="377">
        <v>37947560</v>
      </c>
      <c r="B33" s="378">
        <v>116.5</v>
      </c>
      <c r="C33" s="378">
        <v>24.200000762939453</v>
      </c>
      <c r="D33" s="378">
        <v>31</v>
      </c>
      <c r="E33" s="378">
        <v>1</v>
      </c>
      <c r="F33" s="378">
        <v>771667.375</v>
      </c>
      <c r="G33" s="378">
        <v>28653</v>
      </c>
      <c r="H33" s="257"/>
      <c r="I33" s="257"/>
      <c r="J33" s="257"/>
      <c r="K33" s="257"/>
      <c r="L33" s="257"/>
      <c r="M33" s="257"/>
      <c r="N33" s="257"/>
      <c r="O33" s="257"/>
      <c r="P33" s="257"/>
      <c r="Q33" s="257"/>
      <c r="R33" s="260"/>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row>
    <row r="34" spans="1:51" x14ac:dyDescent="0.2">
      <c r="A34" s="377">
        <v>39558052</v>
      </c>
      <c r="B34" s="378">
        <v>42.799999237060547</v>
      </c>
      <c r="C34" s="378">
        <v>48.5</v>
      </c>
      <c r="D34" s="378">
        <v>30</v>
      </c>
      <c r="E34" s="378">
        <v>0</v>
      </c>
      <c r="F34" s="379">
        <v>786307.8125</v>
      </c>
      <c r="G34" s="378">
        <v>28656</v>
      </c>
      <c r="H34" s="257"/>
      <c r="I34" s="257"/>
      <c r="J34" s="257"/>
      <c r="K34" s="257"/>
      <c r="L34" s="257"/>
      <c r="M34" s="257"/>
      <c r="N34" s="257"/>
      <c r="O34" s="257"/>
      <c r="P34" s="257"/>
      <c r="Q34" s="257"/>
      <c r="R34" s="260"/>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row>
    <row r="35" spans="1:51" x14ac:dyDescent="0.2">
      <c r="A35" s="377">
        <v>48777836</v>
      </c>
      <c r="B35" s="378">
        <v>5.5</v>
      </c>
      <c r="C35" s="378">
        <v>117</v>
      </c>
      <c r="D35" s="378">
        <v>31</v>
      </c>
      <c r="E35" s="378">
        <v>0</v>
      </c>
      <c r="F35" s="378">
        <v>800948.25</v>
      </c>
      <c r="G35" s="378">
        <v>28691</v>
      </c>
      <c r="H35" s="257"/>
      <c r="I35" s="257"/>
      <c r="J35" s="257"/>
      <c r="K35" s="257"/>
      <c r="L35" s="257"/>
      <c r="M35" s="257"/>
      <c r="N35" s="257"/>
      <c r="O35" s="257"/>
      <c r="P35" s="257"/>
      <c r="Q35" s="257"/>
      <c r="R35" s="260"/>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row>
    <row r="36" spans="1:51" x14ac:dyDescent="0.2">
      <c r="A36" s="377">
        <v>44931328</v>
      </c>
      <c r="B36" s="378">
        <v>19.100000381469727</v>
      </c>
      <c r="C36" s="378">
        <v>113</v>
      </c>
      <c r="D36" s="378">
        <v>31</v>
      </c>
      <c r="E36" s="378">
        <v>0</v>
      </c>
      <c r="F36" s="378">
        <v>815588.6875</v>
      </c>
      <c r="G36" s="378">
        <v>28674</v>
      </c>
      <c r="H36" s="257"/>
      <c r="I36" s="257"/>
      <c r="J36" s="257"/>
      <c r="K36" s="257"/>
      <c r="L36" s="257"/>
      <c r="M36" s="257"/>
      <c r="N36" s="257"/>
      <c r="O36" s="257"/>
      <c r="P36" s="257"/>
      <c r="Q36" s="257"/>
      <c r="R36" s="260"/>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row>
    <row r="37" spans="1:51" x14ac:dyDescent="0.2">
      <c r="A37" s="377">
        <v>38566848</v>
      </c>
      <c r="B37" s="378">
        <v>110.40000152587891</v>
      </c>
      <c r="C37" s="378">
        <v>22.899999618530273</v>
      </c>
      <c r="D37" s="378">
        <v>30</v>
      </c>
      <c r="E37" s="378">
        <v>1</v>
      </c>
      <c r="F37" s="378">
        <v>830229.125</v>
      </c>
      <c r="G37" s="378">
        <v>28700</v>
      </c>
      <c r="H37" s="257"/>
      <c r="I37" s="257"/>
      <c r="J37" s="257"/>
      <c r="K37" s="257"/>
      <c r="L37" s="257"/>
      <c r="M37" s="257"/>
      <c r="N37" s="257"/>
      <c r="O37" s="257"/>
      <c r="P37" s="257"/>
      <c r="Q37" s="257"/>
      <c r="R37" s="260"/>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row>
    <row r="38" spans="1:51" x14ac:dyDescent="0.2">
      <c r="A38" s="377">
        <v>39059440</v>
      </c>
      <c r="B38" s="378">
        <v>211.5</v>
      </c>
      <c r="C38" s="378">
        <v>4.1999998092651367</v>
      </c>
      <c r="D38" s="378">
        <v>31</v>
      </c>
      <c r="E38" s="378">
        <v>1</v>
      </c>
      <c r="F38" s="378">
        <v>844869.5</v>
      </c>
      <c r="G38" s="378">
        <v>28700</v>
      </c>
      <c r="H38" s="257"/>
      <c r="I38" s="257"/>
      <c r="J38" s="257"/>
      <c r="K38" s="257"/>
      <c r="L38" s="257"/>
      <c r="M38" s="257"/>
      <c r="N38" s="257"/>
      <c r="O38" s="257"/>
      <c r="P38" s="257"/>
      <c r="Q38" s="257"/>
      <c r="R38" s="260"/>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row>
    <row r="39" spans="1:51" x14ac:dyDescent="0.2">
      <c r="A39" s="377">
        <v>41311172</v>
      </c>
      <c r="B39" s="378">
        <v>460.70001220703125</v>
      </c>
      <c r="C39" s="378">
        <v>0</v>
      </c>
      <c r="D39" s="378">
        <v>30</v>
      </c>
      <c r="E39" s="378">
        <v>1</v>
      </c>
      <c r="F39" s="378">
        <v>859509.9375</v>
      </c>
      <c r="G39" s="378">
        <v>28704</v>
      </c>
      <c r="H39" s="257"/>
      <c r="I39" s="257"/>
      <c r="J39" s="257"/>
      <c r="K39" s="257"/>
      <c r="L39" s="257"/>
      <c r="M39" s="257"/>
      <c r="N39" s="257"/>
      <c r="O39" s="257"/>
      <c r="P39" s="257"/>
      <c r="Q39" s="257"/>
      <c r="R39" s="260"/>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row>
    <row r="40" spans="1:51" x14ac:dyDescent="0.2">
      <c r="A40" s="377">
        <v>46300080</v>
      </c>
      <c r="B40" s="378">
        <v>656.4000244140625</v>
      </c>
      <c r="C40" s="378">
        <v>0</v>
      </c>
      <c r="D40" s="378">
        <v>31</v>
      </c>
      <c r="E40" s="378">
        <v>0</v>
      </c>
      <c r="F40" s="378">
        <v>874150.375</v>
      </c>
      <c r="G40" s="378">
        <v>28722</v>
      </c>
      <c r="H40" s="257"/>
      <c r="I40" s="257"/>
      <c r="J40" s="257"/>
      <c r="K40" s="257"/>
      <c r="L40" s="257"/>
      <c r="M40" s="257"/>
      <c r="N40" s="257"/>
      <c r="O40" s="257"/>
      <c r="P40" s="257"/>
      <c r="Q40" s="257"/>
      <c r="R40" s="260"/>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row>
    <row r="41" spans="1:51" x14ac:dyDescent="0.2">
      <c r="A41" s="377">
        <v>50496524</v>
      </c>
      <c r="B41" s="378">
        <v>783.20001220703125</v>
      </c>
      <c r="C41" s="378">
        <v>0</v>
      </c>
      <c r="D41" s="378">
        <v>31</v>
      </c>
      <c r="E41" s="378">
        <v>0</v>
      </c>
      <c r="F41" s="378">
        <v>893476.0625</v>
      </c>
      <c r="G41" s="378">
        <v>28748</v>
      </c>
      <c r="H41" s="257"/>
      <c r="I41" s="257"/>
      <c r="J41" s="257"/>
      <c r="K41" s="257"/>
      <c r="L41" s="257"/>
      <c r="M41" s="257"/>
      <c r="N41" s="257"/>
      <c r="O41" s="257"/>
      <c r="P41" s="257"/>
      <c r="Q41" s="257"/>
      <c r="R41" s="260"/>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row>
    <row r="42" spans="1:51" x14ac:dyDescent="0.2">
      <c r="A42" s="377">
        <v>44559480</v>
      </c>
      <c r="B42" s="378">
        <v>743.70001220703125</v>
      </c>
      <c r="C42" s="378">
        <v>0</v>
      </c>
      <c r="D42" s="378">
        <v>28</v>
      </c>
      <c r="E42" s="378">
        <v>0</v>
      </c>
      <c r="F42" s="378">
        <v>912801.75</v>
      </c>
      <c r="G42" s="378">
        <v>28744</v>
      </c>
      <c r="H42" s="257"/>
      <c r="I42" s="257"/>
      <c r="J42" s="257"/>
      <c r="K42" s="257"/>
      <c r="L42" s="257"/>
      <c r="M42" s="257"/>
      <c r="N42" s="257"/>
      <c r="O42" s="257"/>
      <c r="P42" s="257"/>
      <c r="Q42" s="257"/>
      <c r="R42" s="260"/>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row>
    <row r="43" spans="1:51" x14ac:dyDescent="0.2">
      <c r="A43" s="377">
        <v>45832980</v>
      </c>
      <c r="B43" s="378">
        <v>692.29998779296875</v>
      </c>
      <c r="C43" s="378">
        <v>0</v>
      </c>
      <c r="D43" s="378">
        <v>31</v>
      </c>
      <c r="E43" s="378">
        <v>1</v>
      </c>
      <c r="F43" s="378">
        <v>932127.4375</v>
      </c>
      <c r="G43" s="378">
        <v>28756</v>
      </c>
      <c r="H43" s="257"/>
      <c r="I43" s="257"/>
      <c r="J43" s="257"/>
      <c r="K43" s="257"/>
      <c r="L43" s="257"/>
      <c r="M43" s="257"/>
      <c r="N43" s="257"/>
      <c r="O43" s="257"/>
      <c r="P43" s="257"/>
      <c r="Q43" s="257"/>
      <c r="R43" s="260"/>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row>
    <row r="44" spans="1:51" x14ac:dyDescent="0.2">
      <c r="A44" s="377">
        <v>38389928</v>
      </c>
      <c r="B44" s="378">
        <v>338.39999389648438</v>
      </c>
      <c r="C44" s="378">
        <v>0</v>
      </c>
      <c r="D44" s="378">
        <v>30</v>
      </c>
      <c r="E44" s="378">
        <v>1</v>
      </c>
      <c r="F44" s="378">
        <v>951453.125</v>
      </c>
      <c r="G44" s="378">
        <v>28739</v>
      </c>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row>
    <row r="45" spans="1:51" x14ac:dyDescent="0.2">
      <c r="A45" s="377">
        <v>36955320</v>
      </c>
      <c r="B45" s="378">
        <v>147.69999694824219</v>
      </c>
      <c r="C45" s="378">
        <v>7.3000001907348633</v>
      </c>
      <c r="D45" s="378">
        <v>31</v>
      </c>
      <c r="E45" s="378">
        <v>1</v>
      </c>
      <c r="F45" s="378">
        <v>970778.75</v>
      </c>
      <c r="G45" s="378">
        <v>28715</v>
      </c>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row>
    <row r="46" spans="1:51" x14ac:dyDescent="0.2">
      <c r="A46" s="377">
        <v>40743556</v>
      </c>
      <c r="B46" s="378">
        <v>21.299999237060547</v>
      </c>
      <c r="C46" s="378">
        <v>69</v>
      </c>
      <c r="D46" s="378">
        <v>30</v>
      </c>
      <c r="E46" s="378">
        <v>0</v>
      </c>
      <c r="F46" s="378">
        <v>990104.4375</v>
      </c>
      <c r="G46" s="378">
        <v>28716</v>
      </c>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row>
    <row r="47" spans="1:51" x14ac:dyDescent="0.2">
      <c r="A47" s="377">
        <v>44141052</v>
      </c>
      <c r="B47" s="378">
        <v>13.699999809265137</v>
      </c>
      <c r="C47" s="378">
        <v>51</v>
      </c>
      <c r="D47" s="378">
        <v>31</v>
      </c>
      <c r="E47" s="378">
        <v>0</v>
      </c>
      <c r="F47" s="378">
        <v>1009430.125</v>
      </c>
      <c r="G47" s="378">
        <v>28720</v>
      </c>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row>
    <row r="48" spans="1:51" x14ac:dyDescent="0.2">
      <c r="A48" s="377">
        <v>43108352</v>
      </c>
      <c r="B48" s="378">
        <v>12</v>
      </c>
      <c r="C48" s="378">
        <v>59</v>
      </c>
      <c r="D48" s="378">
        <v>31</v>
      </c>
      <c r="E48" s="378">
        <v>0</v>
      </c>
      <c r="F48" s="378">
        <v>1028755.8125</v>
      </c>
      <c r="G48" s="378">
        <v>28724</v>
      </c>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row>
    <row r="49" spans="1:51" x14ac:dyDescent="0.2">
      <c r="A49" s="377">
        <v>38472316</v>
      </c>
      <c r="B49" s="378">
        <v>85.300003051757813</v>
      </c>
      <c r="C49" s="378">
        <v>27.5</v>
      </c>
      <c r="D49" s="378">
        <v>30</v>
      </c>
      <c r="E49" s="378">
        <v>1</v>
      </c>
      <c r="F49" s="378">
        <v>1048081.5</v>
      </c>
      <c r="G49" s="378">
        <v>28750</v>
      </c>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row>
    <row r="50" spans="1:51" x14ac:dyDescent="0.2">
      <c r="A50" s="377">
        <v>38196496</v>
      </c>
      <c r="B50" s="378">
        <v>225.10000610351563</v>
      </c>
      <c r="C50" s="378">
        <v>5.9000000953674316</v>
      </c>
      <c r="D50" s="378">
        <v>31</v>
      </c>
      <c r="E50" s="378">
        <v>1</v>
      </c>
      <c r="F50" s="378">
        <v>1067407.125</v>
      </c>
      <c r="G50" s="378">
        <v>28746</v>
      </c>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row>
    <row r="51" spans="1:51" x14ac:dyDescent="0.2">
      <c r="A51" s="377">
        <v>40658384</v>
      </c>
      <c r="B51" s="378">
        <v>465.70001220703125</v>
      </c>
      <c r="C51" s="378">
        <v>0</v>
      </c>
      <c r="D51" s="378">
        <v>30</v>
      </c>
      <c r="E51" s="378">
        <v>1</v>
      </c>
      <c r="F51" s="378">
        <v>1086732.875</v>
      </c>
      <c r="G51" s="378">
        <v>28745</v>
      </c>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row>
    <row r="52" spans="1:51" x14ac:dyDescent="0.2">
      <c r="A52" s="377">
        <v>43373536</v>
      </c>
      <c r="B52" s="378">
        <v>540.79998779296875</v>
      </c>
      <c r="C52" s="378">
        <v>0</v>
      </c>
      <c r="D52" s="378">
        <v>31</v>
      </c>
      <c r="E52" s="378">
        <v>0</v>
      </c>
      <c r="F52" s="378">
        <v>1106058.5</v>
      </c>
      <c r="G52" s="378">
        <v>28755</v>
      </c>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row>
    <row r="53" spans="1:51" x14ac:dyDescent="0.2">
      <c r="A53" s="377">
        <v>48336984</v>
      </c>
      <c r="B53" s="378">
        <v>771.70001220703125</v>
      </c>
      <c r="C53" s="378">
        <v>0</v>
      </c>
      <c r="D53" s="378">
        <v>31</v>
      </c>
      <c r="E53" s="378">
        <v>0</v>
      </c>
      <c r="F53" s="378">
        <v>1159263.625</v>
      </c>
      <c r="G53" s="378">
        <v>28776</v>
      </c>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row>
    <row r="54" spans="1:51" x14ac:dyDescent="0.2">
      <c r="A54" s="377">
        <v>45806080</v>
      </c>
      <c r="B54" s="378">
        <v>871.9000244140625</v>
      </c>
      <c r="C54" s="378">
        <v>0</v>
      </c>
      <c r="D54" s="378">
        <v>28</v>
      </c>
      <c r="E54" s="378">
        <v>0</v>
      </c>
      <c r="F54" s="378">
        <v>1212468.75</v>
      </c>
      <c r="G54" s="378">
        <v>28756</v>
      </c>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row>
    <row r="55" spans="1:51" x14ac:dyDescent="0.2">
      <c r="A55" s="377">
        <v>44467252</v>
      </c>
      <c r="B55" s="378">
        <v>637</v>
      </c>
      <c r="C55" s="378">
        <v>0</v>
      </c>
      <c r="D55" s="378">
        <v>31</v>
      </c>
      <c r="E55" s="378">
        <v>1</v>
      </c>
      <c r="F55" s="378">
        <v>1265674</v>
      </c>
      <c r="G55" s="378">
        <v>28748</v>
      </c>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row>
    <row r="56" spans="1:51" x14ac:dyDescent="0.2">
      <c r="A56" s="377">
        <v>37066328</v>
      </c>
      <c r="B56" s="378">
        <v>330</v>
      </c>
      <c r="C56" s="378">
        <v>0</v>
      </c>
      <c r="D56" s="378">
        <v>30</v>
      </c>
      <c r="E56" s="378">
        <v>1</v>
      </c>
      <c r="F56" s="378">
        <v>1318879.125</v>
      </c>
      <c r="G56" s="378">
        <v>28733</v>
      </c>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row>
    <row r="57" spans="1:51" x14ac:dyDescent="0.2">
      <c r="A57" s="377">
        <v>36561144</v>
      </c>
      <c r="B57" s="378">
        <v>102.69999694824219</v>
      </c>
      <c r="C57" s="378">
        <v>34.200000762939453</v>
      </c>
      <c r="D57" s="378">
        <v>31</v>
      </c>
      <c r="E57" s="378">
        <v>1</v>
      </c>
      <c r="F57" s="378">
        <v>1372084.25</v>
      </c>
      <c r="G57" s="378">
        <v>28701</v>
      </c>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row>
    <row r="58" spans="1:51" x14ac:dyDescent="0.2">
      <c r="A58" s="377">
        <v>38156280</v>
      </c>
      <c r="B58" s="378">
        <v>35.900001525878906</v>
      </c>
      <c r="C58" s="378">
        <v>28.600000381469727</v>
      </c>
      <c r="D58" s="378">
        <v>30</v>
      </c>
      <c r="E58" s="378">
        <v>0</v>
      </c>
      <c r="F58" s="379">
        <v>1425289.375</v>
      </c>
      <c r="G58" s="378">
        <v>28699</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row>
    <row r="59" spans="1:51" x14ac:dyDescent="0.2">
      <c r="A59" s="377">
        <v>44608128</v>
      </c>
      <c r="B59" s="378">
        <v>7.5999999046325684</v>
      </c>
      <c r="C59" s="378">
        <v>79.099998474121094</v>
      </c>
      <c r="D59" s="378">
        <v>31</v>
      </c>
      <c r="E59" s="378">
        <v>0</v>
      </c>
      <c r="F59" s="378">
        <v>1478494.5</v>
      </c>
      <c r="G59" s="378">
        <v>28743</v>
      </c>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row>
    <row r="60" spans="1:51" x14ac:dyDescent="0.2">
      <c r="A60" s="377">
        <v>43859864</v>
      </c>
      <c r="B60" s="378">
        <v>12</v>
      </c>
      <c r="C60" s="378">
        <v>59</v>
      </c>
      <c r="D60" s="378">
        <v>31</v>
      </c>
      <c r="E60" s="378">
        <v>0</v>
      </c>
      <c r="F60" s="378">
        <v>1531699.75</v>
      </c>
      <c r="G60" s="378">
        <v>28760</v>
      </c>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row>
    <row r="61" spans="1:51" x14ac:dyDescent="0.2">
      <c r="A61" s="377">
        <v>41747992</v>
      </c>
      <c r="B61" s="378">
        <v>37</v>
      </c>
      <c r="C61" s="378">
        <v>54.400001525878906</v>
      </c>
      <c r="D61" s="378">
        <v>30</v>
      </c>
      <c r="E61" s="378">
        <v>1</v>
      </c>
      <c r="F61" s="378">
        <v>1584904.875</v>
      </c>
      <c r="G61" s="378">
        <v>28792</v>
      </c>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row>
    <row r="62" spans="1:51" x14ac:dyDescent="0.2">
      <c r="A62" s="377">
        <v>36786432</v>
      </c>
      <c r="B62" s="378">
        <v>252.30000305175781</v>
      </c>
      <c r="C62" s="378">
        <v>0.89999997615814209</v>
      </c>
      <c r="D62" s="378">
        <v>31</v>
      </c>
      <c r="E62" s="378">
        <v>1</v>
      </c>
      <c r="F62" s="378">
        <v>1638110</v>
      </c>
      <c r="G62" s="378">
        <v>28795</v>
      </c>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row>
    <row r="63" spans="1:51" x14ac:dyDescent="0.2">
      <c r="A63" s="377">
        <v>37158576</v>
      </c>
      <c r="B63" s="378">
        <v>341.39999389648438</v>
      </c>
      <c r="C63" s="378">
        <v>0</v>
      </c>
      <c r="D63" s="378">
        <v>30</v>
      </c>
      <c r="E63" s="378">
        <v>1</v>
      </c>
      <c r="F63" s="378">
        <v>1691315.125</v>
      </c>
      <c r="G63" s="378">
        <v>28801</v>
      </c>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row>
    <row r="64" spans="1:51" x14ac:dyDescent="0.2">
      <c r="A64" s="377">
        <v>39769880</v>
      </c>
      <c r="B64" s="378">
        <v>418</v>
      </c>
      <c r="C64" s="378">
        <v>0</v>
      </c>
      <c r="D64" s="378">
        <v>31</v>
      </c>
      <c r="E64" s="378">
        <v>0</v>
      </c>
      <c r="F64" s="378">
        <v>1744520.25</v>
      </c>
      <c r="G64" s="378">
        <v>28826</v>
      </c>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row>
    <row r="65" spans="1:51" x14ac:dyDescent="0.2">
      <c r="A65" s="377">
        <v>44548272</v>
      </c>
      <c r="B65" s="378">
        <v>657.20001220703125</v>
      </c>
      <c r="C65" s="378">
        <v>0</v>
      </c>
      <c r="D65" s="378">
        <v>31</v>
      </c>
      <c r="E65" s="378">
        <v>0</v>
      </c>
      <c r="F65" s="378">
        <v>1798539.375</v>
      </c>
      <c r="G65" s="378">
        <v>28830</v>
      </c>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row>
    <row r="66" spans="1:51" x14ac:dyDescent="0.2">
      <c r="A66" s="377">
        <v>41158164</v>
      </c>
      <c r="B66" s="378">
        <v>587.0999755859375</v>
      </c>
      <c r="C66" s="378">
        <v>0</v>
      </c>
      <c r="D66" s="378">
        <v>29</v>
      </c>
      <c r="E66" s="378">
        <v>0</v>
      </c>
      <c r="F66" s="378">
        <v>1852558.375</v>
      </c>
      <c r="G66" s="378">
        <v>28843</v>
      </c>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row>
    <row r="67" spans="1:51" x14ac:dyDescent="0.2">
      <c r="A67" s="377">
        <v>39809144</v>
      </c>
      <c r="B67" s="378">
        <v>448.79998779296875</v>
      </c>
      <c r="C67" s="378">
        <v>0</v>
      </c>
      <c r="D67" s="378">
        <v>31</v>
      </c>
      <c r="E67" s="378">
        <v>1</v>
      </c>
      <c r="F67" s="378">
        <v>1906577.375</v>
      </c>
      <c r="G67" s="378">
        <v>28835</v>
      </c>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row>
    <row r="68" spans="1:51" x14ac:dyDescent="0.2">
      <c r="A68" s="377">
        <v>36222796</v>
      </c>
      <c r="B68" s="378">
        <v>384.10000610351563</v>
      </c>
      <c r="C68" s="378">
        <v>0</v>
      </c>
      <c r="D68" s="378">
        <v>30</v>
      </c>
      <c r="E68" s="378">
        <v>1</v>
      </c>
      <c r="F68" s="378">
        <v>1960596.375</v>
      </c>
      <c r="G68" s="378">
        <v>28853</v>
      </c>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row>
    <row r="69" spans="1:51" x14ac:dyDescent="0.2">
      <c r="A69" s="377">
        <v>35890392</v>
      </c>
      <c r="B69" s="378">
        <v>153.10000610351563</v>
      </c>
      <c r="C69" s="378">
        <v>24.399999618530273</v>
      </c>
      <c r="D69" s="378">
        <v>31</v>
      </c>
      <c r="E69" s="378">
        <v>1</v>
      </c>
      <c r="F69" s="378">
        <v>2014615.375</v>
      </c>
      <c r="G69" s="378">
        <v>28859</v>
      </c>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row>
    <row r="70" spans="1:51" x14ac:dyDescent="0.2">
      <c r="A70" s="377">
        <v>39662848</v>
      </c>
      <c r="B70" s="378">
        <v>29.200000762939453</v>
      </c>
      <c r="C70" s="378">
        <v>51.700000762939453</v>
      </c>
      <c r="D70" s="378">
        <v>30</v>
      </c>
      <c r="E70" s="378">
        <v>0</v>
      </c>
      <c r="F70" s="378">
        <v>2068634.375</v>
      </c>
      <c r="G70" s="378">
        <v>28872</v>
      </c>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row>
    <row r="71" spans="1:51" x14ac:dyDescent="0.2">
      <c r="A71" s="377">
        <v>47528892</v>
      </c>
      <c r="B71" s="378">
        <v>0</v>
      </c>
      <c r="C71" s="378">
        <v>140.69999694824219</v>
      </c>
      <c r="D71" s="378">
        <v>31</v>
      </c>
      <c r="E71" s="378">
        <v>0</v>
      </c>
      <c r="F71" s="378">
        <v>2122653.25</v>
      </c>
      <c r="G71" s="378">
        <v>28792</v>
      </c>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row>
    <row r="72" spans="1:51" x14ac:dyDescent="0.2">
      <c r="A72" s="377">
        <v>51243328</v>
      </c>
      <c r="B72" s="378">
        <v>0.10000000149011612</v>
      </c>
      <c r="C72" s="378">
        <v>159.30000305175781</v>
      </c>
      <c r="D72" s="378">
        <v>31</v>
      </c>
      <c r="E72" s="378">
        <v>0</v>
      </c>
      <c r="F72" s="378">
        <v>2176672.25</v>
      </c>
      <c r="G72" s="378">
        <v>28833</v>
      </c>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row>
    <row r="73" spans="1:51" x14ac:dyDescent="0.2">
      <c r="A73" s="377">
        <v>39994232</v>
      </c>
      <c r="B73" s="378">
        <v>34.299999237060547</v>
      </c>
      <c r="C73" s="378">
        <v>48.099998474121094</v>
      </c>
      <c r="D73" s="378">
        <v>30</v>
      </c>
      <c r="E73" s="378">
        <v>1</v>
      </c>
      <c r="F73" s="378">
        <v>2230691.5</v>
      </c>
      <c r="G73" s="378">
        <v>28864</v>
      </c>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row>
    <row r="74" spans="1:51" x14ac:dyDescent="0.2">
      <c r="A74" s="377">
        <v>36210144</v>
      </c>
      <c r="B74" s="378">
        <v>198.69999694824219</v>
      </c>
      <c r="C74" s="378">
        <v>5.0999999046325684</v>
      </c>
      <c r="D74" s="378">
        <v>31</v>
      </c>
      <c r="E74" s="378">
        <v>1</v>
      </c>
      <c r="F74" s="378">
        <v>2284710.5</v>
      </c>
      <c r="G74" s="378">
        <v>28858</v>
      </c>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row>
    <row r="75" spans="1:51" x14ac:dyDescent="0.2">
      <c r="A75" s="377">
        <v>36789736</v>
      </c>
      <c r="B75" s="378">
        <v>356.70001220703125</v>
      </c>
      <c r="C75" s="378">
        <v>0</v>
      </c>
      <c r="D75" s="378">
        <v>30</v>
      </c>
      <c r="E75" s="378">
        <v>1</v>
      </c>
      <c r="F75" s="378">
        <v>2338729.5</v>
      </c>
      <c r="G75" s="378">
        <v>28896</v>
      </c>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row>
    <row r="76" spans="1:51" x14ac:dyDescent="0.2">
      <c r="A76" s="377">
        <v>42575324</v>
      </c>
      <c r="B76" s="378">
        <v>581.20001220703125</v>
      </c>
      <c r="C76" s="378">
        <v>0</v>
      </c>
      <c r="D76" s="378">
        <v>31</v>
      </c>
      <c r="E76" s="378">
        <v>0</v>
      </c>
      <c r="F76" s="378">
        <v>2392748.5</v>
      </c>
      <c r="G76" s="378">
        <v>28913</v>
      </c>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row>
    <row r="77" spans="1:51" x14ac:dyDescent="0.2">
      <c r="A77" s="377">
        <v>43131420</v>
      </c>
      <c r="B77" s="378">
        <v>593.9000244140625</v>
      </c>
      <c r="C77" s="378">
        <v>0</v>
      </c>
      <c r="D77" s="378">
        <v>31</v>
      </c>
      <c r="E77" s="378">
        <v>0</v>
      </c>
      <c r="F77" s="378">
        <v>2432562.5</v>
      </c>
      <c r="G77" s="378">
        <v>28933</v>
      </c>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row>
    <row r="78" spans="1:51" x14ac:dyDescent="0.2">
      <c r="A78" s="377">
        <v>37533892</v>
      </c>
      <c r="B78" s="378">
        <v>487.79998779296875</v>
      </c>
      <c r="C78" s="378">
        <v>0</v>
      </c>
      <c r="D78" s="378">
        <v>28</v>
      </c>
      <c r="E78" s="378">
        <v>0</v>
      </c>
      <c r="F78" s="378">
        <v>2472376.5</v>
      </c>
      <c r="G78" s="378">
        <v>28960</v>
      </c>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row>
    <row r="79" spans="1:51" x14ac:dyDescent="0.2">
      <c r="A79" s="377">
        <v>41563416</v>
      </c>
      <c r="B79" s="378">
        <v>555.29998779296875</v>
      </c>
      <c r="C79" s="378">
        <v>0</v>
      </c>
      <c r="D79" s="378">
        <v>31</v>
      </c>
      <c r="E79" s="378">
        <v>1</v>
      </c>
      <c r="F79" s="378">
        <v>2512190.75</v>
      </c>
      <c r="G79" s="378">
        <v>28960</v>
      </c>
      <c r="H79" s="257"/>
      <c r="I79" s="257"/>
      <c r="J79" s="257"/>
      <c r="K79" s="257"/>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row>
    <row r="80" spans="1:51" x14ac:dyDescent="0.2">
      <c r="A80" s="377">
        <v>34947464</v>
      </c>
      <c r="B80" s="378">
        <v>261.79998779296875</v>
      </c>
      <c r="C80" s="378">
        <v>0.5</v>
      </c>
      <c r="D80" s="378">
        <v>30</v>
      </c>
      <c r="E80" s="378">
        <v>1</v>
      </c>
      <c r="F80" s="378">
        <v>2552004.75</v>
      </c>
      <c r="G80" s="378">
        <v>28969</v>
      </c>
      <c r="H80" s="257"/>
      <c r="I80" s="257"/>
      <c r="J80" s="257"/>
      <c r="K80" s="257"/>
      <c r="L80" s="257"/>
      <c r="M80" s="257"/>
      <c r="N80" s="257"/>
      <c r="O80" s="257"/>
      <c r="P80" s="257"/>
      <c r="Q80" s="257"/>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row>
    <row r="81" spans="1:51" x14ac:dyDescent="0.2">
      <c r="A81" s="377">
        <v>35633124</v>
      </c>
      <c r="B81" s="378">
        <v>168.30000305175781</v>
      </c>
      <c r="C81" s="378">
        <v>6.5</v>
      </c>
      <c r="D81" s="378">
        <v>31</v>
      </c>
      <c r="E81" s="378">
        <v>1</v>
      </c>
      <c r="F81" s="378">
        <v>2591818.75</v>
      </c>
      <c r="G81" s="378">
        <v>29025</v>
      </c>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row>
    <row r="82" spans="1:51" x14ac:dyDescent="0.2">
      <c r="A82" s="377">
        <v>38155784</v>
      </c>
      <c r="B82" s="378">
        <v>32.599998474121094</v>
      </c>
      <c r="C82" s="378">
        <v>62.200000762939453</v>
      </c>
      <c r="D82" s="378">
        <v>30</v>
      </c>
      <c r="E82" s="378">
        <v>0</v>
      </c>
      <c r="F82" s="379">
        <v>2631633</v>
      </c>
      <c r="G82" s="378">
        <v>29019</v>
      </c>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7"/>
      <c r="AL82" s="257"/>
      <c r="AM82" s="257"/>
      <c r="AN82" s="257"/>
      <c r="AO82" s="257"/>
      <c r="AP82" s="257"/>
      <c r="AQ82" s="257"/>
      <c r="AR82" s="257"/>
      <c r="AS82" s="257"/>
      <c r="AT82" s="257"/>
      <c r="AU82" s="257"/>
      <c r="AV82" s="257"/>
      <c r="AW82" s="257"/>
      <c r="AX82" s="257"/>
      <c r="AY82" s="257"/>
    </row>
    <row r="83" spans="1:51" x14ac:dyDescent="0.2">
      <c r="A83" s="377">
        <v>44273988</v>
      </c>
      <c r="B83" s="378">
        <v>2.2000000476837158</v>
      </c>
      <c r="C83" s="378">
        <v>88.099998474121094</v>
      </c>
      <c r="D83" s="378">
        <v>31</v>
      </c>
      <c r="E83" s="378">
        <v>0</v>
      </c>
      <c r="F83" s="378">
        <v>2671447</v>
      </c>
      <c r="G83" s="378">
        <v>29037</v>
      </c>
      <c r="H83" s="257"/>
      <c r="I83" s="257"/>
      <c r="J83" s="257"/>
      <c r="K83" s="257"/>
      <c r="L83" s="257"/>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7"/>
      <c r="AJ83" s="257"/>
      <c r="AK83" s="257"/>
      <c r="AL83" s="257"/>
      <c r="AM83" s="257"/>
      <c r="AN83" s="257"/>
      <c r="AO83" s="257"/>
      <c r="AP83" s="257"/>
      <c r="AQ83" s="257"/>
      <c r="AR83" s="257"/>
      <c r="AS83" s="257"/>
      <c r="AT83" s="257"/>
      <c r="AU83" s="257"/>
      <c r="AV83" s="257"/>
      <c r="AW83" s="257"/>
      <c r="AX83" s="257"/>
      <c r="AY83" s="257"/>
    </row>
    <row r="84" spans="1:51" x14ac:dyDescent="0.2">
      <c r="A84" s="377">
        <v>43579956</v>
      </c>
      <c r="B84" s="378">
        <v>19.200000762939453</v>
      </c>
      <c r="C84" s="378">
        <v>50.799999237060547</v>
      </c>
      <c r="D84" s="378">
        <v>31</v>
      </c>
      <c r="E84" s="378">
        <v>0</v>
      </c>
      <c r="F84" s="378">
        <v>2711261</v>
      </c>
      <c r="G84" s="378">
        <v>29054</v>
      </c>
      <c r="H84" s="257"/>
      <c r="I84" s="257"/>
      <c r="J84" s="257"/>
      <c r="K84" s="257"/>
      <c r="L84" s="257"/>
      <c r="M84" s="257"/>
      <c r="N84" s="257"/>
      <c r="O84" s="257"/>
      <c r="P84" s="257"/>
      <c r="Q84" s="257"/>
      <c r="R84" s="257"/>
      <c r="S84" s="257"/>
      <c r="T84" s="257"/>
      <c r="U84" s="257"/>
      <c r="V84" s="257"/>
      <c r="W84" s="257"/>
      <c r="X84" s="257"/>
      <c r="Y84" s="257"/>
      <c r="Z84" s="257"/>
      <c r="AA84" s="257"/>
      <c r="AB84" s="257"/>
      <c r="AC84" s="257"/>
      <c r="AD84" s="257"/>
      <c r="AE84" s="257"/>
      <c r="AF84" s="257"/>
      <c r="AG84" s="257"/>
      <c r="AH84" s="257"/>
      <c r="AI84" s="257"/>
      <c r="AJ84" s="257"/>
      <c r="AK84" s="257"/>
      <c r="AL84" s="257"/>
      <c r="AM84" s="257"/>
      <c r="AN84" s="257"/>
      <c r="AO84" s="257"/>
      <c r="AP84" s="257"/>
      <c r="AQ84" s="257"/>
      <c r="AR84" s="257"/>
      <c r="AS84" s="257"/>
      <c r="AT84" s="257"/>
      <c r="AU84" s="257"/>
      <c r="AV84" s="257"/>
      <c r="AW84" s="257"/>
      <c r="AX84" s="257"/>
      <c r="AY84" s="257"/>
    </row>
    <row r="85" spans="1:51" x14ac:dyDescent="0.2">
      <c r="A85" s="377">
        <v>38972984</v>
      </c>
      <c r="B85" s="378">
        <v>66.5</v>
      </c>
      <c r="C85" s="378">
        <v>49.299999237060547</v>
      </c>
      <c r="D85" s="378">
        <v>30</v>
      </c>
      <c r="E85" s="378">
        <v>1</v>
      </c>
      <c r="F85" s="378">
        <v>2751075.25</v>
      </c>
      <c r="G85" s="378">
        <v>29085</v>
      </c>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257"/>
      <c r="AQ85" s="257"/>
      <c r="AR85" s="257"/>
      <c r="AS85" s="257"/>
      <c r="AT85" s="257"/>
      <c r="AU85" s="257"/>
      <c r="AV85" s="257"/>
      <c r="AW85" s="257"/>
      <c r="AX85" s="257"/>
      <c r="AY85" s="257"/>
    </row>
    <row r="86" spans="1:51" x14ac:dyDescent="0.2">
      <c r="A86" s="377">
        <v>36256780</v>
      </c>
      <c r="B86" s="378">
        <v>152</v>
      </c>
      <c r="C86" s="378">
        <v>6.4000000953674316</v>
      </c>
      <c r="D86" s="378">
        <v>31</v>
      </c>
      <c r="E86" s="378">
        <v>1</v>
      </c>
      <c r="F86" s="378">
        <v>2790889.25</v>
      </c>
      <c r="G86" s="378">
        <v>29091</v>
      </c>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row>
    <row r="87" spans="1:51" x14ac:dyDescent="0.2">
      <c r="A87" s="377">
        <v>38948952</v>
      </c>
      <c r="B87" s="378">
        <v>426.39999389648438</v>
      </c>
      <c r="C87" s="378">
        <v>0</v>
      </c>
      <c r="D87" s="378">
        <v>30</v>
      </c>
      <c r="E87" s="378">
        <v>1</v>
      </c>
      <c r="F87" s="378">
        <v>2830703.25</v>
      </c>
      <c r="G87" s="378">
        <v>29149</v>
      </c>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row>
    <row r="88" spans="1:51" x14ac:dyDescent="0.2">
      <c r="A88" s="377">
        <v>43911244</v>
      </c>
      <c r="B88" s="378">
        <v>711.29998779296875</v>
      </c>
      <c r="C88" s="378">
        <v>0</v>
      </c>
      <c r="D88" s="378">
        <v>31</v>
      </c>
      <c r="E88" s="378">
        <v>0</v>
      </c>
      <c r="F88" s="378">
        <v>2870517.5</v>
      </c>
      <c r="G88" s="378">
        <v>29158</v>
      </c>
      <c r="H88" s="257"/>
      <c r="I88" s="257"/>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row>
    <row r="89" spans="1:51" x14ac:dyDescent="0.2">
      <c r="A89" s="377">
        <v>47094720</v>
      </c>
      <c r="B89" s="378">
        <v>731</v>
      </c>
      <c r="C89" s="378">
        <v>0</v>
      </c>
      <c r="D89" s="378">
        <v>31</v>
      </c>
      <c r="E89" s="378">
        <v>0</v>
      </c>
      <c r="F89" s="378">
        <v>2889719.25</v>
      </c>
      <c r="G89" s="378">
        <v>29201</v>
      </c>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row>
    <row r="90" spans="1:51" x14ac:dyDescent="0.2">
      <c r="A90" s="377">
        <v>39631600</v>
      </c>
      <c r="B90" s="378">
        <v>540.29998779296875</v>
      </c>
      <c r="C90" s="378">
        <v>0</v>
      </c>
      <c r="D90" s="378">
        <v>28</v>
      </c>
      <c r="E90" s="378">
        <v>0</v>
      </c>
      <c r="F90" s="378">
        <v>2908921.25</v>
      </c>
      <c r="G90" s="378">
        <v>29208</v>
      </c>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row>
    <row r="91" spans="1:51" x14ac:dyDescent="0.2">
      <c r="A91" s="377">
        <v>41656908</v>
      </c>
      <c r="B91" s="378">
        <v>577.70001220703125</v>
      </c>
      <c r="C91" s="378">
        <v>0</v>
      </c>
      <c r="D91" s="378">
        <v>31</v>
      </c>
      <c r="E91" s="378">
        <v>1</v>
      </c>
      <c r="F91" s="378">
        <v>2928123</v>
      </c>
      <c r="G91" s="378">
        <v>29230</v>
      </c>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row>
    <row r="92" spans="1:51" x14ac:dyDescent="0.2">
      <c r="A92" s="377">
        <v>38614768</v>
      </c>
      <c r="B92" s="378">
        <v>438.29998779296875</v>
      </c>
      <c r="C92" s="378">
        <v>0</v>
      </c>
      <c r="D92" s="378">
        <v>30</v>
      </c>
      <c r="E92" s="378">
        <v>1</v>
      </c>
      <c r="F92" s="378">
        <v>2947325</v>
      </c>
      <c r="G92" s="378">
        <v>29230</v>
      </c>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row>
    <row r="93" spans="1:51" x14ac:dyDescent="0.2">
      <c r="A93" s="377">
        <v>36061876</v>
      </c>
      <c r="B93" s="378">
        <v>83.599998474121094</v>
      </c>
      <c r="C93" s="378">
        <v>30</v>
      </c>
      <c r="D93" s="378">
        <v>31</v>
      </c>
      <c r="E93" s="378">
        <v>1</v>
      </c>
      <c r="F93" s="378">
        <v>2966526.75</v>
      </c>
      <c r="G93" s="378">
        <v>29232</v>
      </c>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row>
    <row r="94" spans="1:51" x14ac:dyDescent="0.2">
      <c r="A94" s="377">
        <v>39000368</v>
      </c>
      <c r="B94" s="378">
        <v>21.200000762939453</v>
      </c>
      <c r="C94" s="378">
        <v>47.799999237060547</v>
      </c>
      <c r="D94" s="378">
        <v>30</v>
      </c>
      <c r="E94" s="378">
        <v>0</v>
      </c>
      <c r="F94" s="378">
        <v>2985728.75</v>
      </c>
      <c r="G94" s="378">
        <v>29229</v>
      </c>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row>
    <row r="95" spans="1:51" x14ac:dyDescent="0.2">
      <c r="A95" s="377">
        <v>50076316</v>
      </c>
      <c r="B95" s="378">
        <v>0</v>
      </c>
      <c r="C95" s="378">
        <v>137.5</v>
      </c>
      <c r="D95" s="378">
        <v>31</v>
      </c>
      <c r="E95" s="378">
        <v>0</v>
      </c>
      <c r="F95" s="378">
        <v>3004930.5</v>
      </c>
      <c r="G95" s="378">
        <v>29248</v>
      </c>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row>
    <row r="96" spans="1:51" x14ac:dyDescent="0.2">
      <c r="A96" s="377">
        <v>49158088</v>
      </c>
      <c r="B96" s="378">
        <v>1.6000000238418579</v>
      </c>
      <c r="C96" s="378">
        <v>124</v>
      </c>
      <c r="D96" s="378">
        <v>31</v>
      </c>
      <c r="E96" s="378">
        <v>0</v>
      </c>
      <c r="F96" s="378">
        <v>3024132.25</v>
      </c>
      <c r="G96" s="378">
        <v>29265</v>
      </c>
      <c r="H96" s="257"/>
      <c r="I96" s="257"/>
      <c r="J96" s="257"/>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row>
    <row r="97" spans="1:51" x14ac:dyDescent="0.2">
      <c r="A97" s="377">
        <v>41496540</v>
      </c>
      <c r="B97" s="378">
        <v>57.900001525878906</v>
      </c>
      <c r="C97" s="378">
        <v>69.300003051757813</v>
      </c>
      <c r="D97" s="378">
        <v>30</v>
      </c>
      <c r="E97" s="378">
        <v>1</v>
      </c>
      <c r="F97" s="378">
        <v>3043334.25</v>
      </c>
      <c r="G97" s="378">
        <v>29273</v>
      </c>
      <c r="H97" s="257"/>
      <c r="I97" s="257"/>
      <c r="J97" s="257"/>
      <c r="K97" s="257"/>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row>
    <row r="98" spans="1:51" x14ac:dyDescent="0.2">
      <c r="A98" s="377">
        <v>37763352</v>
      </c>
      <c r="B98" s="378">
        <v>258.20001220703125</v>
      </c>
      <c r="C98" s="378">
        <v>11.100000381469727</v>
      </c>
      <c r="D98" s="378">
        <v>31</v>
      </c>
      <c r="E98" s="378">
        <v>1</v>
      </c>
      <c r="F98" s="378">
        <v>3062536</v>
      </c>
      <c r="G98" s="378">
        <v>29290</v>
      </c>
      <c r="H98" s="257"/>
      <c r="I98" s="257"/>
      <c r="J98" s="257"/>
      <c r="K98" s="257"/>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row>
    <row r="99" spans="1:51" x14ac:dyDescent="0.2">
      <c r="A99" s="377">
        <v>40051456</v>
      </c>
      <c r="B99" s="378">
        <v>479.79998779296875</v>
      </c>
      <c r="C99" s="378">
        <v>0</v>
      </c>
      <c r="D99" s="378">
        <v>30</v>
      </c>
      <c r="E99" s="378">
        <v>1</v>
      </c>
      <c r="F99" s="378">
        <v>3081738</v>
      </c>
      <c r="G99" s="378">
        <v>29307</v>
      </c>
      <c r="H99" s="257"/>
      <c r="I99" s="257"/>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row>
    <row r="100" spans="1:51" x14ac:dyDescent="0.2">
      <c r="A100" s="377">
        <v>42019276</v>
      </c>
      <c r="B100" s="378">
        <v>550.4000244140625</v>
      </c>
      <c r="C100" s="378">
        <v>0</v>
      </c>
      <c r="D100" s="378">
        <v>31</v>
      </c>
      <c r="E100" s="378">
        <v>0</v>
      </c>
      <c r="F100" s="378">
        <v>3100939.75</v>
      </c>
      <c r="G100" s="378">
        <v>29323</v>
      </c>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row>
    <row r="101" spans="1:51" x14ac:dyDescent="0.2">
      <c r="A101" s="377">
        <v>46678584</v>
      </c>
      <c r="B101" s="378">
        <v>726.29998779296875</v>
      </c>
      <c r="C101" s="378">
        <v>0</v>
      </c>
      <c r="D101" s="378">
        <v>31</v>
      </c>
      <c r="E101" s="378">
        <v>0</v>
      </c>
      <c r="F101" s="378">
        <v>3103377.5</v>
      </c>
      <c r="G101" s="378">
        <v>29344</v>
      </c>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row>
    <row r="102" spans="1:51" x14ac:dyDescent="0.2">
      <c r="A102" s="377">
        <v>41194468</v>
      </c>
      <c r="B102" s="378">
        <v>587.79998779296875</v>
      </c>
      <c r="C102" s="378">
        <v>0</v>
      </c>
      <c r="D102" s="378">
        <v>28</v>
      </c>
      <c r="E102" s="378">
        <v>0</v>
      </c>
      <c r="F102" s="378">
        <v>3105815.25</v>
      </c>
      <c r="G102" s="378">
        <v>29330</v>
      </c>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row>
    <row r="103" spans="1:51" x14ac:dyDescent="0.2">
      <c r="A103" s="377">
        <v>42090500</v>
      </c>
      <c r="B103" s="378">
        <v>598</v>
      </c>
      <c r="C103" s="378">
        <v>0</v>
      </c>
      <c r="D103" s="378">
        <v>31</v>
      </c>
      <c r="E103" s="378">
        <v>1</v>
      </c>
      <c r="F103" s="378">
        <v>3108253.25</v>
      </c>
      <c r="G103" s="378">
        <v>29340</v>
      </c>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row>
    <row r="104" spans="1:51" x14ac:dyDescent="0.2">
      <c r="A104" s="377">
        <v>36539752</v>
      </c>
      <c r="B104" s="378">
        <v>334.10000610351563</v>
      </c>
      <c r="C104" s="378">
        <v>0</v>
      </c>
      <c r="D104" s="378">
        <v>30</v>
      </c>
      <c r="E104" s="378">
        <v>1</v>
      </c>
      <c r="F104" s="378">
        <v>3110691</v>
      </c>
      <c r="G104" s="378">
        <v>29411</v>
      </c>
      <c r="H104" s="257"/>
      <c r="I104" s="257"/>
      <c r="J104" s="257"/>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row>
    <row r="105" spans="1:51" x14ac:dyDescent="0.2">
      <c r="A105" s="377">
        <v>35532004</v>
      </c>
      <c r="B105" s="378">
        <v>173.69999694824219</v>
      </c>
      <c r="C105" s="378">
        <v>1.7999999523162842</v>
      </c>
      <c r="D105" s="378">
        <v>31</v>
      </c>
      <c r="E105" s="378">
        <v>1</v>
      </c>
      <c r="F105" s="378">
        <v>3113128.75</v>
      </c>
      <c r="G105" s="378">
        <v>29394</v>
      </c>
      <c r="H105" s="257"/>
      <c r="I105" s="257"/>
      <c r="J105" s="257"/>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row>
    <row r="106" spans="1:51" x14ac:dyDescent="0.2">
      <c r="A106" s="377">
        <v>37150892</v>
      </c>
      <c r="B106" s="378">
        <v>33.599998474121094</v>
      </c>
      <c r="C106" s="378">
        <v>31.799999237060547</v>
      </c>
      <c r="D106" s="378">
        <v>30</v>
      </c>
      <c r="E106" s="378">
        <v>0</v>
      </c>
      <c r="F106" s="379">
        <v>3115566.5</v>
      </c>
      <c r="G106" s="378">
        <v>29406</v>
      </c>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row>
    <row r="107" spans="1:51" x14ac:dyDescent="0.2">
      <c r="A107" s="377">
        <v>49164276</v>
      </c>
      <c r="B107" s="378">
        <v>0</v>
      </c>
      <c r="C107" s="378">
        <v>143.80000305175781</v>
      </c>
      <c r="D107" s="378">
        <v>31</v>
      </c>
      <c r="E107" s="378">
        <v>0</v>
      </c>
      <c r="F107" s="378">
        <v>3118004.25</v>
      </c>
      <c r="G107" s="378">
        <v>29415</v>
      </c>
      <c r="H107" s="257"/>
      <c r="I107" s="257"/>
      <c r="J107" s="257"/>
      <c r="K107" s="257"/>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row>
    <row r="108" spans="1:51" x14ac:dyDescent="0.2">
      <c r="A108" s="377">
        <v>45907060</v>
      </c>
      <c r="B108" s="378">
        <v>4.5999999046325684</v>
      </c>
      <c r="C108" s="378">
        <v>76</v>
      </c>
      <c r="D108" s="378">
        <v>31</v>
      </c>
      <c r="E108" s="378">
        <v>0</v>
      </c>
      <c r="F108" s="378">
        <v>3120442</v>
      </c>
      <c r="G108" s="378">
        <v>29440</v>
      </c>
      <c r="H108" s="257"/>
      <c r="I108" s="257"/>
      <c r="J108" s="257"/>
      <c r="K108" s="257"/>
      <c r="L108" s="257"/>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row>
    <row r="109" spans="1:51" x14ac:dyDescent="0.2">
      <c r="A109" s="377">
        <v>37534148</v>
      </c>
      <c r="B109" s="378">
        <v>32</v>
      </c>
      <c r="C109" s="378">
        <v>11.600000381469727</v>
      </c>
      <c r="D109" s="378">
        <v>30</v>
      </c>
      <c r="E109" s="378">
        <v>1</v>
      </c>
      <c r="F109" s="378">
        <v>3122879.75</v>
      </c>
      <c r="G109" s="378">
        <v>29481</v>
      </c>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row>
    <row r="110" spans="1:51" x14ac:dyDescent="0.2">
      <c r="A110" s="377">
        <v>36176532</v>
      </c>
      <c r="B110" s="378">
        <v>220.89999389648438</v>
      </c>
      <c r="C110" s="378">
        <v>3.9000000953674316</v>
      </c>
      <c r="D110" s="378">
        <v>31</v>
      </c>
      <c r="E110" s="378">
        <v>1</v>
      </c>
      <c r="F110" s="378">
        <v>3125317.5</v>
      </c>
      <c r="G110" s="378">
        <v>29505</v>
      </c>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row>
    <row r="111" spans="1:51" x14ac:dyDescent="0.2">
      <c r="A111" s="377">
        <v>39737440</v>
      </c>
      <c r="B111" s="378">
        <v>502.70001220703125</v>
      </c>
      <c r="C111" s="378">
        <v>0</v>
      </c>
      <c r="D111" s="378">
        <v>30</v>
      </c>
      <c r="E111" s="378">
        <v>1</v>
      </c>
      <c r="F111" s="378">
        <v>3127755.25</v>
      </c>
      <c r="G111" s="378">
        <v>29533</v>
      </c>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row>
    <row r="112" spans="1:51" x14ac:dyDescent="0.2">
      <c r="A112" s="377">
        <v>42323844</v>
      </c>
      <c r="B112" s="378">
        <v>564.5999755859375</v>
      </c>
      <c r="C112" s="378">
        <v>0</v>
      </c>
      <c r="D112" s="378">
        <v>31</v>
      </c>
      <c r="E112" s="378">
        <v>0</v>
      </c>
      <c r="F112" s="378">
        <v>3130193</v>
      </c>
      <c r="G112" s="378">
        <v>29573</v>
      </c>
      <c r="H112" s="257"/>
      <c r="I112" s="257"/>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row>
    <row r="113" spans="1:51" x14ac:dyDescent="0.2">
      <c r="A113" s="377">
        <v>43498988</v>
      </c>
      <c r="B113" s="378">
        <v>566.4000244140625</v>
      </c>
      <c r="C113" s="378">
        <v>0</v>
      </c>
      <c r="D113" s="378">
        <v>31</v>
      </c>
      <c r="E113" s="378">
        <v>0</v>
      </c>
      <c r="F113" s="378">
        <v>3128290.75</v>
      </c>
      <c r="G113" s="378">
        <v>29597</v>
      </c>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row>
    <row r="114" spans="1:51" x14ac:dyDescent="0.2">
      <c r="A114" s="377">
        <v>40767224</v>
      </c>
      <c r="B114" s="378">
        <v>586.9000244140625</v>
      </c>
      <c r="C114" s="378">
        <v>0</v>
      </c>
      <c r="D114" s="378">
        <v>29</v>
      </c>
      <c r="E114" s="378">
        <v>0</v>
      </c>
      <c r="F114" s="378">
        <v>3126388.75</v>
      </c>
      <c r="G114" s="378">
        <v>29634</v>
      </c>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row>
    <row r="115" spans="1:51" x14ac:dyDescent="0.2">
      <c r="A115" s="377">
        <v>39452644</v>
      </c>
      <c r="B115" s="378">
        <v>433.79998779296875</v>
      </c>
      <c r="C115" s="378">
        <v>0</v>
      </c>
      <c r="D115" s="378">
        <v>31</v>
      </c>
      <c r="E115" s="378">
        <v>1</v>
      </c>
      <c r="F115" s="378">
        <v>3124486.5</v>
      </c>
      <c r="G115" s="378">
        <v>29659</v>
      </c>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row>
    <row r="116" spans="1:51" x14ac:dyDescent="0.2">
      <c r="A116" s="377">
        <v>34488964</v>
      </c>
      <c r="B116" s="378">
        <v>372.89999389648438</v>
      </c>
      <c r="C116" s="378">
        <v>0</v>
      </c>
      <c r="D116" s="378">
        <v>30</v>
      </c>
      <c r="E116" s="378">
        <v>1</v>
      </c>
      <c r="F116" s="378">
        <v>3122584.5</v>
      </c>
      <c r="G116" s="378">
        <v>29701</v>
      </c>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row>
    <row r="117" spans="1:51" x14ac:dyDescent="0.2">
      <c r="A117" s="377">
        <v>35010608</v>
      </c>
      <c r="B117" s="378">
        <v>207.89999389648438</v>
      </c>
      <c r="C117" s="378">
        <v>22.799999237060547</v>
      </c>
      <c r="D117" s="378">
        <v>31</v>
      </c>
      <c r="E117" s="378">
        <v>1</v>
      </c>
      <c r="F117" s="378">
        <v>3120682.5</v>
      </c>
      <c r="G117" s="378">
        <v>29709</v>
      </c>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row>
    <row r="118" spans="1:51" x14ac:dyDescent="0.2">
      <c r="A118" s="377">
        <v>39038300</v>
      </c>
      <c r="B118" s="378">
        <v>27.5</v>
      </c>
      <c r="C118" s="378">
        <v>73.699996948242188</v>
      </c>
      <c r="D118" s="378">
        <v>30</v>
      </c>
      <c r="E118" s="378">
        <v>0</v>
      </c>
      <c r="F118" s="378">
        <v>3118780.25</v>
      </c>
      <c r="G118" s="378">
        <v>29739</v>
      </c>
      <c r="H118" s="257"/>
      <c r="I118" s="257"/>
      <c r="J118" s="257"/>
      <c r="K118" s="257"/>
      <c r="L118" s="257"/>
      <c r="M118" s="257"/>
      <c r="N118" s="257"/>
      <c r="O118" s="257"/>
      <c r="P118" s="257"/>
      <c r="Q118" s="257"/>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row>
    <row r="119" spans="1:51" x14ac:dyDescent="0.2">
      <c r="A119" s="377">
        <v>51707560</v>
      </c>
      <c r="B119" s="378">
        <v>0</v>
      </c>
      <c r="C119" s="378">
        <v>168.5</v>
      </c>
      <c r="D119" s="378">
        <v>31</v>
      </c>
      <c r="E119" s="378">
        <v>0</v>
      </c>
      <c r="F119" s="378">
        <v>3116878.25</v>
      </c>
      <c r="G119" s="378">
        <v>29749</v>
      </c>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row>
    <row r="120" spans="1:51" x14ac:dyDescent="0.2">
      <c r="A120" s="377">
        <v>46254924</v>
      </c>
      <c r="B120" s="378">
        <v>1.6000000238418579</v>
      </c>
      <c r="C120" s="378">
        <v>95.599998474121094</v>
      </c>
      <c r="D120" s="378">
        <v>31</v>
      </c>
      <c r="E120" s="378">
        <v>0</v>
      </c>
      <c r="F120" s="378">
        <v>3114976</v>
      </c>
      <c r="G120" s="378">
        <v>29752</v>
      </c>
      <c r="H120" s="257"/>
      <c r="I120" s="257"/>
      <c r="J120" s="257"/>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row>
    <row r="121" spans="1:51" x14ac:dyDescent="0.2">
      <c r="A121" s="377">
        <v>36708176</v>
      </c>
      <c r="B121" s="378">
        <v>75</v>
      </c>
      <c r="C121" s="378">
        <v>23.399999618530273</v>
      </c>
      <c r="D121" s="378">
        <v>30</v>
      </c>
      <c r="E121" s="378">
        <v>1</v>
      </c>
      <c r="F121" s="378">
        <v>3113074</v>
      </c>
      <c r="G121" s="378">
        <v>29726</v>
      </c>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row>
    <row r="122" spans="1:51" x14ac:dyDescent="0.2">
      <c r="A122" s="377">
        <v>35798052</v>
      </c>
      <c r="B122" s="378">
        <v>252.5</v>
      </c>
      <c r="C122" s="378">
        <v>0</v>
      </c>
      <c r="D122" s="378">
        <v>31</v>
      </c>
      <c r="E122" s="378">
        <v>1</v>
      </c>
      <c r="F122" s="378">
        <v>3111171.75</v>
      </c>
      <c r="G122" s="378">
        <v>29745</v>
      </c>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row>
    <row r="123" spans="1:51" x14ac:dyDescent="0.2">
      <c r="A123" s="377">
        <v>36898344</v>
      </c>
      <c r="B123" s="378">
        <v>329.20001220703125</v>
      </c>
      <c r="C123" s="378">
        <v>0</v>
      </c>
      <c r="D123" s="378">
        <v>30</v>
      </c>
      <c r="E123" s="378">
        <v>1</v>
      </c>
      <c r="F123" s="378">
        <v>3109269.75</v>
      </c>
      <c r="G123" s="378">
        <v>29783</v>
      </c>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row>
    <row r="124" spans="1:51" x14ac:dyDescent="0.2">
      <c r="A124" s="377">
        <v>42870244</v>
      </c>
      <c r="B124" s="378">
        <v>540.4000244140625</v>
      </c>
      <c r="C124" s="378">
        <v>0</v>
      </c>
      <c r="D124" s="378">
        <v>31</v>
      </c>
      <c r="E124" s="378">
        <v>0</v>
      </c>
      <c r="F124" s="378">
        <v>3107367.5</v>
      </c>
      <c r="G124" s="378">
        <v>29827</v>
      </c>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row>
    <row r="125" spans="1:51" x14ac:dyDescent="0.2">
      <c r="A125" s="256"/>
      <c r="B125" s="257"/>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row>
    <row r="126" spans="1:51" x14ac:dyDescent="0.2">
      <c r="A126" s="256"/>
      <c r="B126" s="257"/>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row>
    <row r="127" spans="1:51" x14ac:dyDescent="0.2">
      <c r="A127" s="256"/>
      <c r="B127" s="257"/>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row>
    <row r="128" spans="1:51" x14ac:dyDescent="0.2">
      <c r="A128" s="256"/>
      <c r="B128" s="257"/>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row>
    <row r="129" spans="1:51" x14ac:dyDescent="0.2">
      <c r="A129" s="256"/>
      <c r="B129" s="257"/>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row>
    <row r="130" spans="1:51" x14ac:dyDescent="0.2">
      <c r="A130" s="256"/>
      <c r="B130" s="257"/>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row>
    <row r="131" spans="1:51" x14ac:dyDescent="0.2">
      <c r="A131" s="256"/>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row>
    <row r="132" spans="1:51" x14ac:dyDescent="0.2">
      <c r="A132" s="256"/>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row>
    <row r="133" spans="1:51" x14ac:dyDescent="0.2">
      <c r="A133" s="256"/>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row>
    <row r="134" spans="1:51" x14ac:dyDescent="0.2">
      <c r="A134" s="256"/>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row>
    <row r="135" spans="1:51" x14ac:dyDescent="0.2">
      <c r="A135" s="256"/>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row>
    <row r="136" spans="1:51" x14ac:dyDescent="0.2">
      <c r="A136" s="256"/>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row>
    <row r="137" spans="1:51" x14ac:dyDescent="0.2">
      <c r="A137" s="256"/>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row>
    <row r="138" spans="1:51" x14ac:dyDescent="0.2">
      <c r="A138" s="256"/>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row>
    <row r="139" spans="1:51" x14ac:dyDescent="0.2">
      <c r="A139" s="256"/>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row>
    <row r="140" spans="1:51" x14ac:dyDescent="0.2">
      <c r="A140" s="256"/>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row>
    <row r="141" spans="1:51" x14ac:dyDescent="0.2">
      <c r="A141" s="256"/>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row>
    <row r="142" spans="1:51" x14ac:dyDescent="0.2">
      <c r="A142" s="256"/>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row>
    <row r="143" spans="1:51" x14ac:dyDescent="0.2">
      <c r="A143" s="256"/>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row>
    <row r="144" spans="1:51" x14ac:dyDescent="0.2">
      <c r="A144" s="256"/>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row>
    <row r="145" spans="1:51" x14ac:dyDescent="0.2">
      <c r="A145" s="256"/>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row>
    <row r="146" spans="1:51" x14ac:dyDescent="0.2">
      <c r="A146" s="256"/>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row>
    <row r="147" spans="1:51" x14ac:dyDescent="0.2">
      <c r="A147" s="256"/>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row>
    <row r="148" spans="1:51" x14ac:dyDescent="0.2">
      <c r="A148" s="256"/>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row>
    <row r="149" spans="1:51" x14ac:dyDescent="0.2">
      <c r="A149" s="256"/>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row>
    <row r="150" spans="1:51" x14ac:dyDescent="0.2">
      <c r="A150" s="256"/>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row>
    <row r="151" spans="1:51" x14ac:dyDescent="0.2">
      <c r="A151" s="256"/>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row>
    <row r="152" spans="1:51" x14ac:dyDescent="0.2">
      <c r="A152" s="256"/>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row>
    <row r="153" spans="1:51" x14ac:dyDescent="0.2">
      <c r="A153" s="256"/>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row>
    <row r="154" spans="1:51" x14ac:dyDescent="0.2">
      <c r="A154" s="256"/>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row>
    <row r="155" spans="1:51" x14ac:dyDescent="0.2">
      <c r="A155" s="256"/>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row>
    <row r="156" spans="1:51" x14ac:dyDescent="0.2">
      <c r="A156" s="256"/>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row>
    <row r="157" spans="1:51" x14ac:dyDescent="0.2">
      <c r="A157" s="256"/>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row>
    <row r="158" spans="1:51" x14ac:dyDescent="0.2">
      <c r="A158" s="256"/>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row>
    <row r="159" spans="1:51" x14ac:dyDescent="0.2">
      <c r="A159" s="256"/>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row>
    <row r="160" spans="1:51" x14ac:dyDescent="0.2">
      <c r="A160" s="256"/>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row>
    <row r="161" spans="1:51" x14ac:dyDescent="0.2">
      <c r="A161" s="256"/>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row>
    <row r="162" spans="1:51" x14ac:dyDescent="0.2">
      <c r="A162" s="256"/>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row>
    <row r="163" spans="1:51" x14ac:dyDescent="0.2">
      <c r="A163" s="256"/>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row>
    <row r="164" spans="1:51" x14ac:dyDescent="0.2">
      <c r="A164" s="256"/>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row>
    <row r="165" spans="1:51" x14ac:dyDescent="0.2">
      <c r="A165" s="256"/>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row>
    <row r="166" spans="1:51" x14ac:dyDescent="0.2">
      <c r="A166" s="256"/>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row>
    <row r="167" spans="1:51" x14ac:dyDescent="0.2">
      <c r="A167" s="256"/>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row>
    <row r="168" spans="1:51" x14ac:dyDescent="0.2">
      <c r="A168" s="256"/>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row>
    <row r="169" spans="1:51" x14ac:dyDescent="0.2">
      <c r="A169" s="256"/>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row>
    <row r="170" spans="1:51" x14ac:dyDescent="0.2">
      <c r="A170" s="256"/>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row>
    <row r="171" spans="1:51" x14ac:dyDescent="0.2">
      <c r="A171" s="256"/>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row>
    <row r="172" spans="1:51" x14ac:dyDescent="0.2">
      <c r="A172" s="256"/>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row>
    <row r="173" spans="1:51" x14ac:dyDescent="0.2">
      <c r="A173" s="256"/>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row>
    <row r="174" spans="1:51" x14ac:dyDescent="0.2">
      <c r="A174" s="256"/>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row>
    <row r="175" spans="1:51" x14ac:dyDescent="0.2">
      <c r="A175" s="256"/>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row>
    <row r="176" spans="1:51" x14ac:dyDescent="0.2">
      <c r="A176" s="256"/>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row>
    <row r="177" spans="1:51" x14ac:dyDescent="0.2">
      <c r="A177" s="256"/>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row>
    <row r="178" spans="1:51" x14ac:dyDescent="0.2">
      <c r="A178" s="256"/>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row>
    <row r="179" spans="1:51" x14ac:dyDescent="0.2">
      <c r="A179" s="256"/>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row>
    <row r="180" spans="1:51" x14ac:dyDescent="0.2">
      <c r="A180" s="256"/>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row>
    <row r="181" spans="1:51" x14ac:dyDescent="0.2">
      <c r="A181" s="256"/>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row>
    <row r="182" spans="1:51" x14ac:dyDescent="0.2">
      <c r="A182" s="256"/>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row>
    <row r="183" spans="1:51" x14ac:dyDescent="0.2">
      <c r="A183" s="256"/>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row>
    <row r="184" spans="1:51" x14ac:dyDescent="0.2">
      <c r="A184" s="256"/>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row>
    <row r="185" spans="1:51" x14ac:dyDescent="0.2">
      <c r="A185" s="256"/>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row>
    <row r="186" spans="1:51" x14ac:dyDescent="0.2">
      <c r="A186" s="256"/>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row>
    <row r="187" spans="1:51" x14ac:dyDescent="0.2">
      <c r="A187" s="256"/>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row>
    <row r="188" spans="1:51" x14ac:dyDescent="0.2">
      <c r="A188" s="256"/>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row>
    <row r="189" spans="1:51" x14ac:dyDescent="0.2">
      <c r="A189" s="256"/>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row>
    <row r="190" spans="1:51" x14ac:dyDescent="0.2">
      <c r="A190" s="256"/>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row>
    <row r="191" spans="1:51" x14ac:dyDescent="0.2">
      <c r="A191" s="256"/>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row>
    <row r="192" spans="1:51" x14ac:dyDescent="0.2">
      <c r="A192" s="256"/>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row>
    <row r="193" spans="1:51" x14ac:dyDescent="0.2">
      <c r="A193" s="256"/>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row>
    <row r="194" spans="1:51" x14ac:dyDescent="0.2">
      <c r="A194" s="256"/>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row>
    <row r="195" spans="1:51" x14ac:dyDescent="0.2">
      <c r="A195" s="256"/>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row>
    <row r="196" spans="1:51" x14ac:dyDescent="0.2">
      <c r="A196" s="256"/>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row>
    <row r="197" spans="1:51" x14ac:dyDescent="0.2">
      <c r="A197" s="256"/>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row>
    <row r="198" spans="1:51" x14ac:dyDescent="0.2">
      <c r="A198" s="256"/>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row>
    <row r="199" spans="1:51" x14ac:dyDescent="0.2">
      <c r="A199" s="256"/>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row>
    <row r="200" spans="1:51" x14ac:dyDescent="0.2">
      <c r="A200" s="256"/>
      <c r="B200" s="257"/>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row>
    <row r="201" spans="1:51" x14ac:dyDescent="0.2">
      <c r="A201" s="256"/>
      <c r="B201" s="257"/>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row>
    <row r="202" spans="1:51" x14ac:dyDescent="0.2">
      <c r="A202" s="256"/>
      <c r="B202" s="257"/>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row>
    <row r="203" spans="1:51" x14ac:dyDescent="0.2">
      <c r="A203" s="256"/>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row>
    <row r="204" spans="1:51" ht="13.5" thickBot="1" x14ac:dyDescent="0.25">
      <c r="A204" s="258"/>
      <c r="B204" s="257"/>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row>
    <row r="205" spans="1:51" x14ac:dyDescent="0.2">
      <c r="A205" s="1"/>
    </row>
    <row r="206" spans="1:51" x14ac:dyDescent="0.2">
      <c r="A206" s="1"/>
    </row>
    <row r="207" spans="1:51" x14ac:dyDescent="0.2">
      <c r="A207" s="1"/>
    </row>
    <row r="208" spans="1:5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3"/>
    </row>
    <row r="256" spans="1:1"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4"/>
    </row>
    <row r="457" spans="1:1" x14ac:dyDescent="0.2">
      <c r="A457" s="4"/>
    </row>
    <row r="458" spans="1:1" x14ac:dyDescent="0.2">
      <c r="A458" s="4"/>
    </row>
    <row r="459" spans="1:1" x14ac:dyDescent="0.2">
      <c r="A459" s="4"/>
    </row>
    <row r="460" spans="1:1" x14ac:dyDescent="0.2">
      <c r="A460" s="4"/>
    </row>
    <row r="461" spans="1:1" x14ac:dyDescent="0.2">
      <c r="A461" s="4"/>
    </row>
    <row r="462" spans="1:1" x14ac:dyDescent="0.2">
      <c r="A462" s="4"/>
    </row>
    <row r="463" spans="1:1" x14ac:dyDescent="0.2">
      <c r="A463" s="4"/>
    </row>
    <row r="464" spans="1:1" x14ac:dyDescent="0.2">
      <c r="A464" s="4"/>
    </row>
    <row r="465" spans="1:1" x14ac:dyDescent="0.2">
      <c r="A465" s="4"/>
    </row>
    <row r="466" spans="1:1" x14ac:dyDescent="0.2">
      <c r="A466" s="4"/>
    </row>
    <row r="467" spans="1:1" x14ac:dyDescent="0.2">
      <c r="A467" s="4"/>
    </row>
    <row r="468" spans="1:1" x14ac:dyDescent="0.2">
      <c r="A468" s="4"/>
    </row>
    <row r="469" spans="1:1" x14ac:dyDescent="0.2">
      <c r="A469" s="4"/>
    </row>
    <row r="470" spans="1:1" x14ac:dyDescent="0.2">
      <c r="A470" s="4"/>
    </row>
    <row r="471" spans="1:1" x14ac:dyDescent="0.2">
      <c r="A471" s="4"/>
    </row>
    <row r="472" spans="1:1" x14ac:dyDescent="0.2">
      <c r="A472" s="4"/>
    </row>
    <row r="473" spans="1:1" x14ac:dyDescent="0.2">
      <c r="A473" s="4"/>
    </row>
    <row r="474" spans="1:1" x14ac:dyDescent="0.2">
      <c r="A474" s="4"/>
    </row>
    <row r="475" spans="1:1" x14ac:dyDescent="0.2">
      <c r="A475" s="4"/>
    </row>
    <row r="476" spans="1:1" x14ac:dyDescent="0.2">
      <c r="A476" s="4"/>
    </row>
    <row r="477" spans="1:1" x14ac:dyDescent="0.2">
      <c r="A477" s="4"/>
    </row>
    <row r="478" spans="1:1" x14ac:dyDescent="0.2">
      <c r="A478" s="4"/>
    </row>
    <row r="479" spans="1:1" x14ac:dyDescent="0.2">
      <c r="A479" s="4"/>
    </row>
    <row r="480" spans="1:1" x14ac:dyDescent="0.2">
      <c r="A480" s="4"/>
    </row>
    <row r="481" spans="1:1" x14ac:dyDescent="0.2">
      <c r="A481" s="4"/>
    </row>
    <row r="482" spans="1:1" x14ac:dyDescent="0.2">
      <c r="A482" s="4"/>
    </row>
    <row r="483" spans="1:1" x14ac:dyDescent="0.2">
      <c r="A483" s="4"/>
    </row>
    <row r="484" spans="1:1" x14ac:dyDescent="0.2">
      <c r="A484" s="4"/>
    </row>
    <row r="485" spans="1:1" x14ac:dyDescent="0.2">
      <c r="A485" s="4"/>
    </row>
    <row r="486" spans="1:1" x14ac:dyDescent="0.2">
      <c r="A486" s="4"/>
    </row>
    <row r="487" spans="1:1" x14ac:dyDescent="0.2">
      <c r="A487" s="4"/>
    </row>
    <row r="488" spans="1:1" x14ac:dyDescent="0.2">
      <c r="A488" s="4"/>
    </row>
    <row r="489" spans="1:1" x14ac:dyDescent="0.2">
      <c r="A489" s="4"/>
    </row>
    <row r="490" spans="1:1" x14ac:dyDescent="0.2">
      <c r="A490" s="4"/>
    </row>
    <row r="491" spans="1:1" x14ac:dyDescent="0.2">
      <c r="A491" s="4"/>
    </row>
    <row r="492" spans="1:1" x14ac:dyDescent="0.2">
      <c r="A492" s="4"/>
    </row>
    <row r="493" spans="1:1" x14ac:dyDescent="0.2">
      <c r="A493" s="4"/>
    </row>
    <row r="494" spans="1:1" x14ac:dyDescent="0.2">
      <c r="A494" s="4"/>
    </row>
    <row r="495" spans="1:1" x14ac:dyDescent="0.2">
      <c r="A495" s="4"/>
    </row>
    <row r="496" spans="1:1" x14ac:dyDescent="0.2">
      <c r="A496" s="4"/>
    </row>
    <row r="497" spans="1:1" x14ac:dyDescent="0.2">
      <c r="A497" s="4"/>
    </row>
    <row r="498" spans="1:1" x14ac:dyDescent="0.2">
      <c r="A498" s="4"/>
    </row>
    <row r="499" spans="1:1" x14ac:dyDescent="0.2">
      <c r="A499" s="4"/>
    </row>
    <row r="500" spans="1:1" x14ac:dyDescent="0.2">
      <c r="A500" s="4"/>
    </row>
    <row r="501" spans="1:1" x14ac:dyDescent="0.2">
      <c r="A501" s="4"/>
    </row>
    <row r="502" spans="1:1" x14ac:dyDescent="0.2">
      <c r="A502" s="4"/>
    </row>
    <row r="503" spans="1:1" x14ac:dyDescent="0.2">
      <c r="A503" s="4"/>
    </row>
    <row r="504" spans="1:1" x14ac:dyDescent="0.2">
      <c r="A504" s="4"/>
    </row>
    <row r="505" spans="1:1" x14ac:dyDescent="0.2">
      <c r="A505" s="4"/>
    </row>
    <row r="506" spans="1:1" x14ac:dyDescent="0.2">
      <c r="A506" s="4"/>
    </row>
    <row r="507" spans="1:1" x14ac:dyDescent="0.2">
      <c r="A507" s="4"/>
    </row>
    <row r="508" spans="1:1" x14ac:dyDescent="0.2">
      <c r="A508" s="4"/>
    </row>
    <row r="509" spans="1:1" x14ac:dyDescent="0.2">
      <c r="A509" s="4"/>
    </row>
    <row r="510" spans="1:1" x14ac:dyDescent="0.2">
      <c r="A510" s="4"/>
    </row>
    <row r="511" spans="1:1" x14ac:dyDescent="0.2">
      <c r="A511" s="4"/>
    </row>
    <row r="512" spans="1:1" x14ac:dyDescent="0.2">
      <c r="A512" s="4"/>
    </row>
    <row r="513" spans="1:1" x14ac:dyDescent="0.2">
      <c r="A513" s="4"/>
    </row>
    <row r="514" spans="1:1" x14ac:dyDescent="0.2">
      <c r="A514" s="4"/>
    </row>
    <row r="515" spans="1:1" x14ac:dyDescent="0.2">
      <c r="A515" s="4"/>
    </row>
    <row r="516" spans="1:1" x14ac:dyDescent="0.2">
      <c r="A516" s="4"/>
    </row>
    <row r="517" spans="1:1" x14ac:dyDescent="0.2">
      <c r="A517" s="4"/>
    </row>
    <row r="518" spans="1:1" x14ac:dyDescent="0.2">
      <c r="A518" s="4"/>
    </row>
    <row r="519" spans="1:1" x14ac:dyDescent="0.2">
      <c r="A519" s="4"/>
    </row>
    <row r="520" spans="1:1" x14ac:dyDescent="0.2">
      <c r="A520" s="4"/>
    </row>
    <row r="521" spans="1:1" x14ac:dyDescent="0.2">
      <c r="A521" s="4"/>
    </row>
    <row r="522" spans="1:1" x14ac:dyDescent="0.2">
      <c r="A522" s="4"/>
    </row>
    <row r="523" spans="1:1" x14ac:dyDescent="0.2">
      <c r="A523" s="4"/>
    </row>
    <row r="524" spans="1:1" x14ac:dyDescent="0.2">
      <c r="A524" s="4"/>
    </row>
    <row r="525" spans="1:1" x14ac:dyDescent="0.2">
      <c r="A525" s="4"/>
    </row>
    <row r="526" spans="1:1" x14ac:dyDescent="0.2">
      <c r="A526" s="4"/>
    </row>
    <row r="527" spans="1:1" x14ac:dyDescent="0.2">
      <c r="A527" s="4"/>
    </row>
    <row r="528" spans="1:1" x14ac:dyDescent="0.2">
      <c r="A528" s="4"/>
    </row>
    <row r="529" spans="1:1" x14ac:dyDescent="0.2">
      <c r="A529" s="4"/>
    </row>
    <row r="530" spans="1:1" x14ac:dyDescent="0.2">
      <c r="A530" s="4"/>
    </row>
    <row r="531" spans="1:1" x14ac:dyDescent="0.2">
      <c r="A531" s="4"/>
    </row>
    <row r="532" spans="1:1" x14ac:dyDescent="0.2">
      <c r="A532" s="4"/>
    </row>
    <row r="533" spans="1:1" x14ac:dyDescent="0.2">
      <c r="A533" s="4"/>
    </row>
    <row r="534" spans="1:1" x14ac:dyDescent="0.2">
      <c r="A534" s="4"/>
    </row>
    <row r="535" spans="1:1" x14ac:dyDescent="0.2">
      <c r="A535" s="4"/>
    </row>
    <row r="536" spans="1:1" x14ac:dyDescent="0.2">
      <c r="A536" s="4"/>
    </row>
    <row r="537" spans="1:1" x14ac:dyDescent="0.2">
      <c r="A537" s="4"/>
    </row>
    <row r="538" spans="1:1" x14ac:dyDescent="0.2">
      <c r="A538" s="4"/>
    </row>
    <row r="539" spans="1:1" x14ac:dyDescent="0.2">
      <c r="A539" s="4"/>
    </row>
    <row r="540" spans="1:1" x14ac:dyDescent="0.2">
      <c r="A540" s="5"/>
    </row>
    <row r="541" spans="1:1" x14ac:dyDescent="0.2">
      <c r="A541" s="5"/>
    </row>
    <row r="542" spans="1:1" x14ac:dyDescent="0.2">
      <c r="A542" s="5"/>
    </row>
    <row r="543" spans="1:1" x14ac:dyDescent="0.2">
      <c r="A543" s="5"/>
    </row>
    <row r="544" spans="1:1" x14ac:dyDescent="0.2">
      <c r="A544" s="4"/>
    </row>
    <row r="545" spans="1:1" x14ac:dyDescent="0.2">
      <c r="A545" s="4"/>
    </row>
    <row r="546" spans="1:1" x14ac:dyDescent="0.2">
      <c r="A546" s="4"/>
    </row>
    <row r="547" spans="1:1" x14ac:dyDescent="0.2">
      <c r="A547" s="4"/>
    </row>
    <row r="548" spans="1:1" x14ac:dyDescent="0.2">
      <c r="A548" s="4"/>
    </row>
    <row r="549" spans="1:1" x14ac:dyDescent="0.2">
      <c r="A549" s="4"/>
    </row>
    <row r="550" spans="1:1" x14ac:dyDescent="0.2">
      <c r="A550" s="4"/>
    </row>
    <row r="551" spans="1:1" x14ac:dyDescent="0.2">
      <c r="A551" s="4"/>
    </row>
    <row r="552" spans="1:1" x14ac:dyDescent="0.2">
      <c r="A552" s="4"/>
    </row>
    <row r="553" spans="1:1" x14ac:dyDescent="0.2">
      <c r="A553" s="4"/>
    </row>
    <row r="554" spans="1:1" x14ac:dyDescent="0.2">
      <c r="A554" s="4"/>
    </row>
    <row r="555" spans="1:1" x14ac:dyDescent="0.2">
      <c r="A555" s="4"/>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4"/>
    </row>
    <row r="563" spans="1:1" x14ac:dyDescent="0.2">
      <c r="A563" s="4"/>
    </row>
    <row r="564" spans="1:1" x14ac:dyDescent="0.2">
      <c r="A564" s="4"/>
    </row>
    <row r="565" spans="1:1" x14ac:dyDescent="0.2">
      <c r="A565" s="4"/>
    </row>
    <row r="566" spans="1:1" x14ac:dyDescent="0.2">
      <c r="A566" s="4"/>
    </row>
    <row r="567" spans="1:1" x14ac:dyDescent="0.2">
      <c r="A567" s="4"/>
    </row>
    <row r="568" spans="1:1" x14ac:dyDescent="0.2">
      <c r="A568" s="4"/>
    </row>
    <row r="569" spans="1:1" x14ac:dyDescent="0.2">
      <c r="A569" s="4"/>
    </row>
    <row r="570" spans="1:1" x14ac:dyDescent="0.2">
      <c r="A570" s="4"/>
    </row>
    <row r="571" spans="1:1" x14ac:dyDescent="0.2">
      <c r="A571" s="4"/>
    </row>
    <row r="572" spans="1:1" x14ac:dyDescent="0.2">
      <c r="A572" s="4"/>
    </row>
    <row r="573" spans="1:1" x14ac:dyDescent="0.2">
      <c r="A573" s="4"/>
    </row>
    <row r="574" spans="1:1" x14ac:dyDescent="0.2">
      <c r="A574" s="4"/>
    </row>
    <row r="575" spans="1:1" x14ac:dyDescent="0.2">
      <c r="A575" s="4"/>
    </row>
    <row r="576" spans="1:1" x14ac:dyDescent="0.2">
      <c r="A576" s="4"/>
    </row>
    <row r="577" spans="1:1" x14ac:dyDescent="0.2">
      <c r="A577" s="4"/>
    </row>
    <row r="578" spans="1:1" x14ac:dyDescent="0.2">
      <c r="A578" s="4"/>
    </row>
    <row r="579" spans="1:1" x14ac:dyDescent="0.2">
      <c r="A579" s="4"/>
    </row>
    <row r="580" spans="1:1" x14ac:dyDescent="0.2">
      <c r="A580" s="4"/>
    </row>
    <row r="581" spans="1:1" x14ac:dyDescent="0.2">
      <c r="A581" s="4"/>
    </row>
    <row r="582" spans="1:1" x14ac:dyDescent="0.2">
      <c r="A582" s="4"/>
    </row>
    <row r="583" spans="1:1" x14ac:dyDescent="0.2">
      <c r="A583" s="4"/>
    </row>
    <row r="584" spans="1:1" x14ac:dyDescent="0.2">
      <c r="A584" s="4"/>
    </row>
    <row r="585" spans="1:1" x14ac:dyDescent="0.2">
      <c r="A585" s="4"/>
    </row>
    <row r="586" spans="1:1" x14ac:dyDescent="0.2">
      <c r="A586" s="4"/>
    </row>
    <row r="587" spans="1:1" x14ac:dyDescent="0.2">
      <c r="A587" s="4"/>
    </row>
    <row r="588" spans="1:1" x14ac:dyDescent="0.2">
      <c r="A588" s="4"/>
    </row>
    <row r="589" spans="1:1" x14ac:dyDescent="0.2">
      <c r="A589" s="4"/>
    </row>
    <row r="590" spans="1:1" x14ac:dyDescent="0.2">
      <c r="A590" s="4"/>
    </row>
    <row r="591" spans="1:1" x14ac:dyDescent="0.2">
      <c r="A591" s="4"/>
    </row>
    <row r="592" spans="1:1" x14ac:dyDescent="0.2">
      <c r="A592" s="4"/>
    </row>
    <row r="593" spans="1:1" x14ac:dyDescent="0.2">
      <c r="A593" s="4"/>
    </row>
    <row r="594" spans="1:1" x14ac:dyDescent="0.2">
      <c r="A594" s="4"/>
    </row>
    <row r="595" spans="1:1" x14ac:dyDescent="0.2">
      <c r="A595" s="4"/>
    </row>
    <row r="596" spans="1:1" x14ac:dyDescent="0.2">
      <c r="A596" s="4"/>
    </row>
    <row r="597" spans="1:1" x14ac:dyDescent="0.2">
      <c r="A597" s="4"/>
    </row>
    <row r="598" spans="1:1" x14ac:dyDescent="0.2">
      <c r="A598" s="4"/>
    </row>
    <row r="599" spans="1:1" x14ac:dyDescent="0.2">
      <c r="A599" s="4"/>
    </row>
    <row r="600" spans="1:1" x14ac:dyDescent="0.2">
      <c r="A600" s="4"/>
    </row>
    <row r="601" spans="1:1" x14ac:dyDescent="0.2">
      <c r="A601" s="4"/>
    </row>
    <row r="602" spans="1:1" x14ac:dyDescent="0.2">
      <c r="A602" s="4"/>
    </row>
    <row r="603" spans="1:1" x14ac:dyDescent="0.2">
      <c r="A603" s="4"/>
    </row>
    <row r="604" spans="1:1" x14ac:dyDescent="0.2">
      <c r="A604" s="4"/>
    </row>
    <row r="605" spans="1:1" x14ac:dyDescent="0.2">
      <c r="A605" s="4"/>
    </row>
    <row r="606" spans="1:1" x14ac:dyDescent="0.2">
      <c r="A606" s="4"/>
    </row>
    <row r="607" spans="1:1" x14ac:dyDescent="0.2">
      <c r="A607" s="4"/>
    </row>
    <row r="608" spans="1:1" x14ac:dyDescent="0.2">
      <c r="A608" s="4"/>
    </row>
    <row r="609" spans="1:1" x14ac:dyDescent="0.2">
      <c r="A609" s="4"/>
    </row>
    <row r="610" spans="1:1" x14ac:dyDescent="0.2">
      <c r="A610" s="4"/>
    </row>
    <row r="611" spans="1:1" x14ac:dyDescent="0.2">
      <c r="A611" s="4"/>
    </row>
    <row r="612" spans="1:1" x14ac:dyDescent="0.2">
      <c r="A612" s="4"/>
    </row>
    <row r="613" spans="1:1" x14ac:dyDescent="0.2">
      <c r="A613" s="4"/>
    </row>
    <row r="614" spans="1:1" x14ac:dyDescent="0.2">
      <c r="A614" s="4"/>
    </row>
    <row r="615" spans="1:1" x14ac:dyDescent="0.2">
      <c r="A615" s="4"/>
    </row>
    <row r="616" spans="1:1" x14ac:dyDescent="0.2">
      <c r="A616" s="4"/>
    </row>
    <row r="617" spans="1:1" x14ac:dyDescent="0.2">
      <c r="A617" s="4"/>
    </row>
    <row r="618" spans="1:1" x14ac:dyDescent="0.2">
      <c r="A618" s="4"/>
    </row>
    <row r="619" spans="1:1" x14ac:dyDescent="0.2">
      <c r="A619" s="4"/>
    </row>
    <row r="620" spans="1:1" x14ac:dyDescent="0.2">
      <c r="A620" s="4"/>
    </row>
    <row r="621" spans="1:1" x14ac:dyDescent="0.2">
      <c r="A621" s="4"/>
    </row>
    <row r="622" spans="1:1" x14ac:dyDescent="0.2">
      <c r="A622" s="4"/>
    </row>
    <row r="623" spans="1:1" x14ac:dyDescent="0.2">
      <c r="A623" s="4"/>
    </row>
    <row r="624" spans="1:1" x14ac:dyDescent="0.2">
      <c r="A624" s="4"/>
    </row>
    <row r="625" spans="1:1" x14ac:dyDescent="0.2">
      <c r="A625" s="4"/>
    </row>
    <row r="626" spans="1:1" x14ac:dyDescent="0.2">
      <c r="A626" s="4"/>
    </row>
    <row r="627" spans="1:1" x14ac:dyDescent="0.2">
      <c r="A627" s="4"/>
    </row>
    <row r="628" spans="1:1" x14ac:dyDescent="0.2">
      <c r="A628" s="4"/>
    </row>
    <row r="629" spans="1:1" x14ac:dyDescent="0.2">
      <c r="A629" s="4"/>
    </row>
    <row r="630" spans="1:1" x14ac:dyDescent="0.2">
      <c r="A630" s="4"/>
    </row>
    <row r="631" spans="1:1" x14ac:dyDescent="0.2">
      <c r="A631" s="4"/>
    </row>
    <row r="632" spans="1:1" x14ac:dyDescent="0.2">
      <c r="A632" s="4"/>
    </row>
    <row r="633" spans="1:1" x14ac:dyDescent="0.2">
      <c r="A633" s="4"/>
    </row>
    <row r="634" spans="1:1" x14ac:dyDescent="0.2">
      <c r="A634" s="4"/>
    </row>
    <row r="635" spans="1:1" x14ac:dyDescent="0.2">
      <c r="A635" s="5"/>
    </row>
    <row r="636" spans="1:1" x14ac:dyDescent="0.2">
      <c r="A636" s="4"/>
    </row>
    <row r="637" spans="1:1" x14ac:dyDescent="0.2">
      <c r="A637" s="4"/>
    </row>
    <row r="638" spans="1:1" x14ac:dyDescent="0.2">
      <c r="A638" s="4"/>
    </row>
    <row r="639" spans="1:1" x14ac:dyDescent="0.2">
      <c r="A639" s="4"/>
    </row>
    <row r="640" spans="1:1" x14ac:dyDescent="0.2">
      <c r="A640" s="4"/>
    </row>
    <row r="641" spans="1:1" x14ac:dyDescent="0.2">
      <c r="A641" s="4"/>
    </row>
    <row r="642" spans="1:1" x14ac:dyDescent="0.2">
      <c r="A642" s="4"/>
    </row>
    <row r="643" spans="1:1" x14ac:dyDescent="0.2">
      <c r="A643" s="4"/>
    </row>
    <row r="644" spans="1:1" x14ac:dyDescent="0.2">
      <c r="A644" s="4"/>
    </row>
    <row r="645" spans="1:1" x14ac:dyDescent="0.2">
      <c r="A645" s="4"/>
    </row>
    <row r="646" spans="1:1" x14ac:dyDescent="0.2">
      <c r="A646" s="4"/>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4"/>
    </row>
    <row r="655" spans="1:1" x14ac:dyDescent="0.2">
      <c r="A655" s="4"/>
    </row>
    <row r="656" spans="1:1" x14ac:dyDescent="0.2">
      <c r="A656" s="4"/>
    </row>
    <row r="657" spans="1:1" x14ac:dyDescent="0.2">
      <c r="A657" s="4"/>
    </row>
    <row r="658" spans="1:1" x14ac:dyDescent="0.2">
      <c r="A658" s="4"/>
    </row>
    <row r="659" spans="1:1" x14ac:dyDescent="0.2">
      <c r="A659" s="4"/>
    </row>
    <row r="660" spans="1:1" x14ac:dyDescent="0.2">
      <c r="A660" s="4"/>
    </row>
    <row r="661" spans="1:1" x14ac:dyDescent="0.2">
      <c r="A661" s="4"/>
    </row>
    <row r="662" spans="1:1" x14ac:dyDescent="0.2">
      <c r="A662" s="4"/>
    </row>
    <row r="663" spans="1:1" x14ac:dyDescent="0.2">
      <c r="A663" s="4"/>
    </row>
    <row r="664" spans="1:1" x14ac:dyDescent="0.2">
      <c r="A664" s="4"/>
    </row>
    <row r="665" spans="1:1" x14ac:dyDescent="0.2">
      <c r="A665" s="4"/>
    </row>
    <row r="666" spans="1:1" x14ac:dyDescent="0.2">
      <c r="A666" s="4"/>
    </row>
    <row r="667" spans="1:1" x14ac:dyDescent="0.2">
      <c r="A667" s="4"/>
    </row>
    <row r="668" spans="1:1" x14ac:dyDescent="0.2">
      <c r="A668" s="4"/>
    </row>
    <row r="669" spans="1:1" x14ac:dyDescent="0.2">
      <c r="A669" s="4"/>
    </row>
    <row r="670" spans="1:1" x14ac:dyDescent="0.2">
      <c r="A670" s="4"/>
    </row>
    <row r="671" spans="1:1" x14ac:dyDescent="0.2">
      <c r="A671" s="5"/>
    </row>
    <row r="672" spans="1:1" x14ac:dyDescent="0.2">
      <c r="A672" s="5"/>
    </row>
    <row r="673" spans="1:1" x14ac:dyDescent="0.2">
      <c r="A673" s="5"/>
    </row>
    <row r="674" spans="1:1" x14ac:dyDescent="0.2">
      <c r="A674" s="4"/>
    </row>
    <row r="675" spans="1:1" x14ac:dyDescent="0.2">
      <c r="A675" s="4"/>
    </row>
    <row r="676" spans="1:1" x14ac:dyDescent="0.2">
      <c r="A676" s="4"/>
    </row>
    <row r="677" spans="1:1" x14ac:dyDescent="0.2">
      <c r="A677" s="4"/>
    </row>
    <row r="678" spans="1:1" x14ac:dyDescent="0.2">
      <c r="A678" s="4"/>
    </row>
    <row r="679" spans="1:1" x14ac:dyDescent="0.2">
      <c r="A679" s="4"/>
    </row>
    <row r="680" spans="1:1" x14ac:dyDescent="0.2">
      <c r="A680" s="4"/>
    </row>
    <row r="681" spans="1:1" x14ac:dyDescent="0.2">
      <c r="A681" s="4"/>
    </row>
    <row r="682" spans="1:1" x14ac:dyDescent="0.2">
      <c r="A682" s="4"/>
    </row>
    <row r="683" spans="1:1" x14ac:dyDescent="0.2">
      <c r="A683" s="4"/>
    </row>
    <row r="684" spans="1:1" x14ac:dyDescent="0.2">
      <c r="A684" s="4"/>
    </row>
    <row r="685" spans="1:1" x14ac:dyDescent="0.2">
      <c r="A685" s="4"/>
    </row>
    <row r="686" spans="1:1" x14ac:dyDescent="0.2">
      <c r="A686" s="4"/>
    </row>
    <row r="687" spans="1:1" x14ac:dyDescent="0.2">
      <c r="A687" s="4"/>
    </row>
    <row r="688" spans="1:1" x14ac:dyDescent="0.2">
      <c r="A688" s="4"/>
    </row>
    <row r="689" spans="1:1" x14ac:dyDescent="0.2">
      <c r="A689" s="4"/>
    </row>
    <row r="690" spans="1:1" x14ac:dyDescent="0.2">
      <c r="A690" s="4"/>
    </row>
    <row r="691" spans="1:1" x14ac:dyDescent="0.2">
      <c r="A691" s="4"/>
    </row>
    <row r="692" spans="1:1" x14ac:dyDescent="0.2">
      <c r="A692" s="4"/>
    </row>
    <row r="693" spans="1:1" x14ac:dyDescent="0.2">
      <c r="A693" s="4"/>
    </row>
    <row r="694" spans="1:1" x14ac:dyDescent="0.2">
      <c r="A694" s="4"/>
    </row>
    <row r="695" spans="1:1" x14ac:dyDescent="0.2">
      <c r="A695" s="4"/>
    </row>
    <row r="696" spans="1:1" x14ac:dyDescent="0.2">
      <c r="A696" s="4"/>
    </row>
    <row r="697" spans="1:1" x14ac:dyDescent="0.2">
      <c r="A697" s="4"/>
    </row>
    <row r="698" spans="1:1" x14ac:dyDescent="0.2">
      <c r="A698" s="4"/>
    </row>
    <row r="699" spans="1:1" x14ac:dyDescent="0.2">
      <c r="A699" s="4"/>
    </row>
    <row r="700" spans="1:1" x14ac:dyDescent="0.2">
      <c r="A700" s="4"/>
    </row>
    <row r="701" spans="1:1" x14ac:dyDescent="0.2">
      <c r="A701" s="4"/>
    </row>
    <row r="702" spans="1:1" x14ac:dyDescent="0.2">
      <c r="A702" s="4"/>
    </row>
    <row r="703" spans="1:1" x14ac:dyDescent="0.2">
      <c r="A703" s="4"/>
    </row>
    <row r="704" spans="1:1" x14ac:dyDescent="0.2">
      <c r="A704" s="4"/>
    </row>
    <row r="705" spans="1:1" x14ac:dyDescent="0.2">
      <c r="A705" s="4"/>
    </row>
    <row r="706" spans="1:1" x14ac:dyDescent="0.2">
      <c r="A706" s="4"/>
    </row>
    <row r="707" spans="1:1" x14ac:dyDescent="0.2">
      <c r="A707" s="4"/>
    </row>
    <row r="708" spans="1:1" x14ac:dyDescent="0.2">
      <c r="A708" s="4"/>
    </row>
    <row r="709" spans="1:1" x14ac:dyDescent="0.2">
      <c r="A709" s="4"/>
    </row>
    <row r="710" spans="1:1" x14ac:dyDescent="0.2">
      <c r="A710" s="4"/>
    </row>
    <row r="711" spans="1:1" x14ac:dyDescent="0.2">
      <c r="A711" s="4"/>
    </row>
    <row r="712" spans="1:1" x14ac:dyDescent="0.2">
      <c r="A712" s="4"/>
    </row>
    <row r="713" spans="1:1" x14ac:dyDescent="0.2">
      <c r="A713" s="4"/>
    </row>
    <row r="714" spans="1:1" x14ac:dyDescent="0.2">
      <c r="A714" s="4"/>
    </row>
    <row r="715" spans="1:1" x14ac:dyDescent="0.2">
      <c r="A715" s="4"/>
    </row>
    <row r="716" spans="1:1" x14ac:dyDescent="0.2">
      <c r="A716" s="4"/>
    </row>
    <row r="717" spans="1:1" x14ac:dyDescent="0.2">
      <c r="A717" s="4"/>
    </row>
    <row r="718" spans="1:1" x14ac:dyDescent="0.2">
      <c r="A718" s="4"/>
    </row>
    <row r="719" spans="1:1" x14ac:dyDescent="0.2">
      <c r="A719" s="4"/>
    </row>
    <row r="720" spans="1:1" x14ac:dyDescent="0.2">
      <c r="A720" s="4"/>
    </row>
    <row r="721" spans="1:1" x14ac:dyDescent="0.2">
      <c r="A721" s="4"/>
    </row>
    <row r="722" spans="1:1" x14ac:dyDescent="0.2">
      <c r="A722" s="4"/>
    </row>
    <row r="723" spans="1:1" x14ac:dyDescent="0.2">
      <c r="A723" s="4"/>
    </row>
    <row r="724" spans="1:1" x14ac:dyDescent="0.2">
      <c r="A724" s="4"/>
    </row>
    <row r="725" spans="1:1" x14ac:dyDescent="0.2">
      <c r="A725" s="4"/>
    </row>
    <row r="726" spans="1:1" x14ac:dyDescent="0.2">
      <c r="A726" s="4"/>
    </row>
    <row r="727" spans="1:1" x14ac:dyDescent="0.2">
      <c r="A727" s="4"/>
    </row>
    <row r="728" spans="1:1" x14ac:dyDescent="0.2">
      <c r="A728" s="4"/>
    </row>
    <row r="729" spans="1:1" x14ac:dyDescent="0.2">
      <c r="A729" s="4"/>
    </row>
    <row r="730" spans="1:1" x14ac:dyDescent="0.2">
      <c r="A730" s="4"/>
    </row>
    <row r="731" spans="1:1" x14ac:dyDescent="0.2">
      <c r="A731" s="4"/>
    </row>
    <row r="732" spans="1:1" x14ac:dyDescent="0.2">
      <c r="A732" s="4"/>
    </row>
    <row r="733" spans="1:1" x14ac:dyDescent="0.2">
      <c r="A733" s="4"/>
    </row>
    <row r="734" spans="1:1" x14ac:dyDescent="0.2">
      <c r="A734" s="4"/>
    </row>
    <row r="735" spans="1:1" x14ac:dyDescent="0.2">
      <c r="A735" s="4"/>
    </row>
    <row r="736" spans="1:1" x14ac:dyDescent="0.2">
      <c r="A736" s="4"/>
    </row>
    <row r="737" spans="1:1" x14ac:dyDescent="0.2">
      <c r="A737" s="4"/>
    </row>
    <row r="738" spans="1:1" x14ac:dyDescent="0.2">
      <c r="A738" s="4"/>
    </row>
    <row r="739" spans="1:1" x14ac:dyDescent="0.2">
      <c r="A739" s="4"/>
    </row>
    <row r="740" spans="1:1" x14ac:dyDescent="0.2">
      <c r="A740" s="4"/>
    </row>
    <row r="741" spans="1:1" x14ac:dyDescent="0.2">
      <c r="A741" s="4"/>
    </row>
    <row r="742" spans="1:1" x14ac:dyDescent="0.2">
      <c r="A742" s="4"/>
    </row>
    <row r="743" spans="1:1" x14ac:dyDescent="0.2">
      <c r="A743" s="4"/>
    </row>
    <row r="744" spans="1:1" x14ac:dyDescent="0.2">
      <c r="A744" s="4"/>
    </row>
    <row r="745" spans="1:1" x14ac:dyDescent="0.2">
      <c r="A745" s="4"/>
    </row>
    <row r="746" spans="1:1" x14ac:dyDescent="0.2">
      <c r="A746" s="4"/>
    </row>
    <row r="747" spans="1:1" x14ac:dyDescent="0.2">
      <c r="A747" s="4"/>
    </row>
    <row r="748" spans="1:1" x14ac:dyDescent="0.2">
      <c r="A748" s="4"/>
    </row>
    <row r="749" spans="1:1" x14ac:dyDescent="0.2">
      <c r="A749" s="4"/>
    </row>
    <row r="750" spans="1:1" x14ac:dyDescent="0.2">
      <c r="A750" s="4"/>
    </row>
    <row r="751" spans="1:1" x14ac:dyDescent="0.2">
      <c r="A751" s="4"/>
    </row>
    <row r="752" spans="1:1" x14ac:dyDescent="0.2">
      <c r="A752" s="4"/>
    </row>
    <row r="753" spans="1:1" x14ac:dyDescent="0.2">
      <c r="A753" s="4"/>
    </row>
    <row r="754" spans="1:1" x14ac:dyDescent="0.2">
      <c r="A754" s="4"/>
    </row>
    <row r="755" spans="1:1" x14ac:dyDescent="0.2">
      <c r="A755" s="4"/>
    </row>
    <row r="756" spans="1:1" x14ac:dyDescent="0.2">
      <c r="A756" s="4"/>
    </row>
    <row r="757" spans="1:1" x14ac:dyDescent="0.2">
      <c r="A757" s="4"/>
    </row>
    <row r="758" spans="1:1" x14ac:dyDescent="0.2">
      <c r="A758" s="4"/>
    </row>
    <row r="759" spans="1:1" x14ac:dyDescent="0.2">
      <c r="A759" s="4"/>
    </row>
    <row r="760" spans="1:1" x14ac:dyDescent="0.2">
      <c r="A760" s="4"/>
    </row>
    <row r="761" spans="1:1" x14ac:dyDescent="0.2">
      <c r="A761" s="4"/>
    </row>
    <row r="762" spans="1:1" x14ac:dyDescent="0.2">
      <c r="A762" s="4"/>
    </row>
    <row r="763" spans="1:1" x14ac:dyDescent="0.2">
      <c r="A763" s="4"/>
    </row>
    <row r="764" spans="1:1" x14ac:dyDescent="0.2">
      <c r="A764" s="4"/>
    </row>
    <row r="765" spans="1:1" x14ac:dyDescent="0.2">
      <c r="A765" s="4"/>
    </row>
    <row r="766" spans="1:1" x14ac:dyDescent="0.2">
      <c r="A766" s="4"/>
    </row>
    <row r="767" spans="1:1" x14ac:dyDescent="0.2">
      <c r="A767" s="4"/>
    </row>
    <row r="768" spans="1:1" x14ac:dyDescent="0.2">
      <c r="A768" s="4"/>
    </row>
    <row r="769" spans="1:1" x14ac:dyDescent="0.2">
      <c r="A769" s="4"/>
    </row>
    <row r="770" spans="1:1" x14ac:dyDescent="0.2">
      <c r="A770" s="4"/>
    </row>
    <row r="771" spans="1:1" x14ac:dyDescent="0.2">
      <c r="A771" s="4"/>
    </row>
    <row r="772" spans="1:1" x14ac:dyDescent="0.2">
      <c r="A772" s="4"/>
    </row>
    <row r="773" spans="1:1" x14ac:dyDescent="0.2">
      <c r="A773" s="4"/>
    </row>
    <row r="774" spans="1:1" x14ac:dyDescent="0.2">
      <c r="A774" s="4"/>
    </row>
    <row r="775" spans="1:1" x14ac:dyDescent="0.2">
      <c r="A775" s="4"/>
    </row>
    <row r="776" spans="1:1" x14ac:dyDescent="0.2">
      <c r="A776" s="3"/>
    </row>
    <row r="777" spans="1:1" x14ac:dyDescent="0.2">
      <c r="A777" s="3"/>
    </row>
    <row r="778" spans="1:1" x14ac:dyDescent="0.2">
      <c r="A778" s="3"/>
    </row>
    <row r="779" spans="1:1" x14ac:dyDescent="0.2">
      <c r="A779" s="3"/>
    </row>
    <row r="780" spans="1:1" x14ac:dyDescent="0.2">
      <c r="A780" s="4"/>
    </row>
    <row r="781" spans="1:1" x14ac:dyDescent="0.2">
      <c r="A781" s="4"/>
    </row>
    <row r="782" spans="1:1" x14ac:dyDescent="0.2">
      <c r="A782" s="4"/>
    </row>
    <row r="783" spans="1:1" x14ac:dyDescent="0.2">
      <c r="A783" s="4"/>
    </row>
    <row r="784" spans="1:1" x14ac:dyDescent="0.2">
      <c r="A784" s="4"/>
    </row>
    <row r="785" spans="1:1" x14ac:dyDescent="0.2">
      <c r="A785" s="4"/>
    </row>
    <row r="786" spans="1:1" x14ac:dyDescent="0.2">
      <c r="A786" s="4"/>
    </row>
    <row r="787" spans="1:1" x14ac:dyDescent="0.2">
      <c r="A787" s="4"/>
    </row>
    <row r="788" spans="1:1" x14ac:dyDescent="0.2">
      <c r="A788" s="4"/>
    </row>
    <row r="789" spans="1:1" x14ac:dyDescent="0.2">
      <c r="A789" s="4"/>
    </row>
    <row r="790" spans="1:1" x14ac:dyDescent="0.2">
      <c r="A790" s="4"/>
    </row>
    <row r="791" spans="1:1" x14ac:dyDescent="0.2">
      <c r="A791" s="4"/>
    </row>
    <row r="792" spans="1:1" x14ac:dyDescent="0.2">
      <c r="A792" s="4"/>
    </row>
    <row r="793" spans="1:1" x14ac:dyDescent="0.2">
      <c r="A793" s="4"/>
    </row>
    <row r="794" spans="1:1" x14ac:dyDescent="0.2">
      <c r="A794" s="4"/>
    </row>
    <row r="795" spans="1:1" x14ac:dyDescent="0.2">
      <c r="A795" s="4"/>
    </row>
    <row r="796" spans="1:1" x14ac:dyDescent="0.2">
      <c r="A796" s="4"/>
    </row>
    <row r="797" spans="1:1" x14ac:dyDescent="0.2">
      <c r="A797" s="4"/>
    </row>
    <row r="798" spans="1:1" x14ac:dyDescent="0.2">
      <c r="A798" s="4"/>
    </row>
    <row r="799" spans="1:1" x14ac:dyDescent="0.2">
      <c r="A799" s="4"/>
    </row>
    <row r="800" spans="1:1" x14ac:dyDescent="0.2">
      <c r="A800" s="4"/>
    </row>
    <row r="801" spans="1:1" x14ac:dyDescent="0.2">
      <c r="A801" s="4"/>
    </row>
    <row r="802" spans="1:1" x14ac:dyDescent="0.2">
      <c r="A802" s="4"/>
    </row>
    <row r="803" spans="1:1" x14ac:dyDescent="0.2">
      <c r="A803" s="4"/>
    </row>
    <row r="804" spans="1:1" x14ac:dyDescent="0.2">
      <c r="A804" s="4"/>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4"/>
    </row>
    <row r="812" spans="1:1" x14ac:dyDescent="0.2">
      <c r="A812" s="4"/>
    </row>
    <row r="813" spans="1:1" x14ac:dyDescent="0.2">
      <c r="A813" s="4"/>
    </row>
    <row r="814" spans="1:1" x14ac:dyDescent="0.2">
      <c r="A814" s="4"/>
    </row>
    <row r="815" spans="1:1" x14ac:dyDescent="0.2">
      <c r="A815" s="4"/>
    </row>
    <row r="816" spans="1:1" x14ac:dyDescent="0.2">
      <c r="A816" s="4"/>
    </row>
    <row r="817" spans="1:1" x14ac:dyDescent="0.2">
      <c r="A817" s="4"/>
    </row>
    <row r="818" spans="1:1" x14ac:dyDescent="0.2">
      <c r="A818" s="4"/>
    </row>
    <row r="819" spans="1:1" x14ac:dyDescent="0.2">
      <c r="A819" s="4"/>
    </row>
    <row r="820" spans="1:1" x14ac:dyDescent="0.2">
      <c r="A820" s="4"/>
    </row>
    <row r="821" spans="1:1" x14ac:dyDescent="0.2">
      <c r="A821" s="4"/>
    </row>
    <row r="822" spans="1:1" x14ac:dyDescent="0.2">
      <c r="A822" s="4"/>
    </row>
    <row r="823" spans="1:1" x14ac:dyDescent="0.2">
      <c r="A823" s="4"/>
    </row>
    <row r="824" spans="1:1" x14ac:dyDescent="0.2">
      <c r="A824" s="4"/>
    </row>
    <row r="825" spans="1:1" x14ac:dyDescent="0.2">
      <c r="A825" s="4"/>
    </row>
    <row r="826" spans="1:1" x14ac:dyDescent="0.2">
      <c r="A826" s="4"/>
    </row>
    <row r="827" spans="1:1" x14ac:dyDescent="0.2">
      <c r="A827" s="4"/>
    </row>
    <row r="828" spans="1:1" x14ac:dyDescent="0.2">
      <c r="A828" s="4"/>
    </row>
    <row r="829" spans="1:1" x14ac:dyDescent="0.2">
      <c r="A829" s="4"/>
    </row>
    <row r="830" spans="1:1" x14ac:dyDescent="0.2">
      <c r="A830" s="4"/>
    </row>
    <row r="831" spans="1:1" x14ac:dyDescent="0.2">
      <c r="A831" s="4"/>
    </row>
    <row r="832" spans="1:1" x14ac:dyDescent="0.2">
      <c r="A832" s="4"/>
    </row>
    <row r="833" spans="1:1" x14ac:dyDescent="0.2">
      <c r="A833" s="4"/>
    </row>
    <row r="834" spans="1:1" x14ac:dyDescent="0.2">
      <c r="A834" s="4"/>
    </row>
    <row r="835" spans="1:1" x14ac:dyDescent="0.2">
      <c r="A835" s="4"/>
    </row>
    <row r="836" spans="1:1" x14ac:dyDescent="0.2">
      <c r="A836" s="4"/>
    </row>
    <row r="837" spans="1:1" x14ac:dyDescent="0.2">
      <c r="A837" s="4"/>
    </row>
    <row r="838" spans="1:1" x14ac:dyDescent="0.2">
      <c r="A838" s="4"/>
    </row>
    <row r="839" spans="1:1" x14ac:dyDescent="0.2">
      <c r="A839" s="4"/>
    </row>
    <row r="840" spans="1:1" x14ac:dyDescent="0.2">
      <c r="A840" s="4"/>
    </row>
    <row r="841" spans="1:1" x14ac:dyDescent="0.2">
      <c r="A841" s="4"/>
    </row>
    <row r="842" spans="1:1" x14ac:dyDescent="0.2">
      <c r="A842" s="4"/>
    </row>
    <row r="843" spans="1:1" x14ac:dyDescent="0.2">
      <c r="A843" s="4"/>
    </row>
    <row r="844" spans="1:1" x14ac:dyDescent="0.2">
      <c r="A844" s="4"/>
    </row>
    <row r="845" spans="1:1" x14ac:dyDescent="0.2">
      <c r="A845" s="4"/>
    </row>
    <row r="846" spans="1:1" x14ac:dyDescent="0.2">
      <c r="A846" s="4"/>
    </row>
    <row r="847" spans="1:1" x14ac:dyDescent="0.2">
      <c r="A847" s="4"/>
    </row>
    <row r="848" spans="1:1" x14ac:dyDescent="0.2">
      <c r="A848" s="4"/>
    </row>
    <row r="849" spans="1:1" x14ac:dyDescent="0.2">
      <c r="A849" s="4"/>
    </row>
    <row r="850" spans="1:1" x14ac:dyDescent="0.2">
      <c r="A850" s="4"/>
    </row>
    <row r="851" spans="1:1" x14ac:dyDescent="0.2">
      <c r="A851" s="4"/>
    </row>
    <row r="852" spans="1:1" x14ac:dyDescent="0.2">
      <c r="A852" s="4"/>
    </row>
    <row r="853" spans="1:1" x14ac:dyDescent="0.2">
      <c r="A853" s="4"/>
    </row>
    <row r="854" spans="1:1" x14ac:dyDescent="0.2">
      <c r="A854" s="4"/>
    </row>
    <row r="855" spans="1:1" x14ac:dyDescent="0.2">
      <c r="A855" s="4"/>
    </row>
    <row r="856" spans="1:1" x14ac:dyDescent="0.2">
      <c r="A856" s="4"/>
    </row>
    <row r="857" spans="1:1" x14ac:dyDescent="0.2">
      <c r="A857" s="4"/>
    </row>
    <row r="858" spans="1:1" x14ac:dyDescent="0.2">
      <c r="A858" s="4"/>
    </row>
    <row r="859" spans="1:1" x14ac:dyDescent="0.2">
      <c r="A859" s="4"/>
    </row>
    <row r="860" spans="1:1" x14ac:dyDescent="0.2">
      <c r="A860" s="4"/>
    </row>
    <row r="861" spans="1:1" x14ac:dyDescent="0.2">
      <c r="A861" s="4"/>
    </row>
    <row r="862" spans="1:1" x14ac:dyDescent="0.2">
      <c r="A862" s="4"/>
    </row>
    <row r="863" spans="1:1" x14ac:dyDescent="0.2">
      <c r="A863" s="4"/>
    </row>
    <row r="864" spans="1:1" x14ac:dyDescent="0.2">
      <c r="A864" s="4"/>
    </row>
    <row r="865" spans="1:1" x14ac:dyDescent="0.2">
      <c r="A865" s="4"/>
    </row>
    <row r="866" spans="1:1" x14ac:dyDescent="0.2">
      <c r="A866" s="4"/>
    </row>
    <row r="867" spans="1:1" x14ac:dyDescent="0.2">
      <c r="A867" s="4"/>
    </row>
    <row r="868" spans="1:1" x14ac:dyDescent="0.2">
      <c r="A868" s="4"/>
    </row>
    <row r="869" spans="1:1" x14ac:dyDescent="0.2">
      <c r="A869" s="4"/>
    </row>
    <row r="870" spans="1:1" x14ac:dyDescent="0.2">
      <c r="A870" s="4"/>
    </row>
    <row r="871" spans="1:1" x14ac:dyDescent="0.2">
      <c r="A871" s="4"/>
    </row>
    <row r="872" spans="1:1" x14ac:dyDescent="0.2">
      <c r="A872" s="4"/>
    </row>
    <row r="873" spans="1:1" x14ac:dyDescent="0.2">
      <c r="A873" s="4"/>
    </row>
    <row r="874" spans="1:1" x14ac:dyDescent="0.2">
      <c r="A874" s="4"/>
    </row>
    <row r="875" spans="1:1" x14ac:dyDescent="0.2">
      <c r="A875" s="4"/>
    </row>
    <row r="876" spans="1:1" x14ac:dyDescent="0.2">
      <c r="A876" s="4"/>
    </row>
    <row r="877" spans="1:1" x14ac:dyDescent="0.2">
      <c r="A877" s="4"/>
    </row>
    <row r="878" spans="1:1" x14ac:dyDescent="0.2">
      <c r="A878" s="4"/>
    </row>
    <row r="879" spans="1:1" x14ac:dyDescent="0.2">
      <c r="A879" s="4"/>
    </row>
    <row r="880" spans="1:1" x14ac:dyDescent="0.2">
      <c r="A880" s="4"/>
    </row>
    <row r="881" spans="1:1" x14ac:dyDescent="0.2">
      <c r="A881" s="4"/>
    </row>
    <row r="882" spans="1:1" x14ac:dyDescent="0.2">
      <c r="A882" s="4"/>
    </row>
    <row r="883" spans="1:1" x14ac:dyDescent="0.2">
      <c r="A883" s="4"/>
    </row>
    <row r="884" spans="1:1" x14ac:dyDescent="0.2">
      <c r="A884" s="4"/>
    </row>
    <row r="885" spans="1:1" x14ac:dyDescent="0.2">
      <c r="A885" s="4"/>
    </row>
    <row r="886" spans="1:1" x14ac:dyDescent="0.2">
      <c r="A886" s="4"/>
    </row>
    <row r="887" spans="1:1" x14ac:dyDescent="0.2">
      <c r="A887" s="4"/>
    </row>
    <row r="888" spans="1:1" x14ac:dyDescent="0.2">
      <c r="A888" s="4"/>
    </row>
    <row r="889" spans="1:1" x14ac:dyDescent="0.2">
      <c r="A889" s="4"/>
    </row>
    <row r="890" spans="1:1" x14ac:dyDescent="0.2">
      <c r="A890" s="4"/>
    </row>
    <row r="891" spans="1:1" x14ac:dyDescent="0.2">
      <c r="A891" s="4"/>
    </row>
    <row r="892" spans="1:1" x14ac:dyDescent="0.2">
      <c r="A892" s="4"/>
    </row>
    <row r="893" spans="1:1" x14ac:dyDescent="0.2">
      <c r="A893" s="4"/>
    </row>
    <row r="894" spans="1:1" x14ac:dyDescent="0.2">
      <c r="A894" s="4"/>
    </row>
    <row r="895" spans="1:1" x14ac:dyDescent="0.2">
      <c r="A895" s="4"/>
    </row>
    <row r="896" spans="1:1" x14ac:dyDescent="0.2">
      <c r="A896" s="4"/>
    </row>
    <row r="897" spans="1:1" x14ac:dyDescent="0.2">
      <c r="A897" s="4"/>
    </row>
    <row r="898" spans="1:1" x14ac:dyDescent="0.2">
      <c r="A898" s="4"/>
    </row>
    <row r="899" spans="1:1" x14ac:dyDescent="0.2">
      <c r="A899" s="4"/>
    </row>
    <row r="900" spans="1:1" x14ac:dyDescent="0.2">
      <c r="A900" s="4"/>
    </row>
    <row r="901" spans="1:1" x14ac:dyDescent="0.2">
      <c r="A901" s="4"/>
    </row>
    <row r="902" spans="1:1" x14ac:dyDescent="0.2">
      <c r="A902" s="4"/>
    </row>
    <row r="903" spans="1:1" x14ac:dyDescent="0.2">
      <c r="A903" s="4"/>
    </row>
    <row r="904" spans="1:1" x14ac:dyDescent="0.2">
      <c r="A904" s="4"/>
    </row>
    <row r="905" spans="1:1" x14ac:dyDescent="0.2">
      <c r="A905" s="4"/>
    </row>
    <row r="906" spans="1:1" x14ac:dyDescent="0.2">
      <c r="A906" s="4"/>
    </row>
    <row r="907" spans="1:1" x14ac:dyDescent="0.2">
      <c r="A907" s="4"/>
    </row>
    <row r="908" spans="1:1" x14ac:dyDescent="0.2">
      <c r="A908" s="4"/>
    </row>
    <row r="909" spans="1:1" x14ac:dyDescent="0.2">
      <c r="A909" s="4"/>
    </row>
    <row r="910" spans="1:1" x14ac:dyDescent="0.2">
      <c r="A910" s="4"/>
    </row>
    <row r="911" spans="1:1" x14ac:dyDescent="0.2">
      <c r="A911" s="4"/>
    </row>
    <row r="912" spans="1:1" x14ac:dyDescent="0.2">
      <c r="A912" s="4"/>
    </row>
    <row r="913" spans="1:1" x14ac:dyDescent="0.2">
      <c r="A913" s="4"/>
    </row>
    <row r="914" spans="1:1" x14ac:dyDescent="0.2">
      <c r="A914" s="4"/>
    </row>
    <row r="915" spans="1:1" x14ac:dyDescent="0.2">
      <c r="A915" s="4"/>
    </row>
    <row r="916" spans="1:1" x14ac:dyDescent="0.2">
      <c r="A916" s="4"/>
    </row>
    <row r="917" spans="1:1" x14ac:dyDescent="0.2">
      <c r="A917" s="4"/>
    </row>
    <row r="918" spans="1:1" x14ac:dyDescent="0.2">
      <c r="A918" s="4"/>
    </row>
    <row r="919" spans="1:1" x14ac:dyDescent="0.2">
      <c r="A919" s="4"/>
    </row>
    <row r="920" spans="1:1" x14ac:dyDescent="0.2">
      <c r="A920" s="4"/>
    </row>
    <row r="921" spans="1:1" x14ac:dyDescent="0.2">
      <c r="A921" s="4"/>
    </row>
    <row r="922" spans="1:1" x14ac:dyDescent="0.2">
      <c r="A922" s="4"/>
    </row>
    <row r="923" spans="1:1" x14ac:dyDescent="0.2">
      <c r="A923" s="4"/>
    </row>
    <row r="924" spans="1:1" x14ac:dyDescent="0.2">
      <c r="A924" s="4"/>
    </row>
    <row r="925" spans="1:1" x14ac:dyDescent="0.2">
      <c r="A925" s="4"/>
    </row>
    <row r="926" spans="1:1" x14ac:dyDescent="0.2">
      <c r="A926" s="4"/>
    </row>
    <row r="927" spans="1:1" x14ac:dyDescent="0.2">
      <c r="A927" s="4"/>
    </row>
    <row r="928" spans="1:1" x14ac:dyDescent="0.2">
      <c r="A928" s="4"/>
    </row>
    <row r="929" spans="1:1" x14ac:dyDescent="0.2">
      <c r="A929" s="4"/>
    </row>
    <row r="930" spans="1:1" x14ac:dyDescent="0.2">
      <c r="A930" s="4"/>
    </row>
    <row r="931" spans="1:1" x14ac:dyDescent="0.2">
      <c r="A931" s="4"/>
    </row>
    <row r="932" spans="1:1" x14ac:dyDescent="0.2">
      <c r="A932" s="4"/>
    </row>
    <row r="933" spans="1:1" x14ac:dyDescent="0.2">
      <c r="A933" s="4"/>
    </row>
    <row r="934" spans="1:1" x14ac:dyDescent="0.2">
      <c r="A934" s="4"/>
    </row>
    <row r="935" spans="1:1" x14ac:dyDescent="0.2">
      <c r="A935" s="4"/>
    </row>
    <row r="936" spans="1:1" x14ac:dyDescent="0.2">
      <c r="A936" s="4"/>
    </row>
    <row r="937" spans="1:1" x14ac:dyDescent="0.2">
      <c r="A937" s="4"/>
    </row>
    <row r="938" spans="1:1" x14ac:dyDescent="0.2">
      <c r="A938" s="4"/>
    </row>
    <row r="939" spans="1:1" x14ac:dyDescent="0.2">
      <c r="A939" s="4"/>
    </row>
    <row r="940" spans="1:1" x14ac:dyDescent="0.2">
      <c r="A940" s="4"/>
    </row>
    <row r="941" spans="1:1" x14ac:dyDescent="0.2">
      <c r="A941" s="4"/>
    </row>
    <row r="942" spans="1:1" x14ac:dyDescent="0.2">
      <c r="A942" s="4"/>
    </row>
    <row r="943" spans="1:1" x14ac:dyDescent="0.2">
      <c r="A943" s="4"/>
    </row>
    <row r="944" spans="1:1" x14ac:dyDescent="0.2">
      <c r="A944" s="4"/>
    </row>
    <row r="945" spans="1:1" x14ac:dyDescent="0.2">
      <c r="A945" s="4"/>
    </row>
    <row r="946" spans="1:1" x14ac:dyDescent="0.2">
      <c r="A946" s="4"/>
    </row>
    <row r="947" spans="1:1" x14ac:dyDescent="0.2">
      <c r="A947" s="4"/>
    </row>
    <row r="948" spans="1:1" x14ac:dyDescent="0.2">
      <c r="A948" s="4"/>
    </row>
    <row r="949" spans="1:1" x14ac:dyDescent="0.2">
      <c r="A949" s="4"/>
    </row>
    <row r="950" spans="1:1" x14ac:dyDescent="0.2">
      <c r="A950" s="4"/>
    </row>
    <row r="951" spans="1:1" x14ac:dyDescent="0.2">
      <c r="A951" s="4"/>
    </row>
    <row r="952" spans="1:1" x14ac:dyDescent="0.2">
      <c r="A952" s="4"/>
    </row>
    <row r="953" spans="1:1" x14ac:dyDescent="0.2">
      <c r="A953" s="4"/>
    </row>
    <row r="954" spans="1:1" x14ac:dyDescent="0.2">
      <c r="A954" s="4"/>
    </row>
    <row r="955" spans="1:1" x14ac:dyDescent="0.2">
      <c r="A955" s="4"/>
    </row>
    <row r="956" spans="1:1" x14ac:dyDescent="0.2">
      <c r="A956" s="4"/>
    </row>
    <row r="957" spans="1:1" x14ac:dyDescent="0.2">
      <c r="A957" s="4"/>
    </row>
    <row r="958" spans="1:1" x14ac:dyDescent="0.2">
      <c r="A958" s="4"/>
    </row>
    <row r="959" spans="1:1" x14ac:dyDescent="0.2">
      <c r="A959" s="4"/>
    </row>
    <row r="960" spans="1:1" x14ac:dyDescent="0.2">
      <c r="A960" s="4"/>
    </row>
    <row r="961" spans="1:1" x14ac:dyDescent="0.2">
      <c r="A961" s="4"/>
    </row>
    <row r="962" spans="1:1" x14ac:dyDescent="0.2">
      <c r="A962" s="4"/>
    </row>
    <row r="963" spans="1:1" x14ac:dyDescent="0.2">
      <c r="A963" s="4"/>
    </row>
    <row r="964" spans="1:1" x14ac:dyDescent="0.2">
      <c r="A964" s="4"/>
    </row>
    <row r="965" spans="1:1" x14ac:dyDescent="0.2">
      <c r="A965" s="4"/>
    </row>
    <row r="966" spans="1:1" x14ac:dyDescent="0.2">
      <c r="A966" s="4"/>
    </row>
    <row r="967" spans="1:1" x14ac:dyDescent="0.2">
      <c r="A967" s="4"/>
    </row>
    <row r="968" spans="1:1" x14ac:dyDescent="0.2">
      <c r="A968" s="3"/>
    </row>
    <row r="969" spans="1:1" x14ac:dyDescent="0.2">
      <c r="A969" s="3"/>
    </row>
    <row r="970" spans="1:1" x14ac:dyDescent="0.2">
      <c r="A970" s="3"/>
    </row>
    <row r="971" spans="1:1" x14ac:dyDescent="0.2">
      <c r="A971" s="3"/>
    </row>
    <row r="972" spans="1:1" x14ac:dyDescent="0.2">
      <c r="A972" s="3"/>
    </row>
    <row r="973" spans="1:1" x14ac:dyDescent="0.2">
      <c r="A973" s="3"/>
    </row>
    <row r="974" spans="1:1" x14ac:dyDescent="0.2">
      <c r="A974" s="3"/>
    </row>
    <row r="975" spans="1:1" x14ac:dyDescent="0.2">
      <c r="A975" s="3"/>
    </row>
    <row r="976" spans="1:1" x14ac:dyDescent="0.2">
      <c r="A976" s="3"/>
    </row>
    <row r="977" spans="1:1" x14ac:dyDescent="0.2">
      <c r="A977" s="3"/>
    </row>
    <row r="978" spans="1:1" x14ac:dyDescent="0.2">
      <c r="A978" s="3"/>
    </row>
    <row r="979" spans="1:1" x14ac:dyDescent="0.2">
      <c r="A979" s="3"/>
    </row>
    <row r="980" spans="1:1" x14ac:dyDescent="0.2">
      <c r="A980" s="3"/>
    </row>
    <row r="981" spans="1:1" x14ac:dyDescent="0.2">
      <c r="A981" s="3"/>
    </row>
    <row r="982" spans="1:1" x14ac:dyDescent="0.2">
      <c r="A982" s="3"/>
    </row>
    <row r="983" spans="1:1" x14ac:dyDescent="0.2">
      <c r="A983" s="3"/>
    </row>
    <row r="984" spans="1:1" x14ac:dyDescent="0.2">
      <c r="A984" s="3"/>
    </row>
    <row r="985" spans="1:1" x14ac:dyDescent="0.2">
      <c r="A985" s="3"/>
    </row>
    <row r="986" spans="1:1" x14ac:dyDescent="0.2">
      <c r="A986" s="3"/>
    </row>
    <row r="987" spans="1:1" x14ac:dyDescent="0.2">
      <c r="A987" s="3"/>
    </row>
    <row r="988" spans="1:1" x14ac:dyDescent="0.2">
      <c r="A988" s="3"/>
    </row>
    <row r="989" spans="1:1" x14ac:dyDescent="0.2">
      <c r="A989" s="3"/>
    </row>
    <row r="990" spans="1:1" x14ac:dyDescent="0.2">
      <c r="A990" s="3"/>
    </row>
    <row r="991" spans="1:1" x14ac:dyDescent="0.2">
      <c r="A991" s="3"/>
    </row>
    <row r="992" spans="1:1" x14ac:dyDescent="0.2">
      <c r="A992" s="3"/>
    </row>
    <row r="993" spans="1:1" x14ac:dyDescent="0.2">
      <c r="A993" s="3"/>
    </row>
    <row r="994" spans="1:1" x14ac:dyDescent="0.2">
      <c r="A994" s="3"/>
    </row>
    <row r="995" spans="1:1" x14ac:dyDescent="0.2">
      <c r="A995" s="3"/>
    </row>
    <row r="996" spans="1:1" x14ac:dyDescent="0.2">
      <c r="A996" s="3"/>
    </row>
    <row r="997" spans="1:1" x14ac:dyDescent="0.2">
      <c r="A997" s="3"/>
    </row>
    <row r="998" spans="1:1" x14ac:dyDescent="0.2">
      <c r="A998" s="3"/>
    </row>
    <row r="999" spans="1:1" x14ac:dyDescent="0.2">
      <c r="A999" s="3"/>
    </row>
    <row r="1000" spans="1:1" x14ac:dyDescent="0.2">
      <c r="A1000" s="3"/>
    </row>
    <row r="1001" spans="1:1" x14ac:dyDescent="0.2">
      <c r="A1001" s="3"/>
    </row>
    <row r="1002" spans="1:1" x14ac:dyDescent="0.2">
      <c r="A1002" s="3"/>
    </row>
    <row r="1003" spans="1:1" x14ac:dyDescent="0.2">
      <c r="A1003" s="3"/>
    </row>
    <row r="1004" spans="1:1" x14ac:dyDescent="0.2">
      <c r="A1004" s="3"/>
    </row>
    <row r="1005" spans="1:1" x14ac:dyDescent="0.2">
      <c r="A1005" s="3"/>
    </row>
    <row r="1006" spans="1:1" x14ac:dyDescent="0.2">
      <c r="A1006" s="3"/>
    </row>
    <row r="1007" spans="1:1" x14ac:dyDescent="0.2">
      <c r="A1007" s="3"/>
    </row>
    <row r="1008" spans="1:1" x14ac:dyDescent="0.2">
      <c r="A1008" s="3"/>
    </row>
    <row r="1009" spans="1:1" x14ac:dyDescent="0.2">
      <c r="A1009" s="3"/>
    </row>
    <row r="1010" spans="1:1" x14ac:dyDescent="0.2">
      <c r="A1010" s="3"/>
    </row>
    <row r="1011" spans="1:1" x14ac:dyDescent="0.2">
      <c r="A1011" s="3"/>
    </row>
    <row r="1012" spans="1:1" x14ac:dyDescent="0.2">
      <c r="A1012" s="3"/>
    </row>
    <row r="1013" spans="1:1" x14ac:dyDescent="0.2">
      <c r="A1013" s="3"/>
    </row>
    <row r="1014" spans="1:1" x14ac:dyDescent="0.2">
      <c r="A1014" s="3"/>
    </row>
    <row r="1015" spans="1:1" x14ac:dyDescent="0.2">
      <c r="A1015" s="3"/>
    </row>
    <row r="1016" spans="1:1" x14ac:dyDescent="0.2">
      <c r="A1016" s="3"/>
    </row>
    <row r="1017" spans="1:1" x14ac:dyDescent="0.2">
      <c r="A1017" s="3"/>
    </row>
    <row r="1018" spans="1:1" x14ac:dyDescent="0.2">
      <c r="A1018" s="3"/>
    </row>
    <row r="1019" spans="1:1" x14ac:dyDescent="0.2">
      <c r="A1019" s="3"/>
    </row>
    <row r="1020" spans="1:1" x14ac:dyDescent="0.2">
      <c r="A1020" s="3"/>
    </row>
    <row r="1021" spans="1:1" x14ac:dyDescent="0.2">
      <c r="A1021" s="3"/>
    </row>
    <row r="1022" spans="1:1" x14ac:dyDescent="0.2">
      <c r="A1022" s="3"/>
    </row>
    <row r="1023" spans="1:1" x14ac:dyDescent="0.2">
      <c r="A1023" s="3"/>
    </row>
    <row r="1024" spans="1:1" x14ac:dyDescent="0.2">
      <c r="A1024" s="3"/>
    </row>
    <row r="1025" spans="1:1" x14ac:dyDescent="0.2">
      <c r="A1025" s="3"/>
    </row>
    <row r="1026" spans="1:1" x14ac:dyDescent="0.2">
      <c r="A1026" s="3"/>
    </row>
    <row r="1027" spans="1:1" x14ac:dyDescent="0.2">
      <c r="A1027" s="3"/>
    </row>
    <row r="1028" spans="1:1" x14ac:dyDescent="0.2">
      <c r="A1028" s="3"/>
    </row>
    <row r="1029" spans="1:1" x14ac:dyDescent="0.2">
      <c r="A1029" s="3"/>
    </row>
    <row r="1030" spans="1:1" x14ac:dyDescent="0.2">
      <c r="A1030" s="3"/>
    </row>
    <row r="1031" spans="1:1" x14ac:dyDescent="0.2">
      <c r="A1031" s="3"/>
    </row>
    <row r="1032" spans="1:1" x14ac:dyDescent="0.2">
      <c r="A1032" s="3"/>
    </row>
    <row r="1033" spans="1:1" x14ac:dyDescent="0.2">
      <c r="A1033" s="3"/>
    </row>
    <row r="1034" spans="1:1" x14ac:dyDescent="0.2">
      <c r="A1034" s="3"/>
    </row>
    <row r="1035" spans="1:1" x14ac:dyDescent="0.2">
      <c r="A1035" s="3"/>
    </row>
    <row r="1036" spans="1:1" x14ac:dyDescent="0.2">
      <c r="A1036" s="3"/>
    </row>
    <row r="1037" spans="1:1" x14ac:dyDescent="0.2">
      <c r="A1037" s="3"/>
    </row>
    <row r="1038" spans="1:1" x14ac:dyDescent="0.2">
      <c r="A1038" s="3"/>
    </row>
    <row r="1039" spans="1:1" x14ac:dyDescent="0.2">
      <c r="A1039" s="3"/>
    </row>
    <row r="1040" spans="1:1" x14ac:dyDescent="0.2">
      <c r="A1040" s="3"/>
    </row>
    <row r="1041" spans="1:1" x14ac:dyDescent="0.2">
      <c r="A1041" s="3"/>
    </row>
    <row r="1042" spans="1:1" x14ac:dyDescent="0.2">
      <c r="A1042" s="3"/>
    </row>
    <row r="1043" spans="1:1" x14ac:dyDescent="0.2">
      <c r="A1043" s="3"/>
    </row>
    <row r="1044" spans="1:1" x14ac:dyDescent="0.2">
      <c r="A1044" s="3"/>
    </row>
    <row r="1045" spans="1:1" x14ac:dyDescent="0.2">
      <c r="A1045" s="3"/>
    </row>
    <row r="1046" spans="1:1" x14ac:dyDescent="0.2">
      <c r="A1046" s="3"/>
    </row>
    <row r="1047" spans="1:1" x14ac:dyDescent="0.2">
      <c r="A1047" s="3"/>
    </row>
    <row r="1048" spans="1:1" x14ac:dyDescent="0.2">
      <c r="A1048" s="3"/>
    </row>
    <row r="1049" spans="1:1" x14ac:dyDescent="0.2">
      <c r="A1049" s="3"/>
    </row>
    <row r="1050" spans="1:1" x14ac:dyDescent="0.2">
      <c r="A1050" s="3"/>
    </row>
    <row r="1051" spans="1:1" x14ac:dyDescent="0.2">
      <c r="A1051" s="3"/>
    </row>
    <row r="1052" spans="1:1" x14ac:dyDescent="0.2">
      <c r="A1052" s="3"/>
    </row>
    <row r="1053" spans="1:1" x14ac:dyDescent="0.2">
      <c r="A1053" s="3"/>
    </row>
    <row r="1054" spans="1:1" x14ac:dyDescent="0.2">
      <c r="A1054" s="3"/>
    </row>
    <row r="1055" spans="1:1" x14ac:dyDescent="0.2">
      <c r="A1055" s="3"/>
    </row>
    <row r="1056" spans="1:1" x14ac:dyDescent="0.2">
      <c r="A1056" s="3"/>
    </row>
    <row r="1057" spans="1:1" x14ac:dyDescent="0.2">
      <c r="A1057" s="3"/>
    </row>
    <row r="1058" spans="1:1" x14ac:dyDescent="0.2">
      <c r="A1058" s="3"/>
    </row>
    <row r="1059" spans="1:1" x14ac:dyDescent="0.2">
      <c r="A1059" s="3"/>
    </row>
    <row r="1060" spans="1:1" x14ac:dyDescent="0.2">
      <c r="A1060" s="3"/>
    </row>
    <row r="1061" spans="1:1" x14ac:dyDescent="0.2">
      <c r="A1061" s="3"/>
    </row>
    <row r="1062" spans="1:1" x14ac:dyDescent="0.2">
      <c r="A1062" s="3"/>
    </row>
    <row r="1063" spans="1:1" x14ac:dyDescent="0.2">
      <c r="A1063" s="3"/>
    </row>
    <row r="1064" spans="1:1" x14ac:dyDescent="0.2">
      <c r="A1064" s="3"/>
    </row>
    <row r="1065" spans="1:1" x14ac:dyDescent="0.2">
      <c r="A1065" s="3"/>
    </row>
    <row r="1066" spans="1:1" x14ac:dyDescent="0.2">
      <c r="A1066" s="3"/>
    </row>
    <row r="1067" spans="1:1" x14ac:dyDescent="0.2">
      <c r="A1067" s="3"/>
    </row>
    <row r="1068" spans="1:1" x14ac:dyDescent="0.2">
      <c r="A1068" s="3"/>
    </row>
    <row r="1069" spans="1:1" x14ac:dyDescent="0.2">
      <c r="A1069" s="3"/>
    </row>
    <row r="1070" spans="1:1" x14ac:dyDescent="0.2">
      <c r="A1070" s="3"/>
    </row>
    <row r="1071" spans="1:1" x14ac:dyDescent="0.2">
      <c r="A1071" s="3"/>
    </row>
    <row r="1072" spans="1:1" x14ac:dyDescent="0.2">
      <c r="A1072" s="3"/>
    </row>
    <row r="1073" spans="1:1" x14ac:dyDescent="0.2">
      <c r="A1073" s="3"/>
    </row>
    <row r="1074" spans="1:1" x14ac:dyDescent="0.2">
      <c r="A1074" s="3"/>
    </row>
    <row r="1075" spans="1:1" x14ac:dyDescent="0.2">
      <c r="A1075" s="3"/>
    </row>
    <row r="1076" spans="1:1" x14ac:dyDescent="0.2">
      <c r="A1076" s="3"/>
    </row>
    <row r="1077" spans="1:1" x14ac:dyDescent="0.2">
      <c r="A1077" s="3"/>
    </row>
    <row r="1078" spans="1:1" x14ac:dyDescent="0.2">
      <c r="A1078" s="3"/>
    </row>
    <row r="1079" spans="1:1" x14ac:dyDescent="0.2">
      <c r="A1079" s="3"/>
    </row>
    <row r="1080" spans="1:1" x14ac:dyDescent="0.2">
      <c r="A1080" s="3"/>
    </row>
    <row r="1081" spans="1:1" x14ac:dyDescent="0.2">
      <c r="A1081" s="3"/>
    </row>
    <row r="1082" spans="1:1" x14ac:dyDescent="0.2">
      <c r="A1082" s="3"/>
    </row>
    <row r="1083" spans="1:1" x14ac:dyDescent="0.2">
      <c r="A1083" s="3"/>
    </row>
    <row r="1084" spans="1:1" x14ac:dyDescent="0.2">
      <c r="A1084" s="3"/>
    </row>
    <row r="1085" spans="1:1" x14ac:dyDescent="0.2">
      <c r="A1085" s="3"/>
    </row>
    <row r="1086" spans="1:1" x14ac:dyDescent="0.2">
      <c r="A1086" s="3"/>
    </row>
    <row r="1087" spans="1:1" x14ac:dyDescent="0.2">
      <c r="A1087" s="3"/>
    </row>
    <row r="1088" spans="1:1" x14ac:dyDescent="0.2">
      <c r="A1088" s="3"/>
    </row>
    <row r="1089" spans="1:1" x14ac:dyDescent="0.2">
      <c r="A1089" s="3"/>
    </row>
    <row r="1090" spans="1:1" x14ac:dyDescent="0.2">
      <c r="A1090" s="3"/>
    </row>
    <row r="1091" spans="1:1" x14ac:dyDescent="0.2">
      <c r="A1091" s="3"/>
    </row>
    <row r="1092" spans="1:1" x14ac:dyDescent="0.2">
      <c r="A1092" s="3"/>
    </row>
    <row r="1093" spans="1:1" x14ac:dyDescent="0.2">
      <c r="A1093" s="3"/>
    </row>
    <row r="1094" spans="1:1" x14ac:dyDescent="0.2">
      <c r="A1094" s="3"/>
    </row>
    <row r="1095" spans="1:1" x14ac:dyDescent="0.2">
      <c r="A1095" s="3"/>
    </row>
    <row r="1096" spans="1:1" x14ac:dyDescent="0.2">
      <c r="A1096" s="3"/>
    </row>
    <row r="1097" spans="1:1" x14ac:dyDescent="0.2">
      <c r="A1097" s="3"/>
    </row>
    <row r="1098" spans="1:1" x14ac:dyDescent="0.2">
      <c r="A1098" s="3"/>
    </row>
    <row r="1099" spans="1:1" x14ac:dyDescent="0.2">
      <c r="A1099" s="3"/>
    </row>
    <row r="1100" spans="1:1" x14ac:dyDescent="0.2">
      <c r="A1100" s="3"/>
    </row>
    <row r="1101" spans="1:1" x14ac:dyDescent="0.2">
      <c r="A1101" s="3"/>
    </row>
    <row r="1102" spans="1:1" x14ac:dyDescent="0.2">
      <c r="A1102" s="3"/>
    </row>
    <row r="1103" spans="1:1" x14ac:dyDescent="0.2">
      <c r="A1103" s="3"/>
    </row>
    <row r="1104" spans="1:1" x14ac:dyDescent="0.2">
      <c r="A1104" s="3"/>
    </row>
    <row r="1105" spans="1:1" x14ac:dyDescent="0.2">
      <c r="A1105" s="3"/>
    </row>
    <row r="1106" spans="1:1" x14ac:dyDescent="0.2">
      <c r="A1106" s="3"/>
    </row>
    <row r="1107" spans="1:1" x14ac:dyDescent="0.2">
      <c r="A1107" s="3"/>
    </row>
    <row r="1108" spans="1:1" x14ac:dyDescent="0.2">
      <c r="A1108" s="3"/>
    </row>
    <row r="1109" spans="1:1" x14ac:dyDescent="0.2">
      <c r="A1109" s="3"/>
    </row>
    <row r="1110" spans="1:1" x14ac:dyDescent="0.2">
      <c r="A1110" s="3"/>
    </row>
    <row r="1111" spans="1:1" x14ac:dyDescent="0.2">
      <c r="A1111" s="3"/>
    </row>
    <row r="1112" spans="1:1" x14ac:dyDescent="0.2">
      <c r="A1112" s="3"/>
    </row>
    <row r="1113" spans="1:1" x14ac:dyDescent="0.2">
      <c r="A1113" s="3"/>
    </row>
    <row r="1114" spans="1:1" x14ac:dyDescent="0.2">
      <c r="A1114" s="3"/>
    </row>
    <row r="1115" spans="1:1" x14ac:dyDescent="0.2">
      <c r="A1115" s="3"/>
    </row>
    <row r="1116" spans="1:1" x14ac:dyDescent="0.2">
      <c r="A1116" s="3"/>
    </row>
    <row r="1117" spans="1:1" x14ac:dyDescent="0.2">
      <c r="A1117" s="3"/>
    </row>
    <row r="1118" spans="1:1" x14ac:dyDescent="0.2">
      <c r="A1118" s="3"/>
    </row>
    <row r="1119" spans="1:1" x14ac:dyDescent="0.2">
      <c r="A1119" s="3"/>
    </row>
    <row r="1120" spans="1:1" x14ac:dyDescent="0.2">
      <c r="A1120" s="3"/>
    </row>
    <row r="1121" spans="1:1" x14ac:dyDescent="0.2">
      <c r="A1121" s="3"/>
    </row>
    <row r="1122" spans="1:1" x14ac:dyDescent="0.2">
      <c r="A1122" s="3"/>
    </row>
    <row r="1123" spans="1:1" x14ac:dyDescent="0.2">
      <c r="A1123" s="3"/>
    </row>
    <row r="1124" spans="1:1" x14ac:dyDescent="0.2">
      <c r="A1124" s="3"/>
    </row>
    <row r="1125" spans="1:1" x14ac:dyDescent="0.2">
      <c r="A1125" s="3"/>
    </row>
    <row r="1126" spans="1:1" x14ac:dyDescent="0.2">
      <c r="A1126" s="3"/>
    </row>
    <row r="1127" spans="1:1" x14ac:dyDescent="0.2">
      <c r="A1127" s="3"/>
    </row>
    <row r="1128" spans="1:1" x14ac:dyDescent="0.2">
      <c r="A1128" s="3"/>
    </row>
    <row r="1129" spans="1:1" x14ac:dyDescent="0.2">
      <c r="A1129" s="3"/>
    </row>
    <row r="1130" spans="1:1" x14ac:dyDescent="0.2">
      <c r="A1130" s="3"/>
    </row>
    <row r="1131" spans="1:1" x14ac:dyDescent="0.2">
      <c r="A1131" s="3"/>
    </row>
    <row r="1132" spans="1:1" x14ac:dyDescent="0.2">
      <c r="A1132" s="3"/>
    </row>
    <row r="1133" spans="1:1" x14ac:dyDescent="0.2">
      <c r="A1133" s="3"/>
    </row>
    <row r="1134" spans="1:1" x14ac:dyDescent="0.2">
      <c r="A1134" s="3"/>
    </row>
    <row r="1135" spans="1:1" x14ac:dyDescent="0.2">
      <c r="A1135" s="3"/>
    </row>
    <row r="1136" spans="1:1" x14ac:dyDescent="0.2">
      <c r="A1136" s="3"/>
    </row>
    <row r="1137" spans="1:1" x14ac:dyDescent="0.2">
      <c r="A1137" s="3"/>
    </row>
    <row r="1138" spans="1:1" x14ac:dyDescent="0.2">
      <c r="A1138" s="3"/>
    </row>
    <row r="1139" spans="1:1" x14ac:dyDescent="0.2">
      <c r="A1139" s="3"/>
    </row>
    <row r="1140" spans="1:1" x14ac:dyDescent="0.2">
      <c r="A1140" s="3"/>
    </row>
    <row r="1141" spans="1:1" x14ac:dyDescent="0.2">
      <c r="A1141" s="3"/>
    </row>
    <row r="1142" spans="1:1" x14ac:dyDescent="0.2">
      <c r="A1142" s="3"/>
    </row>
    <row r="1143" spans="1:1" x14ac:dyDescent="0.2">
      <c r="A1143" s="3"/>
    </row>
    <row r="1144" spans="1:1" x14ac:dyDescent="0.2">
      <c r="A1144" s="3"/>
    </row>
    <row r="1145" spans="1:1" x14ac:dyDescent="0.2">
      <c r="A1145" s="3"/>
    </row>
    <row r="1146" spans="1:1" x14ac:dyDescent="0.2">
      <c r="A1146" s="3"/>
    </row>
    <row r="1147" spans="1:1" x14ac:dyDescent="0.2">
      <c r="A1147" s="3"/>
    </row>
    <row r="1148" spans="1:1" x14ac:dyDescent="0.2">
      <c r="A1148" s="3"/>
    </row>
    <row r="1149" spans="1:1" x14ac:dyDescent="0.2">
      <c r="A1149" s="3"/>
    </row>
    <row r="1150" spans="1:1" x14ac:dyDescent="0.2">
      <c r="A1150" s="3"/>
    </row>
    <row r="1151" spans="1:1" x14ac:dyDescent="0.2">
      <c r="A1151" s="3"/>
    </row>
    <row r="1152" spans="1:1" x14ac:dyDescent="0.2">
      <c r="A1152" s="3"/>
    </row>
    <row r="1153" spans="1:1" x14ac:dyDescent="0.2">
      <c r="A1153" s="3"/>
    </row>
    <row r="1154" spans="1:1" x14ac:dyDescent="0.2">
      <c r="A1154" s="3"/>
    </row>
    <row r="1155" spans="1:1" x14ac:dyDescent="0.2">
      <c r="A1155" s="3"/>
    </row>
    <row r="1156" spans="1:1" x14ac:dyDescent="0.2">
      <c r="A1156" s="3"/>
    </row>
    <row r="1157" spans="1:1" x14ac:dyDescent="0.2">
      <c r="A1157" s="3"/>
    </row>
    <row r="1158" spans="1:1" x14ac:dyDescent="0.2">
      <c r="A1158" s="3"/>
    </row>
    <row r="1159" spans="1:1" x14ac:dyDescent="0.2">
      <c r="A1159" s="3"/>
    </row>
    <row r="1160" spans="1:1" x14ac:dyDescent="0.2">
      <c r="A1160" s="3"/>
    </row>
    <row r="1161" spans="1:1" x14ac:dyDescent="0.2">
      <c r="A1161" s="3"/>
    </row>
    <row r="1162" spans="1:1" x14ac:dyDescent="0.2">
      <c r="A1162" s="3"/>
    </row>
    <row r="1163" spans="1:1" x14ac:dyDescent="0.2">
      <c r="A1163" s="3"/>
    </row>
    <row r="1164" spans="1:1" x14ac:dyDescent="0.2">
      <c r="A1164" s="3"/>
    </row>
    <row r="1165" spans="1:1" x14ac:dyDescent="0.2">
      <c r="A1165" s="3"/>
    </row>
    <row r="1166" spans="1:1" x14ac:dyDescent="0.2">
      <c r="A1166" s="3"/>
    </row>
    <row r="1167" spans="1:1" x14ac:dyDescent="0.2">
      <c r="A1167" s="3"/>
    </row>
    <row r="1168" spans="1:1" x14ac:dyDescent="0.2">
      <c r="A1168" s="3"/>
    </row>
    <row r="1169" spans="1:1" x14ac:dyDescent="0.2">
      <c r="A1169" s="3"/>
    </row>
    <row r="1170" spans="1:1" x14ac:dyDescent="0.2">
      <c r="A1170" s="3"/>
    </row>
    <row r="1171" spans="1:1" x14ac:dyDescent="0.2">
      <c r="A1171" s="3"/>
    </row>
    <row r="1172" spans="1:1" x14ac:dyDescent="0.2">
      <c r="A1172" s="3"/>
    </row>
    <row r="1173" spans="1:1" x14ac:dyDescent="0.2">
      <c r="A1173" s="3"/>
    </row>
    <row r="1174" spans="1:1" x14ac:dyDescent="0.2">
      <c r="A1174" s="3"/>
    </row>
    <row r="1175" spans="1:1" x14ac:dyDescent="0.2">
      <c r="A1175" s="3"/>
    </row>
    <row r="1176" spans="1:1" x14ac:dyDescent="0.2">
      <c r="A1176" s="3"/>
    </row>
    <row r="1177" spans="1:1" x14ac:dyDescent="0.2">
      <c r="A1177" s="3"/>
    </row>
    <row r="1178" spans="1:1" x14ac:dyDescent="0.2">
      <c r="A1178" s="3"/>
    </row>
    <row r="1179" spans="1:1" x14ac:dyDescent="0.2">
      <c r="A1179" s="3"/>
    </row>
    <row r="1180" spans="1:1" x14ac:dyDescent="0.2">
      <c r="A1180" s="3"/>
    </row>
    <row r="1181" spans="1:1" x14ac:dyDescent="0.2">
      <c r="A1181" s="3"/>
    </row>
    <row r="1182" spans="1:1" x14ac:dyDescent="0.2">
      <c r="A1182" s="3"/>
    </row>
    <row r="1183" spans="1:1" x14ac:dyDescent="0.2">
      <c r="A1183" s="3"/>
    </row>
    <row r="1184" spans="1:1" x14ac:dyDescent="0.2">
      <c r="A1184" s="3"/>
    </row>
    <row r="1185" spans="1:1" x14ac:dyDescent="0.2">
      <c r="A1185" s="3"/>
    </row>
    <row r="1186" spans="1:1" x14ac:dyDescent="0.2">
      <c r="A1186" s="3"/>
    </row>
    <row r="1187" spans="1:1" x14ac:dyDescent="0.2">
      <c r="A1187" s="3"/>
    </row>
    <row r="1188" spans="1:1" x14ac:dyDescent="0.2">
      <c r="A1188" s="3"/>
    </row>
    <row r="1189" spans="1:1" x14ac:dyDescent="0.2">
      <c r="A1189" s="3"/>
    </row>
    <row r="1190" spans="1:1" x14ac:dyDescent="0.2">
      <c r="A1190" s="3"/>
    </row>
    <row r="1191" spans="1:1" x14ac:dyDescent="0.2">
      <c r="A1191" s="3"/>
    </row>
    <row r="1192" spans="1:1" x14ac:dyDescent="0.2">
      <c r="A1192" s="3"/>
    </row>
    <row r="1193" spans="1:1" x14ac:dyDescent="0.2">
      <c r="A1193" s="3"/>
    </row>
    <row r="1194" spans="1:1" x14ac:dyDescent="0.2">
      <c r="A1194" s="3"/>
    </row>
    <row r="1195" spans="1:1" x14ac:dyDescent="0.2">
      <c r="A1195" s="3"/>
    </row>
    <row r="1196" spans="1:1" x14ac:dyDescent="0.2">
      <c r="A1196" s="3"/>
    </row>
    <row r="1197" spans="1:1" x14ac:dyDescent="0.2">
      <c r="A1197" s="3"/>
    </row>
    <row r="1198" spans="1:1" x14ac:dyDescent="0.2">
      <c r="A1198" s="3"/>
    </row>
    <row r="1199" spans="1:1" x14ac:dyDescent="0.2">
      <c r="A1199" s="3"/>
    </row>
    <row r="1200" spans="1:1" x14ac:dyDescent="0.2">
      <c r="A1200" s="3"/>
    </row>
    <row r="1201" spans="1:1" x14ac:dyDescent="0.2">
      <c r="A1201" s="3"/>
    </row>
    <row r="1202" spans="1:1" x14ac:dyDescent="0.2">
      <c r="A1202" s="3"/>
    </row>
    <row r="1203" spans="1:1" x14ac:dyDescent="0.2">
      <c r="A1203" s="3"/>
    </row>
    <row r="1204" spans="1:1" x14ac:dyDescent="0.2">
      <c r="A1204" s="3"/>
    </row>
    <row r="1205" spans="1:1" x14ac:dyDescent="0.2">
      <c r="A1205" s="3"/>
    </row>
    <row r="1206" spans="1:1" x14ac:dyDescent="0.2">
      <c r="A1206" s="3"/>
    </row>
    <row r="1207" spans="1:1" x14ac:dyDescent="0.2">
      <c r="A1207" s="3"/>
    </row>
    <row r="1208" spans="1:1" x14ac:dyDescent="0.2">
      <c r="A1208" s="3"/>
    </row>
    <row r="1209" spans="1:1" x14ac:dyDescent="0.2">
      <c r="A1209" s="3"/>
    </row>
    <row r="1210" spans="1:1" x14ac:dyDescent="0.2">
      <c r="A1210" s="3"/>
    </row>
    <row r="1211" spans="1:1" x14ac:dyDescent="0.2">
      <c r="A1211" s="3"/>
    </row>
    <row r="1212" spans="1:1" x14ac:dyDescent="0.2">
      <c r="A1212" s="3"/>
    </row>
    <row r="1213" spans="1:1" x14ac:dyDescent="0.2">
      <c r="A1213" s="3"/>
    </row>
    <row r="1214" spans="1:1" x14ac:dyDescent="0.2">
      <c r="A1214" s="3"/>
    </row>
    <row r="1215" spans="1:1" x14ac:dyDescent="0.2">
      <c r="A1215" s="3"/>
    </row>
    <row r="1216" spans="1:1" x14ac:dyDescent="0.2">
      <c r="A1216" s="3"/>
    </row>
    <row r="1217" spans="1:1" x14ac:dyDescent="0.2">
      <c r="A1217" s="3"/>
    </row>
    <row r="1218" spans="1:1" x14ac:dyDescent="0.2">
      <c r="A1218" s="3"/>
    </row>
    <row r="1219" spans="1:1" x14ac:dyDescent="0.2">
      <c r="A1219" s="3"/>
    </row>
    <row r="1220" spans="1:1" x14ac:dyDescent="0.2">
      <c r="A1220" s="3"/>
    </row>
    <row r="1221" spans="1:1" x14ac:dyDescent="0.2">
      <c r="A1221" s="3"/>
    </row>
    <row r="1222" spans="1:1" x14ac:dyDescent="0.2">
      <c r="A1222" s="3"/>
    </row>
    <row r="1223" spans="1:1" x14ac:dyDescent="0.2">
      <c r="A1223" s="3"/>
    </row>
    <row r="1224" spans="1:1" x14ac:dyDescent="0.2">
      <c r="A1224" s="3"/>
    </row>
    <row r="1225" spans="1:1" x14ac:dyDescent="0.2">
      <c r="A1225" s="3"/>
    </row>
    <row r="1226" spans="1:1" x14ac:dyDescent="0.2">
      <c r="A1226" s="3"/>
    </row>
    <row r="1227" spans="1:1" x14ac:dyDescent="0.2">
      <c r="A1227" s="3"/>
    </row>
    <row r="1228" spans="1:1" x14ac:dyDescent="0.2">
      <c r="A1228" s="3"/>
    </row>
    <row r="1229" spans="1:1" x14ac:dyDescent="0.2">
      <c r="A1229" s="3"/>
    </row>
    <row r="1230" spans="1:1" x14ac:dyDescent="0.2">
      <c r="A1230" s="3"/>
    </row>
    <row r="1231" spans="1:1" x14ac:dyDescent="0.2">
      <c r="A1231" s="3"/>
    </row>
    <row r="1232" spans="1:1" x14ac:dyDescent="0.2">
      <c r="A1232" s="3"/>
    </row>
    <row r="1233" spans="1:1" x14ac:dyDescent="0.2">
      <c r="A1233" s="3"/>
    </row>
    <row r="1234" spans="1:1" x14ac:dyDescent="0.2">
      <c r="A1234" s="3"/>
    </row>
    <row r="1235" spans="1:1" x14ac:dyDescent="0.2">
      <c r="A1235" s="3"/>
    </row>
    <row r="1236" spans="1:1" x14ac:dyDescent="0.2">
      <c r="A1236" s="3"/>
    </row>
    <row r="1237" spans="1:1" x14ac:dyDescent="0.2">
      <c r="A1237" s="3"/>
    </row>
    <row r="1238" spans="1:1" x14ac:dyDescent="0.2">
      <c r="A1238" s="3"/>
    </row>
    <row r="1239" spans="1:1" x14ac:dyDescent="0.2">
      <c r="A1239" s="3"/>
    </row>
    <row r="1240" spans="1:1" x14ac:dyDescent="0.2">
      <c r="A1240" s="3"/>
    </row>
    <row r="1241" spans="1:1" x14ac:dyDescent="0.2">
      <c r="A1241" s="3"/>
    </row>
    <row r="1242" spans="1:1" x14ac:dyDescent="0.2">
      <c r="A1242" s="3"/>
    </row>
    <row r="1243" spans="1:1" x14ac:dyDescent="0.2">
      <c r="A1243" s="3"/>
    </row>
    <row r="1244" spans="1:1" x14ac:dyDescent="0.2">
      <c r="A1244" s="3"/>
    </row>
    <row r="1245" spans="1:1" x14ac:dyDescent="0.2">
      <c r="A1245" s="3"/>
    </row>
    <row r="1246" spans="1:1" x14ac:dyDescent="0.2">
      <c r="A1246" s="3"/>
    </row>
    <row r="1247" spans="1:1" x14ac:dyDescent="0.2">
      <c r="A1247" s="3"/>
    </row>
    <row r="1248" spans="1:1" x14ac:dyDescent="0.2">
      <c r="A1248" s="3"/>
    </row>
    <row r="1249" spans="1:1" x14ac:dyDescent="0.2">
      <c r="A1249" s="3"/>
    </row>
    <row r="1250" spans="1:1" x14ac:dyDescent="0.2">
      <c r="A1250" s="3"/>
    </row>
    <row r="1251" spans="1:1" x14ac:dyDescent="0.2">
      <c r="A1251" s="3"/>
    </row>
    <row r="1252" spans="1:1" x14ac:dyDescent="0.2">
      <c r="A1252" s="3"/>
    </row>
    <row r="1253" spans="1:1" x14ac:dyDescent="0.2">
      <c r="A1253" s="3"/>
    </row>
    <row r="1254" spans="1:1" x14ac:dyDescent="0.2">
      <c r="A1254" s="3"/>
    </row>
    <row r="1255" spans="1:1" x14ac:dyDescent="0.2">
      <c r="A1255" s="3"/>
    </row>
    <row r="1256" spans="1:1" x14ac:dyDescent="0.2">
      <c r="A1256" s="3"/>
    </row>
    <row r="1257" spans="1:1" x14ac:dyDescent="0.2">
      <c r="A1257" s="3"/>
    </row>
    <row r="1258" spans="1:1" x14ac:dyDescent="0.2">
      <c r="A1258" s="3"/>
    </row>
    <row r="1259" spans="1:1" x14ac:dyDescent="0.2">
      <c r="A1259" s="3"/>
    </row>
    <row r="1260" spans="1:1" x14ac:dyDescent="0.2">
      <c r="A1260" s="3"/>
    </row>
    <row r="1261" spans="1:1" x14ac:dyDescent="0.2">
      <c r="A1261" s="3"/>
    </row>
    <row r="1262" spans="1:1" x14ac:dyDescent="0.2">
      <c r="A1262" s="3"/>
    </row>
    <row r="1263" spans="1:1" x14ac:dyDescent="0.2">
      <c r="A1263" s="3"/>
    </row>
    <row r="1264" spans="1:1" x14ac:dyDescent="0.2">
      <c r="A1264" s="3"/>
    </row>
    <row r="1265" spans="1:1" x14ac:dyDescent="0.2">
      <c r="A1265" s="3"/>
    </row>
    <row r="1266" spans="1:1" x14ac:dyDescent="0.2">
      <c r="A1266" s="3"/>
    </row>
    <row r="1267" spans="1:1" x14ac:dyDescent="0.2">
      <c r="A1267" s="3"/>
    </row>
    <row r="1268" spans="1:1" x14ac:dyDescent="0.2">
      <c r="A1268" s="3"/>
    </row>
    <row r="1269" spans="1:1" x14ac:dyDescent="0.2">
      <c r="A1269" s="3"/>
    </row>
    <row r="1270" spans="1:1" x14ac:dyDescent="0.2">
      <c r="A1270" s="3"/>
    </row>
    <row r="1271" spans="1:1" x14ac:dyDescent="0.2">
      <c r="A1271" s="3"/>
    </row>
    <row r="1272" spans="1:1" x14ac:dyDescent="0.2">
      <c r="A1272" s="6"/>
    </row>
    <row r="1273" spans="1:1" x14ac:dyDescent="0.2">
      <c r="A1273" s="3"/>
    </row>
    <row r="1274" spans="1:1" x14ac:dyDescent="0.2">
      <c r="A1274" s="3"/>
    </row>
    <row r="1275" spans="1:1" x14ac:dyDescent="0.2">
      <c r="A1275" s="3"/>
    </row>
    <row r="1276" spans="1:1" x14ac:dyDescent="0.2">
      <c r="A1276" s="3"/>
    </row>
    <row r="1277" spans="1:1" x14ac:dyDescent="0.2">
      <c r="A1277" s="3"/>
    </row>
    <row r="1278" spans="1:1" x14ac:dyDescent="0.2">
      <c r="A1278" s="3"/>
    </row>
    <row r="1279" spans="1:1" x14ac:dyDescent="0.2">
      <c r="A1279" s="3"/>
    </row>
    <row r="1280" spans="1:1" x14ac:dyDescent="0.2">
      <c r="A1280" s="3"/>
    </row>
    <row r="1281" spans="1:1" x14ac:dyDescent="0.2">
      <c r="A1281" s="3"/>
    </row>
    <row r="1282" spans="1:1" x14ac:dyDescent="0.2">
      <c r="A1282" s="3"/>
    </row>
    <row r="1283" spans="1:1" x14ac:dyDescent="0.2">
      <c r="A1283" s="3"/>
    </row>
    <row r="1284" spans="1:1" x14ac:dyDescent="0.2">
      <c r="A1284" s="3"/>
    </row>
    <row r="1285" spans="1:1" x14ac:dyDescent="0.2">
      <c r="A1285" s="3"/>
    </row>
    <row r="1286" spans="1:1" x14ac:dyDescent="0.2">
      <c r="A1286" s="3"/>
    </row>
    <row r="1287" spans="1:1" x14ac:dyDescent="0.2">
      <c r="A1287" s="3"/>
    </row>
    <row r="1288" spans="1:1" x14ac:dyDescent="0.2">
      <c r="A1288" s="3"/>
    </row>
    <row r="1289" spans="1:1" x14ac:dyDescent="0.2">
      <c r="A1289" s="3"/>
    </row>
    <row r="1290" spans="1:1" x14ac:dyDescent="0.2">
      <c r="A1290" s="3"/>
    </row>
    <row r="1291" spans="1:1" x14ac:dyDescent="0.2">
      <c r="A1291" s="3"/>
    </row>
    <row r="1292" spans="1:1" x14ac:dyDescent="0.2">
      <c r="A1292" s="3"/>
    </row>
    <row r="1293" spans="1:1" x14ac:dyDescent="0.2">
      <c r="A1293" s="3"/>
    </row>
    <row r="1294" spans="1:1" x14ac:dyDescent="0.2">
      <c r="A1294" s="3"/>
    </row>
    <row r="1295" spans="1:1" x14ac:dyDescent="0.2">
      <c r="A1295" s="3"/>
    </row>
    <row r="1296" spans="1:1" x14ac:dyDescent="0.2">
      <c r="A1296" s="3"/>
    </row>
    <row r="1297" spans="1:1" x14ac:dyDescent="0.2">
      <c r="A1297" s="3"/>
    </row>
    <row r="1298" spans="1:1" x14ac:dyDescent="0.2">
      <c r="A1298" s="3"/>
    </row>
    <row r="1299" spans="1:1" x14ac:dyDescent="0.2">
      <c r="A1299" s="3"/>
    </row>
    <row r="1300" spans="1:1" x14ac:dyDescent="0.2">
      <c r="A1300" s="3"/>
    </row>
    <row r="1301" spans="1:1" x14ac:dyDescent="0.2">
      <c r="A1301" s="3"/>
    </row>
    <row r="1302" spans="1:1" x14ac:dyDescent="0.2">
      <c r="A1302" s="3"/>
    </row>
    <row r="1303" spans="1:1" x14ac:dyDescent="0.2">
      <c r="A1303" s="3"/>
    </row>
    <row r="1304" spans="1:1" x14ac:dyDescent="0.2">
      <c r="A1304" s="3"/>
    </row>
    <row r="1305" spans="1:1" x14ac:dyDescent="0.2">
      <c r="A1305" s="3"/>
    </row>
    <row r="1306" spans="1:1" x14ac:dyDescent="0.2">
      <c r="A1306" s="3"/>
    </row>
    <row r="1307" spans="1:1" x14ac:dyDescent="0.2">
      <c r="A1307" s="3"/>
    </row>
    <row r="1308" spans="1:1" x14ac:dyDescent="0.2">
      <c r="A1308" s="3"/>
    </row>
    <row r="1309" spans="1:1" x14ac:dyDescent="0.2">
      <c r="A1309" s="3"/>
    </row>
    <row r="1310" spans="1:1" x14ac:dyDescent="0.2">
      <c r="A1310" s="3"/>
    </row>
    <row r="1311" spans="1:1" x14ac:dyDescent="0.2">
      <c r="A1311" s="3"/>
    </row>
    <row r="1312" spans="1:1" x14ac:dyDescent="0.2">
      <c r="A1312" s="3"/>
    </row>
    <row r="1313" spans="1:1" x14ac:dyDescent="0.2">
      <c r="A1313" s="3"/>
    </row>
    <row r="1314" spans="1:1" x14ac:dyDescent="0.2">
      <c r="A1314" s="3"/>
    </row>
    <row r="1315" spans="1:1" x14ac:dyDescent="0.2">
      <c r="A1315" s="3"/>
    </row>
    <row r="1316" spans="1:1" x14ac:dyDescent="0.2">
      <c r="A1316" s="3"/>
    </row>
    <row r="1317" spans="1:1" x14ac:dyDescent="0.2">
      <c r="A1317" s="3"/>
    </row>
    <row r="1318" spans="1:1" x14ac:dyDescent="0.2">
      <c r="A1318" s="3"/>
    </row>
    <row r="1319" spans="1:1" x14ac:dyDescent="0.2">
      <c r="A1319" s="3"/>
    </row>
    <row r="1320" spans="1:1" x14ac:dyDescent="0.2">
      <c r="A1320" s="3"/>
    </row>
    <row r="1321" spans="1:1" x14ac:dyDescent="0.2">
      <c r="A1321" s="3"/>
    </row>
    <row r="1322" spans="1:1" x14ac:dyDescent="0.2">
      <c r="A1322" s="3"/>
    </row>
    <row r="1323" spans="1:1" x14ac:dyDescent="0.2">
      <c r="A1323" s="3"/>
    </row>
    <row r="1324" spans="1:1" x14ac:dyDescent="0.2">
      <c r="A1324" s="3"/>
    </row>
    <row r="1325" spans="1:1" x14ac:dyDescent="0.2">
      <c r="A1325" s="3"/>
    </row>
    <row r="1326" spans="1:1" x14ac:dyDescent="0.2">
      <c r="A1326" s="3"/>
    </row>
    <row r="1327" spans="1:1" x14ac:dyDescent="0.2">
      <c r="A1327" s="3"/>
    </row>
    <row r="1328" spans="1:1" x14ac:dyDescent="0.2">
      <c r="A1328" s="3"/>
    </row>
    <row r="1329" spans="1:1" x14ac:dyDescent="0.2">
      <c r="A1329" s="3"/>
    </row>
    <row r="1330" spans="1:1" x14ac:dyDescent="0.2">
      <c r="A1330" s="3"/>
    </row>
    <row r="1331" spans="1:1" x14ac:dyDescent="0.2">
      <c r="A1331" s="3"/>
    </row>
    <row r="1332" spans="1:1" x14ac:dyDescent="0.2">
      <c r="A1332" s="3"/>
    </row>
    <row r="1333" spans="1:1" x14ac:dyDescent="0.2">
      <c r="A1333" s="7"/>
    </row>
    <row r="1334" spans="1:1" x14ac:dyDescent="0.2">
      <c r="A1334" s="3"/>
    </row>
    <row r="1335" spans="1:1" x14ac:dyDescent="0.2">
      <c r="A1335" s="3"/>
    </row>
    <row r="1336" spans="1:1" x14ac:dyDescent="0.2">
      <c r="A1336" s="3"/>
    </row>
    <row r="1337" spans="1:1" x14ac:dyDescent="0.2">
      <c r="A1337" s="3"/>
    </row>
    <row r="1338" spans="1:1" x14ac:dyDescent="0.2">
      <c r="A1338" s="3"/>
    </row>
    <row r="1339" spans="1:1" x14ac:dyDescent="0.2">
      <c r="A1339" s="3"/>
    </row>
    <row r="1340" spans="1:1" x14ac:dyDescent="0.2">
      <c r="A1340" s="3"/>
    </row>
    <row r="1341" spans="1:1" x14ac:dyDescent="0.2">
      <c r="A1341" s="3"/>
    </row>
    <row r="1342" spans="1:1" x14ac:dyDescent="0.2">
      <c r="A1342" s="3"/>
    </row>
    <row r="1343" spans="1:1" x14ac:dyDescent="0.2">
      <c r="A1343" s="3"/>
    </row>
    <row r="1344" spans="1:1" x14ac:dyDescent="0.2">
      <c r="A1344" s="3"/>
    </row>
    <row r="1345" spans="1:1" x14ac:dyDescent="0.2">
      <c r="A1345" s="3"/>
    </row>
    <row r="1346" spans="1:1" x14ac:dyDescent="0.2">
      <c r="A1346" s="3"/>
    </row>
    <row r="1347" spans="1:1" x14ac:dyDescent="0.2">
      <c r="A1347" s="3"/>
    </row>
    <row r="1348" spans="1:1" x14ac:dyDescent="0.2">
      <c r="A1348" s="3"/>
    </row>
    <row r="1349" spans="1:1" x14ac:dyDescent="0.2">
      <c r="A1349" s="3"/>
    </row>
    <row r="1350" spans="1:1" x14ac:dyDescent="0.2">
      <c r="A1350" s="3"/>
    </row>
    <row r="1351" spans="1:1" x14ac:dyDescent="0.2">
      <c r="A1351" s="3"/>
    </row>
    <row r="1352" spans="1:1" x14ac:dyDescent="0.2">
      <c r="A1352" s="3"/>
    </row>
    <row r="1353" spans="1:1" x14ac:dyDescent="0.2">
      <c r="A1353" s="3"/>
    </row>
    <row r="1354" spans="1:1" x14ac:dyDescent="0.2">
      <c r="A1354" s="3"/>
    </row>
    <row r="1355" spans="1:1" x14ac:dyDescent="0.2">
      <c r="A1355" s="3"/>
    </row>
    <row r="1356" spans="1:1" x14ac:dyDescent="0.2">
      <c r="A1356" s="3"/>
    </row>
    <row r="1357" spans="1:1" x14ac:dyDescent="0.2">
      <c r="A1357" s="3"/>
    </row>
    <row r="1358" spans="1:1" x14ac:dyDescent="0.2">
      <c r="A1358" s="3"/>
    </row>
    <row r="1359" spans="1:1" x14ac:dyDescent="0.2">
      <c r="A1359" s="3"/>
    </row>
    <row r="1360" spans="1:1" x14ac:dyDescent="0.2">
      <c r="A1360" s="3"/>
    </row>
    <row r="1361" spans="1:1" x14ac:dyDescent="0.2">
      <c r="A1361" s="3"/>
    </row>
    <row r="1362" spans="1:1" x14ac:dyDescent="0.2">
      <c r="A1362" s="3"/>
    </row>
    <row r="1363" spans="1:1" x14ac:dyDescent="0.2">
      <c r="A1363" s="3"/>
    </row>
    <row r="1364" spans="1:1" x14ac:dyDescent="0.2">
      <c r="A1364" s="3"/>
    </row>
    <row r="1365" spans="1:1" x14ac:dyDescent="0.2">
      <c r="A1365" s="3"/>
    </row>
    <row r="1366" spans="1:1" x14ac:dyDescent="0.2">
      <c r="A1366" s="3"/>
    </row>
  </sheetData>
  <sheetProtection selectLockedCells="1" selectUnlockedCells="1"/>
  <mergeCells count="1">
    <mergeCell ref="C1:C2"/>
  </mergeCells>
  <phoneticPr fontId="0" type="noConversion"/>
  <conditionalFormatting sqref="B3:AY3">
    <cfRule type="cellIs" dxfId="10" priority="1" stopIfTrue="1" operator="equal">
      <formula>"OFF"</formula>
    </cfRule>
  </conditionalFormatting>
  <dataValidations count="1">
    <dataValidation type="list" showInputMessage="1" showErrorMessage="1" sqref="B3:AY3" xr:uid="{00000000-0002-0000-0200-000000000000}">
      <formula1>"ON,OFF"</formula1>
    </dataValidation>
  </dataValidations>
  <printOptions horizontalCentered="1"/>
  <pageMargins left="0.75" right="0.75" top="1" bottom="1" header="0.5" footer="0.5"/>
  <pageSetup paperSize="9" orientation="portrait" horizontalDpi="360" verticalDpi="300"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BP61"/>
  <sheetViews>
    <sheetView showGridLines="0" workbookViewId="0">
      <pane xSplit="1" ySplit="11" topLeftCell="B12" activePane="bottomRight" state="frozen"/>
      <selection activeCell="A5" sqref="A5:H5"/>
      <selection pane="topRight" activeCell="A5" sqref="A5:H5"/>
      <selection pane="bottomLeft" activeCell="A5" sqref="A5:H5"/>
      <selection pane="bottomRight" activeCell="B16" sqref="B16"/>
    </sheetView>
  </sheetViews>
  <sheetFormatPr defaultColWidth="9.33203125" defaultRowHeight="12.75" x14ac:dyDescent="0.2"/>
  <cols>
    <col min="1" max="1" width="33.83203125" style="39" customWidth="1"/>
    <col min="2" max="2" width="18.1640625" style="39" customWidth="1"/>
    <col min="3" max="3" width="23.83203125" style="39" customWidth="1"/>
    <col min="4" max="7" width="14.83203125" style="39" customWidth="1"/>
    <col min="8" max="8" width="18.5" style="39" customWidth="1"/>
    <col min="9" max="11" width="14.83203125" style="39" customWidth="1"/>
    <col min="12" max="26" width="9" style="39" customWidth="1"/>
    <col min="27" max="27" width="18.6640625" style="2" customWidth="1"/>
    <col min="28" max="28" width="3" style="60" customWidth="1"/>
    <col min="29" max="16384" width="9.33203125" style="60"/>
  </cols>
  <sheetData>
    <row r="1" spans="1:68" s="39" customFormat="1" ht="3.75" customHeight="1" x14ac:dyDescent="0.2">
      <c r="BP1" s="40"/>
    </row>
    <row r="2" spans="1:68" s="42" customFormat="1" ht="3.75" customHeight="1" thickBot="1"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BP2" s="43" t="str">
        <f>IF(A12&lt;&gt;"",TEXT(B12,"0.00")&amp; "*" &amp; A12 &amp; " + ","") &amp; IF(A13&lt;&gt;"",TEXT(B13,"0.00")&amp; "*" &amp; A13 &amp; " + ","") &amp; IF(A14&lt;&gt;"",TEXT(B14,"0.00")&amp; "*" &amp; A14 &amp; " + ","") &amp; IF(A15&lt;&gt;"",TEXT(B15,"0.00")&amp; "*" &amp; A15 &amp; " + ","") &amp; IF(A16&lt;&gt;"",TEXT(B16,"0.00")&amp; "*" &amp; A16 &amp; " + ","") &amp; IF(A17&lt;&gt;"",TEXT(B17,"0.00")&amp; "*" &amp; A17 &amp; " + ","")  &amp; IF(A18&lt;&gt;"",TEXT(B18,"0.00")&amp; "*" &amp; A18 &amp; " + ","") &amp; IF(A19&lt;&gt;"",TEXT(B19,"0.00")&amp; "*" &amp; A19 &amp; " + ","") &amp; IF(A20&lt;&gt;"",TEXT(B20,"0.00")&amp; "*" &amp; A20 &amp; " + ","") &amp; IF(A21&lt;&gt;"",TEXT(B21,"0.00")&amp; "*" &amp; A21 &amp; " + ","")</f>
        <v xml:space="preserve">14450.36*HDD + 101222.90*CDD + 1074138.69*Days per month + -1744967.82*SpringFall + -1.20*CDM Activity + </v>
      </c>
    </row>
    <row r="3" spans="1:68" s="39" customFormat="1" ht="22.5" customHeight="1" thickTop="1" thickBot="1" x14ac:dyDescent="0.25">
      <c r="A3" s="423" t="s">
        <v>7</v>
      </c>
      <c r="B3" s="424"/>
      <c r="C3" s="431" t="s">
        <v>205</v>
      </c>
      <c r="D3" s="432"/>
      <c r="E3" s="432"/>
      <c r="F3" s="432"/>
      <c r="G3" s="435" t="s">
        <v>36</v>
      </c>
      <c r="H3" s="436"/>
      <c r="I3" s="436"/>
      <c r="J3" s="437"/>
      <c r="K3" s="44"/>
      <c r="L3" s="418" t="s">
        <v>206</v>
      </c>
      <c r="M3" s="44"/>
      <c r="N3" s="44"/>
      <c r="O3" s="44"/>
      <c r="P3" s="44"/>
      <c r="Q3" s="44"/>
      <c r="R3" s="44"/>
      <c r="S3" s="44"/>
      <c r="T3" s="44"/>
      <c r="U3" s="44"/>
      <c r="V3" s="44"/>
      <c r="W3" s="44"/>
      <c r="X3" s="44"/>
      <c r="Y3" s="44"/>
      <c r="Z3" s="44"/>
      <c r="AA3" s="45"/>
      <c r="AE3" s="38" t="s">
        <v>11</v>
      </c>
      <c r="AF3" s="38"/>
      <c r="AG3" s="38">
        <v>1.6339399814605713</v>
      </c>
      <c r="BP3" s="40" t="e">
        <f>IF(A22&lt;&gt;"",TEXT(B22,"0.00")&amp; "*" &amp; A22 &amp; " + ","") &amp; IF(A23&lt;&gt;"",TEXT(B23,"0.00")&amp; "*" &amp; A23 &amp; " + ","") &amp; IF(A24&lt;&gt;"",TEXT(B24,"0.00")&amp; "*" &amp; A24 &amp; " + ","") &amp; IF(A25&lt;&gt;"",TEXT(B25,"0.00")&amp; "*" &amp; A25 &amp; " + ","") &amp; IF(A26&lt;&gt;"",TEXT(B26,"0.00")&amp; "*" &amp; A26 &amp; " + ","") &amp; IF(A45&lt;&gt;"",TEXT(B45,"0.00")&amp; "*" &amp; A45 &amp; " + ","")  &amp; IF(A46&lt;&gt;"",TEXT(B46,"0.00")&amp; "*" &amp; A46 &amp; " + ","") &amp; IF(A48&lt;&gt;"",TEXT(B48,"0.00")&amp; "*" &amp; A48 &amp; " + ","") &amp; IF(A49&lt;&gt;"",TEXT(B49,"0.00")&amp; "*" &amp; A49 &amp; " + ","") &amp; IF(#REF!&lt;&gt;"",TEXT(#REF!,"0.00")&amp; "*" &amp;#REF! &amp; " + ","")</f>
        <v>#REF!</v>
      </c>
    </row>
    <row r="4" spans="1:68" s="39" customFormat="1" ht="15.75" customHeight="1" x14ac:dyDescent="0.2">
      <c r="A4" s="46" t="s">
        <v>117</v>
      </c>
      <c r="B4" s="47">
        <v>0.87590271234512329</v>
      </c>
      <c r="C4" s="433"/>
      <c r="D4" s="434"/>
      <c r="E4" s="434"/>
      <c r="F4" s="434"/>
      <c r="G4" s="48">
        <v>1.2362570762634277</v>
      </c>
      <c r="H4" s="49" t="s">
        <v>20</v>
      </c>
      <c r="I4" s="50"/>
      <c r="J4" s="51"/>
      <c r="K4" s="52"/>
      <c r="L4" s="419"/>
      <c r="M4" s="52"/>
      <c r="N4" s="52"/>
      <c r="O4" s="52"/>
      <c r="P4" s="52"/>
      <c r="Q4" s="53"/>
      <c r="R4" s="53"/>
      <c r="S4" s="53"/>
      <c r="T4" s="53"/>
      <c r="U4" s="53"/>
      <c r="V4" s="53"/>
      <c r="W4" s="53"/>
      <c r="X4" s="53"/>
      <c r="Y4" s="53"/>
      <c r="Z4" s="53"/>
      <c r="AA4" s="54"/>
      <c r="AE4" s="38" t="s">
        <v>9</v>
      </c>
      <c r="AF4" s="38"/>
      <c r="AG4" s="38">
        <v>1.7714600563049316</v>
      </c>
    </row>
    <row r="5" spans="1:68" s="39" customFormat="1" ht="15.75" customHeight="1" x14ac:dyDescent="0.2">
      <c r="A5" s="46" t="s">
        <v>21</v>
      </c>
      <c r="B5" s="55">
        <v>0.87045979499816895</v>
      </c>
      <c r="C5" s="433"/>
      <c r="D5" s="434"/>
      <c r="E5" s="434"/>
      <c r="F5" s="434"/>
      <c r="G5" s="56" t="str">
        <f>TEXT(AG3,"0.00")&amp;" - " &amp;TEXT(AG4,"0.00")</f>
        <v>1.63 - 1.77</v>
      </c>
      <c r="H5" s="57" t="s">
        <v>122</v>
      </c>
      <c r="I5" s="58"/>
      <c r="J5" s="59"/>
      <c r="L5" s="419"/>
      <c r="M5" s="60"/>
      <c r="N5" s="60"/>
      <c r="O5" s="60"/>
      <c r="P5" s="60"/>
      <c r="Q5" s="60"/>
      <c r="R5" s="60"/>
      <c r="S5" s="60"/>
      <c r="T5" s="60"/>
      <c r="U5" s="60"/>
      <c r="V5" s="60"/>
      <c r="W5" s="60"/>
      <c r="X5" s="61"/>
      <c r="Y5" s="61"/>
      <c r="Z5" s="61"/>
      <c r="AA5" s="62"/>
      <c r="AE5" s="38" t="s">
        <v>8</v>
      </c>
      <c r="AF5" s="38"/>
      <c r="AG5" s="38">
        <v>1.6853100061416626</v>
      </c>
    </row>
    <row r="6" spans="1:68" s="39" customFormat="1" ht="15.75" customHeight="1" x14ac:dyDescent="0.25">
      <c r="A6" s="46" t="s">
        <v>0</v>
      </c>
      <c r="B6" s="55">
        <v>1572175.25</v>
      </c>
      <c r="C6" s="63" t="s">
        <v>34</v>
      </c>
      <c r="D6" s="52"/>
      <c r="E6" s="52"/>
      <c r="F6" s="52"/>
      <c r="G6" s="64">
        <v>2.2899999618530273</v>
      </c>
      <c r="H6" s="65" t="s">
        <v>43</v>
      </c>
      <c r="I6" s="58"/>
      <c r="J6" s="59"/>
      <c r="L6" s="419"/>
      <c r="M6" s="60"/>
      <c r="N6" s="60"/>
      <c r="O6" s="60"/>
      <c r="P6" s="60"/>
      <c r="Q6" s="60"/>
      <c r="R6" s="60"/>
      <c r="S6" s="60"/>
      <c r="T6" s="60"/>
      <c r="U6" s="60"/>
      <c r="V6" s="60"/>
      <c r="W6" s="60"/>
      <c r="X6" s="61"/>
      <c r="Y6" s="61"/>
      <c r="Z6" s="61"/>
      <c r="AA6" s="66" t="s">
        <v>39</v>
      </c>
      <c r="AE6" s="38" t="s">
        <v>13</v>
      </c>
      <c r="AF6" s="38"/>
      <c r="AG6" s="38">
        <v>1.7188899517059326</v>
      </c>
    </row>
    <row r="7" spans="1:68" s="39" customFormat="1" ht="15.75" customHeight="1" thickBot="1" x14ac:dyDescent="0.3">
      <c r="A7" s="67" t="s">
        <v>1</v>
      </c>
      <c r="B7" s="68">
        <v>160.92680358886719</v>
      </c>
      <c r="C7" s="63" t="str">
        <f>IF(B7&gt;M7,"Therefore analysis IS Significant","Therefore analysis IS NOT Significant")</f>
        <v>Therefore analysis IS Significant</v>
      </c>
      <c r="D7" s="52"/>
      <c r="E7" s="52"/>
      <c r="F7" s="52"/>
      <c r="G7" s="391">
        <v>0.89620000123977661</v>
      </c>
      <c r="H7" s="69" t="s">
        <v>44</v>
      </c>
      <c r="I7" s="70"/>
      <c r="J7" s="71"/>
      <c r="L7" s="420"/>
      <c r="M7" s="60"/>
      <c r="N7" s="60"/>
      <c r="O7" s="60"/>
      <c r="P7" s="60"/>
      <c r="Q7" s="60"/>
      <c r="R7" s="60"/>
      <c r="S7" s="60"/>
      <c r="T7" s="60"/>
      <c r="U7" s="60"/>
      <c r="V7" s="60"/>
      <c r="W7" s="60"/>
      <c r="X7" s="61"/>
      <c r="Y7" s="61"/>
      <c r="Z7" s="61"/>
      <c r="AA7" s="130">
        <v>24</v>
      </c>
      <c r="AE7" s="38" t="s">
        <v>12</v>
      </c>
      <c r="AF7" s="38"/>
      <c r="AG7" s="38"/>
    </row>
    <row r="8" spans="1:68" s="39" customFormat="1" ht="9.75" customHeight="1" thickBot="1" x14ac:dyDescent="0.25">
      <c r="A8" s="72"/>
      <c r="B8" s="53"/>
      <c r="C8" s="53"/>
      <c r="D8" s="53"/>
      <c r="E8" s="53"/>
      <c r="F8" s="53"/>
      <c r="G8" s="53"/>
      <c r="H8" s="53"/>
      <c r="I8" s="53"/>
      <c r="J8" s="53"/>
      <c r="K8" s="53"/>
      <c r="L8" s="53"/>
      <c r="M8" s="53"/>
      <c r="N8" s="53"/>
      <c r="O8" s="53"/>
      <c r="P8" s="53"/>
      <c r="Q8" s="53"/>
      <c r="R8" s="53"/>
      <c r="S8" s="53"/>
      <c r="T8" s="53"/>
      <c r="U8" s="53"/>
      <c r="V8" s="53"/>
      <c r="W8" s="53"/>
      <c r="X8" s="53"/>
      <c r="Y8" s="53"/>
      <c r="Z8" s="53"/>
      <c r="AA8" s="54"/>
    </row>
    <row r="9" spans="1:68" s="39" customFormat="1" ht="24.75" customHeight="1" thickBot="1" x14ac:dyDescent="0.25">
      <c r="A9" s="430" t="s">
        <v>2</v>
      </c>
      <c r="B9" s="428"/>
      <c r="C9" s="428"/>
      <c r="D9" s="428"/>
      <c r="E9" s="429"/>
      <c r="F9" s="427" t="s">
        <v>3</v>
      </c>
      <c r="G9" s="428"/>
      <c r="H9" s="429"/>
      <c r="I9" s="139" t="s">
        <v>16</v>
      </c>
      <c r="J9" s="427" t="s">
        <v>24</v>
      </c>
      <c r="K9" s="429"/>
      <c r="L9" s="73"/>
      <c r="M9" s="74"/>
      <c r="N9" s="428" t="s">
        <v>33</v>
      </c>
      <c r="O9" s="428"/>
      <c r="P9" s="428"/>
      <c r="Q9" s="428"/>
      <c r="R9" s="428"/>
      <c r="S9" s="428"/>
      <c r="T9" s="428"/>
      <c r="U9" s="428"/>
      <c r="V9" s="428"/>
      <c r="W9" s="428"/>
      <c r="X9" s="428"/>
      <c r="Y9" s="74"/>
      <c r="Z9" s="140" t="s">
        <v>35</v>
      </c>
      <c r="AA9" s="75"/>
    </row>
    <row r="10" spans="1:68" s="39" customFormat="1" ht="29.25" customHeight="1" x14ac:dyDescent="0.2">
      <c r="A10" s="76"/>
      <c r="B10" s="77" t="s">
        <v>4</v>
      </c>
      <c r="C10" s="78" t="s">
        <v>0</v>
      </c>
      <c r="D10" s="78" t="s">
        <v>22</v>
      </c>
      <c r="E10" s="79" t="s">
        <v>23</v>
      </c>
      <c r="F10" s="80" t="s">
        <v>14</v>
      </c>
      <c r="G10" s="81" t="s">
        <v>37</v>
      </c>
      <c r="H10" s="82" t="s">
        <v>5</v>
      </c>
      <c r="I10" s="83" t="str">
        <f>"Dl=" &amp; TEXT(AG5,"0.00") &amp; " Du=" &amp;TEXT(AG6,"0.00")</f>
        <v>Dl=1.69 Du=1.72</v>
      </c>
      <c r="J10" s="425" t="s">
        <v>18</v>
      </c>
      <c r="K10" s="421" t="s">
        <v>47</v>
      </c>
      <c r="L10" s="440" t="s">
        <v>9</v>
      </c>
      <c r="M10" s="441"/>
      <c r="N10" s="442"/>
      <c r="O10" s="443" t="s">
        <v>8</v>
      </c>
      <c r="P10" s="441"/>
      <c r="Q10" s="442"/>
      <c r="R10" s="443" t="s">
        <v>144</v>
      </c>
      <c r="S10" s="441"/>
      <c r="T10" s="441"/>
      <c r="U10" s="442"/>
      <c r="V10" s="443" t="s">
        <v>32</v>
      </c>
      <c r="W10" s="441"/>
      <c r="X10" s="441"/>
      <c r="Y10" s="441"/>
      <c r="Z10" s="442"/>
      <c r="AA10" s="438" t="s">
        <v>19</v>
      </c>
    </row>
    <row r="11" spans="1:68" s="39" customFormat="1" ht="15" customHeight="1" x14ac:dyDescent="0.25">
      <c r="A11" s="84" t="s">
        <v>6</v>
      </c>
      <c r="B11" s="85">
        <v>5017406.7570062997</v>
      </c>
      <c r="C11" s="86">
        <v>5639805.7155710002</v>
      </c>
      <c r="D11" s="86">
        <v>0.88964180000000004</v>
      </c>
      <c r="E11" s="392">
        <v>0.37553180000000003</v>
      </c>
      <c r="F11" s="87"/>
      <c r="G11" s="88"/>
      <c r="H11" s="89"/>
      <c r="I11" s="90" t="s">
        <v>17</v>
      </c>
      <c r="J11" s="426"/>
      <c r="K11" s="422"/>
      <c r="L11" s="91" t="s">
        <v>27</v>
      </c>
      <c r="M11" s="92" t="s">
        <v>10</v>
      </c>
      <c r="N11" s="93" t="s">
        <v>28</v>
      </c>
      <c r="O11" s="94" t="s">
        <v>27</v>
      </c>
      <c r="P11" s="92" t="s">
        <v>10</v>
      </c>
      <c r="Q11" s="95" t="s">
        <v>28</v>
      </c>
      <c r="R11" s="94" t="s">
        <v>29</v>
      </c>
      <c r="S11" s="92" t="s">
        <v>30</v>
      </c>
      <c r="T11" s="92" t="s">
        <v>10</v>
      </c>
      <c r="U11" s="95" t="s">
        <v>28</v>
      </c>
      <c r="V11" s="94" t="s">
        <v>29</v>
      </c>
      <c r="W11" s="92" t="s">
        <v>30</v>
      </c>
      <c r="X11" s="92" t="s">
        <v>31</v>
      </c>
      <c r="Y11" s="92" t="s">
        <v>10</v>
      </c>
      <c r="Z11" s="95" t="s">
        <v>28</v>
      </c>
      <c r="AA11" s="439"/>
    </row>
    <row r="12" spans="1:68" x14ac:dyDescent="0.2">
      <c r="A12" s="96" t="s">
        <v>48</v>
      </c>
      <c r="B12" s="97">
        <v>14450.362167200001</v>
      </c>
      <c r="C12" s="98">
        <v>922.44487549999997</v>
      </c>
      <c r="D12" s="98">
        <v>15.665285300000001</v>
      </c>
      <c r="E12" s="393">
        <v>0</v>
      </c>
      <c r="F12" s="99">
        <v>1.56694E-2</v>
      </c>
      <c r="G12" s="100">
        <v>2152.0610068000001</v>
      </c>
      <c r="H12" s="101">
        <v>41092716</v>
      </c>
      <c r="I12" s="102">
        <v>0.34567700000000001</v>
      </c>
      <c r="J12" s="103">
        <v>0.6087243</v>
      </c>
      <c r="K12" s="104"/>
      <c r="L12" s="105">
        <v>-0.26296999999999998</v>
      </c>
      <c r="M12" s="106">
        <v>318.54266999999999</v>
      </c>
      <c r="N12" s="107">
        <v>1.2999999999999999E-3</v>
      </c>
      <c r="O12" s="108">
        <v>0</v>
      </c>
      <c r="P12" s="106">
        <v>0</v>
      </c>
      <c r="Q12" s="109">
        <v>0</v>
      </c>
      <c r="R12" s="110">
        <v>0.12088</v>
      </c>
      <c r="S12" s="111">
        <v>-3.1199999999999999E-3</v>
      </c>
      <c r="T12" s="106">
        <v>310.48381999999998</v>
      </c>
      <c r="U12" s="107">
        <v>1.47E-3</v>
      </c>
      <c r="V12" s="108">
        <v>-2.7732000000000001</v>
      </c>
      <c r="W12" s="111">
        <v>5.5E-2</v>
      </c>
      <c r="X12" s="111">
        <v>-3.2000000000000003E-4</v>
      </c>
      <c r="Y12" s="106">
        <v>341.91924999999998</v>
      </c>
      <c r="Z12" s="109">
        <v>3.1199999999999999E-3</v>
      </c>
      <c r="AA12" s="8" t="s">
        <v>9</v>
      </c>
    </row>
    <row r="13" spans="1:68" x14ac:dyDescent="0.2">
      <c r="A13" s="112" t="s">
        <v>49</v>
      </c>
      <c r="B13" s="113">
        <v>101222.90315509999</v>
      </c>
      <c r="C13" s="114">
        <v>6043.6131278000003</v>
      </c>
      <c r="D13" s="114">
        <v>16.748739700000002</v>
      </c>
      <c r="E13" s="394">
        <v>0</v>
      </c>
      <c r="F13" s="116">
        <v>0.27619060000000001</v>
      </c>
      <c r="G13" s="117">
        <v>53343.626959000001</v>
      </c>
      <c r="H13" s="118">
        <v>40296888</v>
      </c>
      <c r="I13" s="119">
        <v>0.74009590000000003</v>
      </c>
      <c r="J13" s="120">
        <v>0.68226180000000003</v>
      </c>
      <c r="K13" s="121"/>
      <c r="L13" s="122">
        <v>4.4400000000000002E-2</v>
      </c>
      <c r="M13" s="123">
        <v>24.386690000000002</v>
      </c>
      <c r="N13" s="124">
        <v>1.2899999999999999E-3</v>
      </c>
      <c r="O13" s="125">
        <v>0</v>
      </c>
      <c r="P13" s="123">
        <v>0</v>
      </c>
      <c r="Q13" s="126">
        <v>0</v>
      </c>
      <c r="R13" s="127">
        <v>-8.7090000000000001E-2</v>
      </c>
      <c r="S13" s="128">
        <v>1.07E-3</v>
      </c>
      <c r="T13" s="123">
        <v>27.147310000000001</v>
      </c>
      <c r="U13" s="124">
        <v>2E-3</v>
      </c>
      <c r="V13" s="125">
        <v>-0.11846</v>
      </c>
      <c r="W13" s="128">
        <v>1.6999999999999999E-3</v>
      </c>
      <c r="X13" s="128">
        <v>0</v>
      </c>
      <c r="Y13" s="123">
        <v>27.488040000000002</v>
      </c>
      <c r="Z13" s="126">
        <v>2.0100000000000001E-3</v>
      </c>
      <c r="AA13" s="8" t="s">
        <v>9</v>
      </c>
    </row>
    <row r="14" spans="1:68" x14ac:dyDescent="0.2">
      <c r="A14" s="112" t="s">
        <v>147</v>
      </c>
      <c r="B14" s="113">
        <v>1074138.6916373</v>
      </c>
      <c r="C14" s="114">
        <v>186361.70994289999</v>
      </c>
      <c r="D14" s="114">
        <v>5.7637305999999997</v>
      </c>
      <c r="E14" s="394">
        <v>9.9999999999999995E-8</v>
      </c>
      <c r="F14" s="116">
        <v>4.98691E-2</v>
      </c>
      <c r="G14" s="117">
        <v>1208037.5538610001</v>
      </c>
      <c r="H14" s="118">
        <v>4968757</v>
      </c>
      <c r="I14" s="119">
        <v>2.9806813999999999</v>
      </c>
      <c r="J14" s="120">
        <v>5.08768E-2</v>
      </c>
      <c r="K14" s="121"/>
      <c r="L14" s="122">
        <v>6.8999999999999997E-4</v>
      </c>
      <c r="M14" s="123">
        <v>30.399170000000002</v>
      </c>
      <c r="N14" s="124">
        <v>8.8999999999999995E-4</v>
      </c>
      <c r="O14" s="125">
        <v>1.0000199999999999</v>
      </c>
      <c r="P14" s="123">
        <v>30.386220000000002</v>
      </c>
      <c r="Q14" s="126">
        <v>9.3000000000000005E-4</v>
      </c>
      <c r="R14" s="127">
        <v>-1.2E-4</v>
      </c>
      <c r="S14" s="128">
        <v>1.0000000000000001E-5</v>
      </c>
      <c r="T14" s="123">
        <v>30.4162</v>
      </c>
      <c r="U14" s="124">
        <v>9.6000000000000002E-4</v>
      </c>
      <c r="V14" s="125">
        <v>1.039E-2</v>
      </c>
      <c r="W14" s="128">
        <v>-2.0000000000000001E-4</v>
      </c>
      <c r="X14" s="128">
        <v>0</v>
      </c>
      <c r="Y14" s="123">
        <v>30.302040000000002</v>
      </c>
      <c r="Z14" s="126">
        <v>3.1199999999999999E-3</v>
      </c>
      <c r="AA14" s="8" t="s">
        <v>9</v>
      </c>
    </row>
    <row r="15" spans="1:68" x14ac:dyDescent="0.2">
      <c r="A15" s="112" t="s">
        <v>148</v>
      </c>
      <c r="B15" s="113">
        <v>-1744967.818399</v>
      </c>
      <c r="C15" s="114">
        <v>370859.9583461</v>
      </c>
      <c r="D15" s="114">
        <v>-4.7051933999999997</v>
      </c>
      <c r="E15" s="394">
        <v>7.1999999999999997E-6</v>
      </c>
      <c r="F15" s="116">
        <v>0.40854000000000001</v>
      </c>
      <c r="G15" s="117">
        <v>-5560692.2666667001</v>
      </c>
      <c r="H15" s="118">
        <v>44523780</v>
      </c>
      <c r="I15" s="119">
        <v>1.3442670000000001</v>
      </c>
      <c r="J15" s="120">
        <v>0.38011679999999998</v>
      </c>
      <c r="K15" s="121"/>
      <c r="L15" s="122">
        <v>2.1000000000000001E-4</v>
      </c>
      <c r="M15" s="123">
        <v>0.48719000000000001</v>
      </c>
      <c r="N15" s="124">
        <v>2.1000000000000001E-4</v>
      </c>
      <c r="O15" s="125">
        <v>0</v>
      </c>
      <c r="P15" s="123">
        <v>0</v>
      </c>
      <c r="Q15" s="126">
        <v>0</v>
      </c>
      <c r="R15" s="127">
        <v>3.2000000000000003E-4</v>
      </c>
      <c r="S15" s="128">
        <v>0</v>
      </c>
      <c r="T15" s="123">
        <v>0.48493999999999998</v>
      </c>
      <c r="U15" s="124">
        <v>2.1000000000000001E-4</v>
      </c>
      <c r="V15" s="125">
        <v>3.4099999999999998E-3</v>
      </c>
      <c r="W15" s="128">
        <v>-6.0000000000000002E-5</v>
      </c>
      <c r="X15" s="128">
        <v>0</v>
      </c>
      <c r="Y15" s="123">
        <v>0.45136999999999999</v>
      </c>
      <c r="Z15" s="126">
        <v>6.8999999999999997E-4</v>
      </c>
      <c r="AA15" s="8" t="s">
        <v>9</v>
      </c>
    </row>
    <row r="16" spans="1:68" x14ac:dyDescent="0.2">
      <c r="A16" s="112" t="s">
        <v>169</v>
      </c>
      <c r="B16" s="113">
        <v>-1.1985250000000001</v>
      </c>
      <c r="C16" s="114">
        <v>0.1414781</v>
      </c>
      <c r="D16" s="114">
        <v>-8.4714515000000006</v>
      </c>
      <c r="E16" s="394">
        <v>0</v>
      </c>
      <c r="F16" s="116">
        <v>7.0008600000000004E-2</v>
      </c>
      <c r="G16" s="117">
        <v>-1.1330256999999999</v>
      </c>
      <c r="H16" s="118">
        <v>43836752</v>
      </c>
      <c r="I16" s="119">
        <v>7.7800999999999999E-3</v>
      </c>
      <c r="J16" s="120">
        <v>-3.1943899999999997E-2</v>
      </c>
      <c r="K16" s="121"/>
      <c r="L16" s="122">
        <v>28467.162359999998</v>
      </c>
      <c r="M16" s="123">
        <v>96814.885949999996</v>
      </c>
      <c r="N16" s="124">
        <v>0.94233</v>
      </c>
      <c r="O16" s="125">
        <v>1.01816</v>
      </c>
      <c r="P16" s="123">
        <v>506676.66087000002</v>
      </c>
      <c r="Q16" s="126">
        <v>0.94313000000000002</v>
      </c>
      <c r="R16" s="127">
        <v>25621.802189999999</v>
      </c>
      <c r="S16" s="128">
        <v>23.133009999999999</v>
      </c>
      <c r="T16" s="123">
        <v>156552.02763999999</v>
      </c>
      <c r="U16" s="124">
        <v>0.94293000000000005</v>
      </c>
      <c r="V16" s="125">
        <v>-38939.128259999998</v>
      </c>
      <c r="W16" s="128">
        <v>1319.6783499999999</v>
      </c>
      <c r="X16" s="128">
        <v>-7.0273500000000002</v>
      </c>
      <c r="Y16" s="123">
        <v>857810.18240000005</v>
      </c>
      <c r="Z16" s="126">
        <v>0.99392000000000003</v>
      </c>
      <c r="AA16" s="8" t="s">
        <v>9</v>
      </c>
    </row>
    <row r="17" spans="1:27" x14ac:dyDescent="0.2">
      <c r="A17" s="112"/>
      <c r="B17" s="129"/>
      <c r="C17" s="114"/>
      <c r="D17" s="114"/>
      <c r="E17" s="115"/>
      <c r="F17" s="116"/>
      <c r="G17" s="117"/>
      <c r="H17" s="118"/>
      <c r="I17" s="119"/>
      <c r="J17" s="120"/>
      <c r="K17" s="121"/>
      <c r="L17" s="122"/>
      <c r="M17" s="123"/>
      <c r="N17" s="124"/>
      <c r="O17" s="125"/>
      <c r="P17" s="123"/>
      <c r="Q17" s="126"/>
      <c r="R17" s="127"/>
      <c r="S17" s="128"/>
      <c r="T17" s="123"/>
      <c r="U17" s="124"/>
      <c r="V17" s="125"/>
      <c r="W17" s="128"/>
      <c r="X17" s="128"/>
      <c r="Y17" s="123"/>
      <c r="Z17" s="126"/>
      <c r="AA17" s="8"/>
    </row>
    <row r="18" spans="1:27" x14ac:dyDescent="0.2">
      <c r="A18" s="112"/>
      <c r="B18" s="129"/>
      <c r="C18" s="114"/>
      <c r="D18" s="114"/>
      <c r="E18" s="115"/>
      <c r="F18" s="116"/>
      <c r="G18" s="117"/>
      <c r="H18" s="118"/>
      <c r="I18" s="119"/>
      <c r="J18" s="120"/>
      <c r="K18" s="121"/>
      <c r="L18" s="122"/>
      <c r="M18" s="123"/>
      <c r="N18" s="124"/>
      <c r="O18" s="125"/>
      <c r="P18" s="123"/>
      <c r="Q18" s="126"/>
      <c r="R18" s="127"/>
      <c r="S18" s="128"/>
      <c r="T18" s="123"/>
      <c r="U18" s="124"/>
      <c r="V18" s="125"/>
      <c r="W18" s="128"/>
      <c r="X18" s="128"/>
      <c r="Y18" s="123"/>
      <c r="Z18" s="126"/>
      <c r="AA18" s="8"/>
    </row>
    <row r="19" spans="1:27" x14ac:dyDescent="0.2">
      <c r="A19" s="112"/>
      <c r="B19" s="129"/>
      <c r="C19" s="114"/>
      <c r="D19" s="114"/>
      <c r="E19" s="115"/>
      <c r="F19" s="116"/>
      <c r="G19" s="117"/>
      <c r="H19" s="118"/>
      <c r="I19" s="119"/>
      <c r="J19" s="120"/>
      <c r="K19" s="121"/>
      <c r="L19" s="122"/>
      <c r="M19" s="123"/>
      <c r="N19" s="124"/>
      <c r="O19" s="125"/>
      <c r="P19" s="123"/>
      <c r="Q19" s="126"/>
      <c r="R19" s="127"/>
      <c r="S19" s="128"/>
      <c r="T19" s="123"/>
      <c r="U19" s="124"/>
      <c r="V19" s="125"/>
      <c r="W19" s="128"/>
      <c r="X19" s="128"/>
      <c r="Y19" s="123"/>
      <c r="Z19" s="126"/>
      <c r="AA19" s="9"/>
    </row>
    <row r="20" spans="1:27" x14ac:dyDescent="0.2">
      <c r="A20" s="112"/>
      <c r="B20" s="129"/>
      <c r="C20" s="114"/>
      <c r="D20" s="114"/>
      <c r="E20" s="115"/>
      <c r="F20" s="116"/>
      <c r="G20" s="117"/>
      <c r="H20" s="118"/>
      <c r="I20" s="119"/>
      <c r="J20" s="120"/>
      <c r="K20" s="121"/>
      <c r="L20" s="122"/>
      <c r="M20" s="123"/>
      <c r="N20" s="124"/>
      <c r="O20" s="125"/>
      <c r="P20" s="123"/>
      <c r="Q20" s="126"/>
      <c r="R20" s="127"/>
      <c r="S20" s="128"/>
      <c r="T20" s="123"/>
      <c r="U20" s="124"/>
      <c r="V20" s="125"/>
      <c r="W20" s="128"/>
      <c r="X20" s="128"/>
      <c r="Y20" s="123"/>
      <c r="Z20" s="126"/>
      <c r="AA20" s="9"/>
    </row>
    <row r="21" spans="1:27" x14ac:dyDescent="0.2">
      <c r="A21" s="112"/>
      <c r="B21" s="129"/>
      <c r="C21" s="114"/>
      <c r="D21" s="114"/>
      <c r="E21" s="115"/>
      <c r="F21" s="116"/>
      <c r="G21" s="117"/>
      <c r="H21" s="118"/>
      <c r="I21" s="119"/>
      <c r="J21" s="120"/>
      <c r="K21" s="121"/>
      <c r="L21" s="122"/>
      <c r="M21" s="123"/>
      <c r="N21" s="124"/>
      <c r="O21" s="125"/>
      <c r="P21" s="123"/>
      <c r="Q21" s="126"/>
      <c r="R21" s="127"/>
      <c r="S21" s="128"/>
      <c r="T21" s="123"/>
      <c r="U21" s="124"/>
      <c r="V21" s="125"/>
      <c r="W21" s="128"/>
      <c r="X21" s="128"/>
      <c r="Y21" s="123"/>
      <c r="Z21" s="126"/>
      <c r="AA21" s="9"/>
    </row>
    <row r="22" spans="1:27" x14ac:dyDescent="0.2">
      <c r="A22" s="112"/>
      <c r="B22" s="129"/>
      <c r="C22" s="114"/>
      <c r="D22" s="114"/>
      <c r="E22" s="115"/>
      <c r="F22" s="116"/>
      <c r="G22" s="117"/>
      <c r="H22" s="118"/>
      <c r="I22" s="119"/>
      <c r="J22" s="120"/>
      <c r="K22" s="121"/>
      <c r="L22" s="122"/>
      <c r="M22" s="123"/>
      <c r="N22" s="124"/>
      <c r="O22" s="125"/>
      <c r="P22" s="123"/>
      <c r="Q22" s="126"/>
      <c r="R22" s="127"/>
      <c r="S22" s="128"/>
      <c r="T22" s="123"/>
      <c r="U22" s="124"/>
      <c r="V22" s="125"/>
      <c r="W22" s="128"/>
      <c r="X22" s="128"/>
      <c r="Y22" s="123"/>
      <c r="Z22" s="126"/>
      <c r="AA22" s="9"/>
    </row>
    <row r="23" spans="1:27" x14ac:dyDescent="0.2">
      <c r="A23" s="112"/>
      <c r="B23" s="129"/>
      <c r="C23" s="114"/>
      <c r="D23" s="114"/>
      <c r="E23" s="115"/>
      <c r="F23" s="116"/>
      <c r="G23" s="117"/>
      <c r="H23" s="118"/>
      <c r="I23" s="119"/>
      <c r="J23" s="120"/>
      <c r="K23" s="121"/>
      <c r="L23" s="122"/>
      <c r="M23" s="123"/>
      <c r="N23" s="124"/>
      <c r="O23" s="125"/>
      <c r="P23" s="123"/>
      <c r="Q23" s="126"/>
      <c r="R23" s="127"/>
      <c r="S23" s="128"/>
      <c r="T23" s="123"/>
      <c r="U23" s="124"/>
      <c r="V23" s="125"/>
      <c r="W23" s="128"/>
      <c r="X23" s="128"/>
      <c r="Y23" s="123"/>
      <c r="Z23" s="126"/>
      <c r="AA23" s="9"/>
    </row>
    <row r="24" spans="1:27" x14ac:dyDescent="0.2">
      <c r="A24" s="112"/>
      <c r="B24" s="129"/>
      <c r="C24" s="114"/>
      <c r="D24" s="114"/>
      <c r="E24" s="115"/>
      <c r="F24" s="116"/>
      <c r="G24" s="117"/>
      <c r="H24" s="118"/>
      <c r="I24" s="119"/>
      <c r="J24" s="120"/>
      <c r="K24" s="121"/>
      <c r="L24" s="122"/>
      <c r="M24" s="123"/>
      <c r="N24" s="124"/>
      <c r="O24" s="125"/>
      <c r="P24" s="123"/>
      <c r="Q24" s="126"/>
      <c r="R24" s="127"/>
      <c r="S24" s="128"/>
      <c r="T24" s="123"/>
      <c r="U24" s="124"/>
      <c r="V24" s="125"/>
      <c r="W24" s="128"/>
      <c r="X24" s="128"/>
      <c r="Y24" s="123"/>
      <c r="Z24" s="126"/>
      <c r="AA24" s="9"/>
    </row>
    <row r="25" spans="1:27" x14ac:dyDescent="0.2">
      <c r="A25" s="112"/>
      <c r="B25" s="129"/>
      <c r="C25" s="114"/>
      <c r="D25" s="114"/>
      <c r="E25" s="115"/>
      <c r="F25" s="116"/>
      <c r="G25" s="117"/>
      <c r="H25" s="118"/>
      <c r="I25" s="119"/>
      <c r="J25" s="120"/>
      <c r="K25" s="121"/>
      <c r="L25" s="122"/>
      <c r="M25" s="123"/>
      <c r="N25" s="124"/>
      <c r="O25" s="125"/>
      <c r="P25" s="123"/>
      <c r="Q25" s="126"/>
      <c r="R25" s="127"/>
      <c r="S25" s="128"/>
      <c r="T25" s="123"/>
      <c r="U25" s="124"/>
      <c r="V25" s="125"/>
      <c r="W25" s="128"/>
      <c r="X25" s="128"/>
      <c r="Y25" s="123"/>
      <c r="Z25" s="126"/>
      <c r="AA25" s="9"/>
    </row>
    <row r="26" spans="1:27" x14ac:dyDescent="0.2">
      <c r="A26" s="112"/>
      <c r="B26" s="129"/>
      <c r="C26" s="114"/>
      <c r="D26" s="114"/>
      <c r="E26" s="115"/>
      <c r="F26" s="116"/>
      <c r="G26" s="117"/>
      <c r="H26" s="118"/>
      <c r="I26" s="119"/>
      <c r="J26" s="120"/>
      <c r="K26" s="121"/>
      <c r="L26" s="122"/>
      <c r="M26" s="123"/>
      <c r="N26" s="124"/>
      <c r="O26" s="125"/>
      <c r="P26" s="123"/>
      <c r="Q26" s="126"/>
      <c r="R26" s="127"/>
      <c r="S26" s="128"/>
      <c r="T26" s="123"/>
      <c r="U26" s="124"/>
      <c r="V26" s="125"/>
      <c r="W26" s="128"/>
      <c r="X26" s="128"/>
      <c r="Y26" s="123"/>
      <c r="Z26" s="126"/>
      <c r="AA26" s="9"/>
    </row>
    <row r="27" spans="1:27" x14ac:dyDescent="0.2">
      <c r="A27" s="112"/>
      <c r="B27" s="129"/>
      <c r="C27" s="114"/>
      <c r="D27" s="114"/>
      <c r="E27" s="115"/>
      <c r="F27" s="116"/>
      <c r="G27" s="117"/>
      <c r="H27" s="118"/>
      <c r="I27" s="119"/>
      <c r="J27" s="120"/>
      <c r="K27" s="121"/>
      <c r="L27" s="122"/>
      <c r="M27" s="123"/>
      <c r="N27" s="124"/>
      <c r="O27" s="125"/>
      <c r="P27" s="123"/>
      <c r="Q27" s="126"/>
      <c r="R27" s="127"/>
      <c r="S27" s="128"/>
      <c r="T27" s="123"/>
      <c r="U27" s="124"/>
      <c r="V27" s="125"/>
      <c r="W27" s="128"/>
      <c r="X27" s="128"/>
      <c r="Y27" s="123"/>
      <c r="Z27" s="126"/>
      <c r="AA27" s="9"/>
    </row>
    <row r="28" spans="1:27" x14ac:dyDescent="0.2">
      <c r="A28" s="112"/>
      <c r="B28" s="129"/>
      <c r="C28" s="114"/>
      <c r="D28" s="114"/>
      <c r="E28" s="115"/>
      <c r="F28" s="116"/>
      <c r="G28" s="117"/>
      <c r="H28" s="118"/>
      <c r="I28" s="119"/>
      <c r="J28" s="120"/>
      <c r="K28" s="121"/>
      <c r="L28" s="122"/>
      <c r="M28" s="123"/>
      <c r="N28" s="124"/>
      <c r="O28" s="125"/>
      <c r="P28" s="123"/>
      <c r="Q28" s="126"/>
      <c r="R28" s="127"/>
      <c r="S28" s="128"/>
      <c r="T28" s="123"/>
      <c r="U28" s="124"/>
      <c r="V28" s="125"/>
      <c r="W28" s="128"/>
      <c r="X28" s="128"/>
      <c r="Y28" s="123"/>
      <c r="Z28" s="126"/>
      <c r="AA28" s="9"/>
    </row>
    <row r="29" spans="1:27" x14ac:dyDescent="0.2">
      <c r="A29" s="112"/>
      <c r="B29" s="129"/>
      <c r="C29" s="114"/>
      <c r="D29" s="114"/>
      <c r="E29" s="115"/>
      <c r="F29" s="116"/>
      <c r="G29" s="117"/>
      <c r="H29" s="118"/>
      <c r="I29" s="119"/>
      <c r="J29" s="120"/>
      <c r="K29" s="121"/>
      <c r="L29" s="122"/>
      <c r="M29" s="123"/>
      <c r="N29" s="124"/>
      <c r="O29" s="125"/>
      <c r="P29" s="123"/>
      <c r="Q29" s="126"/>
      <c r="R29" s="127"/>
      <c r="S29" s="128"/>
      <c r="T29" s="123"/>
      <c r="U29" s="124"/>
      <c r="V29" s="125"/>
      <c r="W29" s="128"/>
      <c r="X29" s="128"/>
      <c r="Y29" s="123"/>
      <c r="Z29" s="126"/>
      <c r="AA29" s="9"/>
    </row>
    <row r="30" spans="1:27" x14ac:dyDescent="0.2">
      <c r="A30" s="112"/>
      <c r="B30" s="129"/>
      <c r="C30" s="114"/>
      <c r="D30" s="114"/>
      <c r="E30" s="115"/>
      <c r="F30" s="116"/>
      <c r="G30" s="117"/>
      <c r="H30" s="118"/>
      <c r="I30" s="119"/>
      <c r="J30" s="120"/>
      <c r="K30" s="121"/>
      <c r="L30" s="122"/>
      <c r="M30" s="123"/>
      <c r="N30" s="124"/>
      <c r="O30" s="125"/>
      <c r="P30" s="123"/>
      <c r="Q30" s="126"/>
      <c r="R30" s="127"/>
      <c r="S30" s="128"/>
      <c r="T30" s="123"/>
      <c r="U30" s="124"/>
      <c r="V30" s="125"/>
      <c r="W30" s="128"/>
      <c r="X30" s="128"/>
      <c r="Y30" s="123"/>
      <c r="Z30" s="126"/>
      <c r="AA30" s="9"/>
    </row>
    <row r="31" spans="1:27" x14ac:dyDescent="0.2">
      <c r="A31" s="112"/>
      <c r="B31" s="129"/>
      <c r="C31" s="114"/>
      <c r="D31" s="114"/>
      <c r="E31" s="115"/>
      <c r="F31" s="116"/>
      <c r="G31" s="117"/>
      <c r="H31" s="118"/>
      <c r="I31" s="119"/>
      <c r="J31" s="120"/>
      <c r="K31" s="121"/>
      <c r="L31" s="122"/>
      <c r="M31" s="123"/>
      <c r="N31" s="124"/>
      <c r="O31" s="125"/>
      <c r="P31" s="123"/>
      <c r="Q31" s="126"/>
      <c r="R31" s="127"/>
      <c r="S31" s="128"/>
      <c r="T31" s="123"/>
      <c r="U31" s="124"/>
      <c r="V31" s="125"/>
      <c r="W31" s="128"/>
      <c r="X31" s="128"/>
      <c r="Y31" s="123"/>
      <c r="Z31" s="126"/>
      <c r="AA31" s="9"/>
    </row>
    <row r="32" spans="1:27" x14ac:dyDescent="0.2">
      <c r="A32" s="112"/>
      <c r="B32" s="129"/>
      <c r="C32" s="114"/>
      <c r="D32" s="114"/>
      <c r="E32" s="115"/>
      <c r="F32" s="116"/>
      <c r="G32" s="117"/>
      <c r="H32" s="118"/>
      <c r="I32" s="119"/>
      <c r="J32" s="120"/>
      <c r="K32" s="121"/>
      <c r="L32" s="122"/>
      <c r="M32" s="123"/>
      <c r="N32" s="124"/>
      <c r="O32" s="125"/>
      <c r="P32" s="123"/>
      <c r="Q32" s="126"/>
      <c r="R32" s="127"/>
      <c r="S32" s="128"/>
      <c r="T32" s="123"/>
      <c r="U32" s="124"/>
      <c r="V32" s="125"/>
      <c r="W32" s="128"/>
      <c r="X32" s="128"/>
      <c r="Y32" s="123"/>
      <c r="Z32" s="126"/>
      <c r="AA32" s="9"/>
    </row>
    <row r="33" spans="1:27" x14ac:dyDescent="0.2">
      <c r="A33" s="112"/>
      <c r="B33" s="129"/>
      <c r="C33" s="114"/>
      <c r="D33" s="114"/>
      <c r="E33" s="115"/>
      <c r="F33" s="116"/>
      <c r="G33" s="117"/>
      <c r="H33" s="118"/>
      <c r="I33" s="119"/>
      <c r="J33" s="120"/>
      <c r="K33" s="121"/>
      <c r="L33" s="122"/>
      <c r="M33" s="123"/>
      <c r="N33" s="124"/>
      <c r="O33" s="125"/>
      <c r="P33" s="123"/>
      <c r="Q33" s="126"/>
      <c r="R33" s="127"/>
      <c r="S33" s="128"/>
      <c r="T33" s="123"/>
      <c r="U33" s="124"/>
      <c r="V33" s="125"/>
      <c r="W33" s="128"/>
      <c r="X33" s="128"/>
      <c r="Y33" s="123"/>
      <c r="Z33" s="126"/>
      <c r="AA33" s="9"/>
    </row>
    <row r="34" spans="1:27" x14ac:dyDescent="0.2">
      <c r="A34" s="112"/>
      <c r="B34" s="129"/>
      <c r="C34" s="114"/>
      <c r="D34" s="114"/>
      <c r="E34" s="115"/>
      <c r="F34" s="116"/>
      <c r="G34" s="117"/>
      <c r="H34" s="118"/>
      <c r="I34" s="119"/>
      <c r="J34" s="120"/>
      <c r="K34" s="121"/>
      <c r="L34" s="122"/>
      <c r="M34" s="123"/>
      <c r="N34" s="124"/>
      <c r="O34" s="125"/>
      <c r="P34" s="123"/>
      <c r="Q34" s="126"/>
      <c r="R34" s="127"/>
      <c r="S34" s="128"/>
      <c r="T34" s="123"/>
      <c r="U34" s="124"/>
      <c r="V34" s="125"/>
      <c r="W34" s="128"/>
      <c r="X34" s="128"/>
      <c r="Y34" s="123"/>
      <c r="Z34" s="126"/>
      <c r="AA34" s="9"/>
    </row>
    <row r="35" spans="1:27" x14ac:dyDescent="0.2">
      <c r="A35" s="112"/>
      <c r="B35" s="129"/>
      <c r="C35" s="114"/>
      <c r="D35" s="114"/>
      <c r="E35" s="115"/>
      <c r="F35" s="116"/>
      <c r="G35" s="117"/>
      <c r="H35" s="118"/>
      <c r="I35" s="119"/>
      <c r="J35" s="120"/>
      <c r="K35" s="121"/>
      <c r="L35" s="122"/>
      <c r="M35" s="123"/>
      <c r="N35" s="124"/>
      <c r="O35" s="125"/>
      <c r="P35" s="123"/>
      <c r="Q35" s="126"/>
      <c r="R35" s="127"/>
      <c r="S35" s="128"/>
      <c r="T35" s="123"/>
      <c r="U35" s="124"/>
      <c r="V35" s="125"/>
      <c r="W35" s="128"/>
      <c r="X35" s="128"/>
      <c r="Y35" s="123"/>
      <c r="Z35" s="126"/>
      <c r="AA35" s="9"/>
    </row>
    <row r="36" spans="1:27" x14ac:dyDescent="0.2">
      <c r="A36" s="112"/>
      <c r="B36" s="129"/>
      <c r="C36" s="114"/>
      <c r="D36" s="114"/>
      <c r="E36" s="115"/>
      <c r="F36" s="116"/>
      <c r="G36" s="117"/>
      <c r="H36" s="118"/>
      <c r="I36" s="119"/>
      <c r="J36" s="120"/>
      <c r="K36" s="121"/>
      <c r="L36" s="122"/>
      <c r="M36" s="123"/>
      <c r="N36" s="124"/>
      <c r="O36" s="125"/>
      <c r="P36" s="123"/>
      <c r="Q36" s="126"/>
      <c r="R36" s="127"/>
      <c r="S36" s="128"/>
      <c r="T36" s="123"/>
      <c r="U36" s="124"/>
      <c r="V36" s="125"/>
      <c r="W36" s="128"/>
      <c r="X36" s="128"/>
      <c r="Y36" s="123"/>
      <c r="Z36" s="126"/>
      <c r="AA36" s="9"/>
    </row>
    <row r="37" spans="1:27" x14ac:dyDescent="0.2">
      <c r="A37" s="112"/>
      <c r="B37" s="129"/>
      <c r="C37" s="114"/>
      <c r="D37" s="114"/>
      <c r="E37" s="115"/>
      <c r="F37" s="116"/>
      <c r="G37" s="117"/>
      <c r="H37" s="118"/>
      <c r="I37" s="119"/>
      <c r="J37" s="120"/>
      <c r="K37" s="121"/>
      <c r="L37" s="122"/>
      <c r="M37" s="123"/>
      <c r="N37" s="124"/>
      <c r="O37" s="125"/>
      <c r="P37" s="123"/>
      <c r="Q37" s="126"/>
      <c r="R37" s="127"/>
      <c r="S37" s="128"/>
      <c r="T37" s="123"/>
      <c r="U37" s="124"/>
      <c r="V37" s="125"/>
      <c r="W37" s="128"/>
      <c r="X37" s="128"/>
      <c r="Y37" s="123"/>
      <c r="Z37" s="126"/>
      <c r="AA37" s="9"/>
    </row>
    <row r="38" spans="1:27" x14ac:dyDescent="0.2">
      <c r="A38" s="112"/>
      <c r="B38" s="129"/>
      <c r="C38" s="114"/>
      <c r="D38" s="114"/>
      <c r="E38" s="115"/>
      <c r="F38" s="116"/>
      <c r="G38" s="117"/>
      <c r="H38" s="118"/>
      <c r="I38" s="119"/>
      <c r="J38" s="120"/>
      <c r="K38" s="121"/>
      <c r="L38" s="122"/>
      <c r="M38" s="123"/>
      <c r="N38" s="124"/>
      <c r="O38" s="125"/>
      <c r="P38" s="123"/>
      <c r="Q38" s="126"/>
      <c r="R38" s="127"/>
      <c r="S38" s="128"/>
      <c r="T38" s="123"/>
      <c r="U38" s="124"/>
      <c r="V38" s="125"/>
      <c r="W38" s="128"/>
      <c r="X38" s="128"/>
      <c r="Y38" s="123"/>
      <c r="Z38" s="126"/>
      <c r="AA38" s="9"/>
    </row>
    <row r="39" spans="1:27" x14ac:dyDescent="0.2">
      <c r="A39" s="112"/>
      <c r="B39" s="129"/>
      <c r="C39" s="114"/>
      <c r="D39" s="114"/>
      <c r="E39" s="115"/>
      <c r="F39" s="116"/>
      <c r="G39" s="117"/>
      <c r="H39" s="118"/>
      <c r="I39" s="119"/>
      <c r="J39" s="120"/>
      <c r="K39" s="121"/>
      <c r="L39" s="122"/>
      <c r="M39" s="123"/>
      <c r="N39" s="124"/>
      <c r="O39" s="125"/>
      <c r="P39" s="123"/>
      <c r="Q39" s="126"/>
      <c r="R39" s="127"/>
      <c r="S39" s="128"/>
      <c r="T39" s="123"/>
      <c r="U39" s="124"/>
      <c r="V39" s="125"/>
      <c r="W39" s="128"/>
      <c r="X39" s="128"/>
      <c r="Y39" s="123"/>
      <c r="Z39" s="126"/>
      <c r="AA39" s="9"/>
    </row>
    <row r="40" spans="1:27" x14ac:dyDescent="0.2">
      <c r="A40" s="112"/>
      <c r="B40" s="129"/>
      <c r="C40" s="114"/>
      <c r="D40" s="114"/>
      <c r="E40" s="115"/>
      <c r="F40" s="116"/>
      <c r="G40" s="117"/>
      <c r="H40" s="118"/>
      <c r="I40" s="119"/>
      <c r="J40" s="120"/>
      <c r="K40" s="121"/>
      <c r="L40" s="122"/>
      <c r="M40" s="123"/>
      <c r="N40" s="124"/>
      <c r="O40" s="125"/>
      <c r="P40" s="123"/>
      <c r="Q40" s="126"/>
      <c r="R40" s="127"/>
      <c r="S40" s="128"/>
      <c r="T40" s="123"/>
      <c r="U40" s="124"/>
      <c r="V40" s="125"/>
      <c r="W40" s="128"/>
      <c r="X40" s="128"/>
      <c r="Y40" s="123"/>
      <c r="Z40" s="126"/>
      <c r="AA40" s="9"/>
    </row>
    <row r="41" spans="1:27" x14ac:dyDescent="0.2">
      <c r="A41" s="112"/>
      <c r="B41" s="129"/>
      <c r="C41" s="114"/>
      <c r="D41" s="114"/>
      <c r="E41" s="115"/>
      <c r="F41" s="116"/>
      <c r="G41" s="117"/>
      <c r="H41" s="118"/>
      <c r="I41" s="119"/>
      <c r="J41" s="120"/>
      <c r="K41" s="121"/>
      <c r="L41" s="122"/>
      <c r="M41" s="123"/>
      <c r="N41" s="124"/>
      <c r="O41" s="125"/>
      <c r="P41" s="123"/>
      <c r="Q41" s="126"/>
      <c r="R41" s="127"/>
      <c r="S41" s="128"/>
      <c r="T41" s="123"/>
      <c r="U41" s="124"/>
      <c r="V41" s="125"/>
      <c r="W41" s="128"/>
      <c r="X41" s="128"/>
      <c r="Y41" s="123"/>
      <c r="Z41" s="126"/>
      <c r="AA41" s="9"/>
    </row>
    <row r="42" spans="1:27" x14ac:dyDescent="0.2">
      <c r="A42" s="112"/>
      <c r="B42" s="129"/>
      <c r="C42" s="114"/>
      <c r="D42" s="114"/>
      <c r="E42" s="115"/>
      <c r="F42" s="116"/>
      <c r="G42" s="117"/>
      <c r="H42" s="118"/>
      <c r="I42" s="119"/>
      <c r="J42" s="120"/>
      <c r="K42" s="121"/>
      <c r="L42" s="122"/>
      <c r="M42" s="123"/>
      <c r="N42" s="124"/>
      <c r="O42" s="125"/>
      <c r="P42" s="123"/>
      <c r="Q42" s="126"/>
      <c r="R42" s="127"/>
      <c r="S42" s="128"/>
      <c r="T42" s="123"/>
      <c r="U42" s="124"/>
      <c r="V42" s="125"/>
      <c r="W42" s="128"/>
      <c r="X42" s="128"/>
      <c r="Y42" s="123"/>
      <c r="Z42" s="126"/>
      <c r="AA42" s="9"/>
    </row>
    <row r="43" spans="1:27" x14ac:dyDescent="0.2">
      <c r="A43" s="112"/>
      <c r="B43" s="129"/>
      <c r="C43" s="114"/>
      <c r="D43" s="114"/>
      <c r="E43" s="115"/>
      <c r="F43" s="116"/>
      <c r="G43" s="117"/>
      <c r="H43" s="118"/>
      <c r="I43" s="119"/>
      <c r="J43" s="120"/>
      <c r="K43" s="121"/>
      <c r="L43" s="122"/>
      <c r="M43" s="123"/>
      <c r="N43" s="124"/>
      <c r="O43" s="125"/>
      <c r="P43" s="123"/>
      <c r="Q43" s="126"/>
      <c r="R43" s="127"/>
      <c r="S43" s="128"/>
      <c r="T43" s="123"/>
      <c r="U43" s="124"/>
      <c r="V43" s="125"/>
      <c r="W43" s="128"/>
      <c r="X43" s="128"/>
      <c r="Y43" s="123"/>
      <c r="Z43" s="126"/>
      <c r="AA43" s="9"/>
    </row>
    <row r="44" spans="1:27" x14ac:dyDescent="0.2">
      <c r="A44" s="112"/>
      <c r="B44" s="129"/>
      <c r="C44" s="114"/>
      <c r="D44" s="114"/>
      <c r="E44" s="115"/>
      <c r="F44" s="116"/>
      <c r="G44" s="117"/>
      <c r="H44" s="118"/>
      <c r="I44" s="119"/>
      <c r="J44" s="120"/>
      <c r="K44" s="121"/>
      <c r="L44" s="122"/>
      <c r="M44" s="123"/>
      <c r="N44" s="124"/>
      <c r="O44" s="125"/>
      <c r="P44" s="123"/>
      <c r="Q44" s="126"/>
      <c r="R44" s="127"/>
      <c r="S44" s="128"/>
      <c r="T44" s="123"/>
      <c r="U44" s="124"/>
      <c r="V44" s="125"/>
      <c r="W44" s="128"/>
      <c r="X44" s="128"/>
      <c r="Y44" s="123"/>
      <c r="Z44" s="126"/>
      <c r="AA44" s="9"/>
    </row>
    <row r="45" spans="1:27" x14ac:dyDescent="0.2">
      <c r="A45" s="112"/>
      <c r="B45" s="129"/>
      <c r="C45" s="114"/>
      <c r="D45" s="114"/>
      <c r="E45" s="115"/>
      <c r="F45" s="116"/>
      <c r="G45" s="117"/>
      <c r="H45" s="118"/>
      <c r="I45" s="119"/>
      <c r="J45" s="120"/>
      <c r="K45" s="121"/>
      <c r="L45" s="122"/>
      <c r="M45" s="123"/>
      <c r="N45" s="124"/>
      <c r="O45" s="125"/>
      <c r="P45" s="123"/>
      <c r="Q45" s="126"/>
      <c r="R45" s="127"/>
      <c r="S45" s="128"/>
      <c r="T45" s="123"/>
      <c r="U45" s="124"/>
      <c r="V45" s="125"/>
      <c r="W45" s="128"/>
      <c r="X45" s="128"/>
      <c r="Y45" s="123"/>
      <c r="Z45" s="126"/>
      <c r="AA45" s="9"/>
    </row>
    <row r="46" spans="1:27" x14ac:dyDescent="0.2">
      <c r="A46" s="112"/>
      <c r="B46" s="129"/>
      <c r="C46" s="114"/>
      <c r="D46" s="114"/>
      <c r="E46" s="115"/>
      <c r="F46" s="116"/>
      <c r="G46" s="117"/>
      <c r="H46" s="118"/>
      <c r="I46" s="119"/>
      <c r="J46" s="120"/>
      <c r="K46" s="121"/>
      <c r="L46" s="122"/>
      <c r="M46" s="123"/>
      <c r="N46" s="124"/>
      <c r="O46" s="125"/>
      <c r="P46" s="123"/>
      <c r="Q46" s="126"/>
      <c r="R46" s="127"/>
      <c r="S46" s="128"/>
      <c r="T46" s="123"/>
      <c r="U46" s="124"/>
      <c r="V46" s="125"/>
      <c r="W46" s="128"/>
      <c r="X46" s="128"/>
      <c r="Y46" s="123"/>
      <c r="Z46" s="126"/>
      <c r="AA46" s="9"/>
    </row>
    <row r="47" spans="1:27" x14ac:dyDescent="0.2">
      <c r="A47" s="112"/>
      <c r="B47" s="129"/>
      <c r="C47" s="114"/>
      <c r="D47" s="114"/>
      <c r="E47" s="115"/>
      <c r="F47" s="116"/>
      <c r="G47" s="117"/>
      <c r="H47" s="118"/>
      <c r="I47" s="119"/>
      <c r="J47" s="120"/>
      <c r="K47" s="121"/>
      <c r="L47" s="122"/>
      <c r="M47" s="123"/>
      <c r="N47" s="124"/>
      <c r="O47" s="125"/>
      <c r="P47" s="123"/>
      <c r="Q47" s="126"/>
      <c r="R47" s="127"/>
      <c r="S47" s="128"/>
      <c r="T47" s="123"/>
      <c r="U47" s="124"/>
      <c r="V47" s="125"/>
      <c r="W47" s="128"/>
      <c r="X47" s="128"/>
      <c r="Y47" s="123"/>
      <c r="Z47" s="126"/>
      <c r="AA47" s="9"/>
    </row>
    <row r="48" spans="1:27" x14ac:dyDescent="0.2">
      <c r="A48" s="112"/>
      <c r="B48" s="129"/>
      <c r="C48" s="114"/>
      <c r="D48" s="114"/>
      <c r="E48" s="115"/>
      <c r="F48" s="116"/>
      <c r="G48" s="117"/>
      <c r="H48" s="118"/>
      <c r="I48" s="119"/>
      <c r="J48" s="120"/>
      <c r="K48" s="121"/>
      <c r="L48" s="122"/>
      <c r="M48" s="123"/>
      <c r="N48" s="124"/>
      <c r="O48" s="125"/>
      <c r="P48" s="123"/>
      <c r="Q48" s="126"/>
      <c r="R48" s="127"/>
      <c r="S48" s="128"/>
      <c r="T48" s="123"/>
      <c r="U48" s="124"/>
      <c r="V48" s="125"/>
      <c r="W48" s="128"/>
      <c r="X48" s="128"/>
      <c r="Y48" s="123"/>
      <c r="Z48" s="126"/>
      <c r="AA48" s="9"/>
    </row>
    <row r="49" spans="1:27" x14ac:dyDescent="0.2">
      <c r="A49" s="112"/>
      <c r="B49" s="129"/>
      <c r="C49" s="114"/>
      <c r="D49" s="114"/>
      <c r="E49" s="115"/>
      <c r="F49" s="116"/>
      <c r="G49" s="117"/>
      <c r="H49" s="118"/>
      <c r="I49" s="119"/>
      <c r="J49" s="120"/>
      <c r="K49" s="121"/>
      <c r="L49" s="122"/>
      <c r="M49" s="123"/>
      <c r="N49" s="124"/>
      <c r="O49" s="125"/>
      <c r="P49" s="123"/>
      <c r="Q49" s="126"/>
      <c r="R49" s="127"/>
      <c r="S49" s="128"/>
      <c r="T49" s="123"/>
      <c r="U49" s="124"/>
      <c r="V49" s="125"/>
      <c r="W49" s="128"/>
      <c r="X49" s="128"/>
      <c r="Y49" s="123"/>
      <c r="Z49" s="126"/>
      <c r="AA49" s="9"/>
    </row>
    <row r="50" spans="1:27" x14ac:dyDescent="0.2">
      <c r="A50" s="112"/>
      <c r="B50" s="129"/>
      <c r="C50" s="114"/>
      <c r="D50" s="114"/>
      <c r="E50" s="115"/>
      <c r="F50" s="116"/>
      <c r="G50" s="117"/>
      <c r="H50" s="118"/>
      <c r="I50" s="119"/>
      <c r="J50" s="120"/>
      <c r="K50" s="121"/>
      <c r="L50" s="122"/>
      <c r="M50" s="123"/>
      <c r="N50" s="124"/>
      <c r="O50" s="125"/>
      <c r="P50" s="123"/>
      <c r="Q50" s="126"/>
      <c r="R50" s="127"/>
      <c r="S50" s="128"/>
      <c r="T50" s="123"/>
      <c r="U50" s="124"/>
      <c r="V50" s="125"/>
      <c r="W50" s="128"/>
      <c r="X50" s="128"/>
      <c r="Y50" s="123"/>
      <c r="Z50" s="126"/>
      <c r="AA50" s="9"/>
    </row>
    <row r="51" spans="1:27" x14ac:dyDescent="0.2">
      <c r="A51" s="112"/>
      <c r="B51" s="129"/>
      <c r="C51" s="114"/>
      <c r="D51" s="114"/>
      <c r="E51" s="115"/>
      <c r="F51" s="116"/>
      <c r="G51" s="117"/>
      <c r="H51" s="118"/>
      <c r="I51" s="119"/>
      <c r="J51" s="120"/>
      <c r="K51" s="121"/>
      <c r="L51" s="122"/>
      <c r="M51" s="123"/>
      <c r="N51" s="124"/>
      <c r="O51" s="125"/>
      <c r="P51" s="123"/>
      <c r="Q51" s="126"/>
      <c r="R51" s="127"/>
      <c r="S51" s="128"/>
      <c r="T51" s="123"/>
      <c r="U51" s="124"/>
      <c r="V51" s="125"/>
      <c r="W51" s="128"/>
      <c r="X51" s="128"/>
      <c r="Y51" s="123"/>
      <c r="Z51" s="126"/>
      <c r="AA51" s="9"/>
    </row>
    <row r="52" spans="1:27" x14ac:dyDescent="0.2">
      <c r="A52" s="112"/>
      <c r="B52" s="129"/>
      <c r="C52" s="114"/>
      <c r="D52" s="114"/>
      <c r="E52" s="115"/>
      <c r="F52" s="116"/>
      <c r="G52" s="117"/>
      <c r="H52" s="118"/>
      <c r="I52" s="119"/>
      <c r="J52" s="120"/>
      <c r="K52" s="121"/>
      <c r="L52" s="122"/>
      <c r="M52" s="123"/>
      <c r="N52" s="124"/>
      <c r="O52" s="125"/>
      <c r="P52" s="123"/>
      <c r="Q52" s="126"/>
      <c r="R52" s="127"/>
      <c r="S52" s="128"/>
      <c r="T52" s="123"/>
      <c r="U52" s="124"/>
      <c r="V52" s="125"/>
      <c r="W52" s="128"/>
      <c r="X52" s="128"/>
      <c r="Y52" s="123"/>
      <c r="Z52" s="126"/>
      <c r="AA52" s="9"/>
    </row>
    <row r="53" spans="1:27" x14ac:dyDescent="0.2">
      <c r="A53" s="112"/>
      <c r="B53" s="129"/>
      <c r="C53" s="114"/>
      <c r="D53" s="114"/>
      <c r="E53" s="115"/>
      <c r="F53" s="116"/>
      <c r="G53" s="117"/>
      <c r="H53" s="118"/>
      <c r="I53" s="119"/>
      <c r="J53" s="120"/>
      <c r="K53" s="121"/>
      <c r="L53" s="122"/>
      <c r="M53" s="123"/>
      <c r="N53" s="124"/>
      <c r="O53" s="125"/>
      <c r="P53" s="123"/>
      <c r="Q53" s="126"/>
      <c r="R53" s="127"/>
      <c r="S53" s="128"/>
      <c r="T53" s="123"/>
      <c r="U53" s="124"/>
      <c r="V53" s="125"/>
      <c r="W53" s="128"/>
      <c r="X53" s="128"/>
      <c r="Y53" s="123"/>
      <c r="Z53" s="126"/>
      <c r="AA53" s="9"/>
    </row>
    <row r="54" spans="1:27" x14ac:dyDescent="0.2">
      <c r="A54" s="112"/>
      <c r="B54" s="129"/>
      <c r="C54" s="114"/>
      <c r="D54" s="114"/>
      <c r="E54" s="115"/>
      <c r="F54" s="116"/>
      <c r="G54" s="117"/>
      <c r="H54" s="118"/>
      <c r="I54" s="119"/>
      <c r="J54" s="120"/>
      <c r="K54" s="121"/>
      <c r="L54" s="122"/>
      <c r="M54" s="123"/>
      <c r="N54" s="124"/>
      <c r="O54" s="125"/>
      <c r="P54" s="123"/>
      <c r="Q54" s="126"/>
      <c r="R54" s="127"/>
      <c r="S54" s="128"/>
      <c r="T54" s="123"/>
      <c r="U54" s="124"/>
      <c r="V54" s="125"/>
      <c r="W54" s="128"/>
      <c r="X54" s="128"/>
      <c r="Y54" s="123"/>
      <c r="Z54" s="126"/>
      <c r="AA54" s="9"/>
    </row>
    <row r="55" spans="1:27" x14ac:dyDescent="0.2">
      <c r="A55" s="112"/>
      <c r="B55" s="129"/>
      <c r="C55" s="114"/>
      <c r="D55" s="114"/>
      <c r="E55" s="115"/>
      <c r="F55" s="116"/>
      <c r="G55" s="117"/>
      <c r="H55" s="118"/>
      <c r="I55" s="119"/>
      <c r="J55" s="120"/>
      <c r="K55" s="121"/>
      <c r="L55" s="122"/>
      <c r="M55" s="123"/>
      <c r="N55" s="124"/>
      <c r="O55" s="125"/>
      <c r="P55" s="123"/>
      <c r="Q55" s="126"/>
      <c r="R55" s="127"/>
      <c r="S55" s="128"/>
      <c r="T55" s="123"/>
      <c r="U55" s="124"/>
      <c r="V55" s="125"/>
      <c r="W55" s="128"/>
      <c r="X55" s="128"/>
      <c r="Y55" s="123"/>
      <c r="Z55" s="126"/>
      <c r="AA55" s="9"/>
    </row>
    <row r="56" spans="1:27" x14ac:dyDescent="0.2">
      <c r="A56" s="112"/>
      <c r="B56" s="129"/>
      <c r="C56" s="114"/>
      <c r="D56" s="114"/>
      <c r="E56" s="115"/>
      <c r="F56" s="116"/>
      <c r="G56" s="117"/>
      <c r="H56" s="118"/>
      <c r="I56" s="119"/>
      <c r="J56" s="120"/>
      <c r="K56" s="121"/>
      <c r="L56" s="122"/>
      <c r="M56" s="123"/>
      <c r="N56" s="124"/>
      <c r="O56" s="125"/>
      <c r="P56" s="123"/>
      <c r="Q56" s="126"/>
      <c r="R56" s="127"/>
      <c r="S56" s="128"/>
      <c r="T56" s="123"/>
      <c r="U56" s="124"/>
      <c r="V56" s="125"/>
      <c r="W56" s="128"/>
      <c r="X56" s="128"/>
      <c r="Y56" s="123"/>
      <c r="Z56" s="126"/>
      <c r="AA56" s="9"/>
    </row>
    <row r="57" spans="1:27" x14ac:dyDescent="0.2">
      <c r="A57" s="112"/>
      <c r="B57" s="129"/>
      <c r="C57" s="114"/>
      <c r="D57" s="114"/>
      <c r="E57" s="115"/>
      <c r="F57" s="116"/>
      <c r="G57" s="117"/>
      <c r="H57" s="118"/>
      <c r="I57" s="119"/>
      <c r="J57" s="120"/>
      <c r="K57" s="121"/>
      <c r="L57" s="122"/>
      <c r="M57" s="123"/>
      <c r="N57" s="124"/>
      <c r="O57" s="125"/>
      <c r="P57" s="123"/>
      <c r="Q57" s="126"/>
      <c r="R57" s="127"/>
      <c r="S57" s="128"/>
      <c r="T57" s="123"/>
      <c r="U57" s="124"/>
      <c r="V57" s="125"/>
      <c r="W57" s="128"/>
      <c r="X57" s="128"/>
      <c r="Y57" s="123"/>
      <c r="Z57" s="126"/>
      <c r="AA57" s="9"/>
    </row>
    <row r="58" spans="1:27" x14ac:dyDescent="0.2">
      <c r="A58" s="112"/>
      <c r="B58" s="129"/>
      <c r="C58" s="114"/>
      <c r="D58" s="114"/>
      <c r="E58" s="115"/>
      <c r="F58" s="116"/>
      <c r="G58" s="117"/>
      <c r="H58" s="118"/>
      <c r="I58" s="119"/>
      <c r="J58" s="120"/>
      <c r="K58" s="121"/>
      <c r="L58" s="122"/>
      <c r="M58" s="123"/>
      <c r="N58" s="124"/>
      <c r="O58" s="125"/>
      <c r="P58" s="123"/>
      <c r="Q58" s="126"/>
      <c r="R58" s="127"/>
      <c r="S58" s="128"/>
      <c r="T58" s="123"/>
      <c r="U58" s="124"/>
      <c r="V58" s="125"/>
      <c r="W58" s="128"/>
      <c r="X58" s="128"/>
      <c r="Y58" s="123"/>
      <c r="Z58" s="126"/>
      <c r="AA58" s="9"/>
    </row>
    <row r="59" spans="1:27" x14ac:dyDescent="0.2">
      <c r="A59" s="112"/>
      <c r="B59" s="129"/>
      <c r="C59" s="114"/>
      <c r="D59" s="114"/>
      <c r="E59" s="115"/>
      <c r="F59" s="116"/>
      <c r="G59" s="117"/>
      <c r="H59" s="118"/>
      <c r="I59" s="119"/>
      <c r="J59" s="120"/>
      <c r="K59" s="121"/>
      <c r="L59" s="122"/>
      <c r="M59" s="123"/>
      <c r="N59" s="124"/>
      <c r="O59" s="125"/>
      <c r="P59" s="123"/>
      <c r="Q59" s="126"/>
      <c r="R59" s="127"/>
      <c r="S59" s="128"/>
      <c r="T59" s="123"/>
      <c r="U59" s="124"/>
      <c r="V59" s="125"/>
      <c r="W59" s="128"/>
      <c r="X59" s="128"/>
      <c r="Y59" s="123"/>
      <c r="Z59" s="126"/>
      <c r="AA59" s="9"/>
    </row>
    <row r="60" spans="1:27" x14ac:dyDescent="0.2">
      <c r="A60" s="112"/>
      <c r="B60" s="129"/>
      <c r="C60" s="114"/>
      <c r="D60" s="114"/>
      <c r="E60" s="115"/>
      <c r="F60" s="116"/>
      <c r="G60" s="117"/>
      <c r="H60" s="118"/>
      <c r="I60" s="119"/>
      <c r="J60" s="120"/>
      <c r="K60" s="121"/>
      <c r="L60" s="122"/>
      <c r="M60" s="123"/>
      <c r="N60" s="124"/>
      <c r="O60" s="125"/>
      <c r="P60" s="123"/>
      <c r="Q60" s="126"/>
      <c r="R60" s="127"/>
      <c r="S60" s="128"/>
      <c r="T60" s="123"/>
      <c r="U60" s="124"/>
      <c r="V60" s="125"/>
      <c r="W60" s="128"/>
      <c r="X60" s="128"/>
      <c r="Y60" s="123"/>
      <c r="Z60" s="126"/>
      <c r="AA60" s="9"/>
    </row>
    <row r="61" spans="1:27" x14ac:dyDescent="0.2">
      <c r="A61" s="112"/>
      <c r="B61" s="129"/>
      <c r="C61" s="114"/>
      <c r="D61" s="114"/>
      <c r="E61" s="115"/>
      <c r="F61" s="116"/>
      <c r="G61" s="117"/>
      <c r="H61" s="118"/>
      <c r="I61" s="119"/>
      <c r="J61" s="120"/>
      <c r="K61" s="121"/>
      <c r="L61" s="122"/>
      <c r="M61" s="123"/>
      <c r="N61" s="124"/>
      <c r="O61" s="125"/>
      <c r="P61" s="123"/>
      <c r="Q61" s="126"/>
      <c r="R61" s="127"/>
      <c r="S61" s="128"/>
      <c r="T61" s="123"/>
      <c r="U61" s="124"/>
      <c r="V61" s="125"/>
      <c r="W61" s="128"/>
      <c r="X61" s="128"/>
      <c r="Y61" s="123"/>
      <c r="Z61" s="126"/>
      <c r="AA61" s="9"/>
    </row>
  </sheetData>
  <sheetProtection selectLockedCells="1" selectUnlockedCells="1"/>
  <mergeCells count="15">
    <mergeCell ref="N9:X9"/>
    <mergeCell ref="AA10:AA11"/>
    <mergeCell ref="L10:N10"/>
    <mergeCell ref="O10:Q10"/>
    <mergeCell ref="R10:U10"/>
    <mergeCell ref="V10:Z10"/>
    <mergeCell ref="L3:L7"/>
    <mergeCell ref="K10:K11"/>
    <mergeCell ref="A3:B3"/>
    <mergeCell ref="J10:J11"/>
    <mergeCell ref="F9:H9"/>
    <mergeCell ref="A9:E9"/>
    <mergeCell ref="J9:K9"/>
    <mergeCell ref="C3:F5"/>
    <mergeCell ref="G3:J3"/>
  </mergeCells>
  <phoneticPr fontId="0" type="noConversion"/>
  <conditionalFormatting sqref="K17:K61">
    <cfRule type="cellIs" dxfId="9" priority="11" stopIfTrue="1" operator="greaterThanOrEqual">
      <formula>0.9</formula>
    </cfRule>
  </conditionalFormatting>
  <conditionalFormatting sqref="J17:J61">
    <cfRule type="cellIs" dxfId="8" priority="12" stopIfTrue="1" operator="greaterThan">
      <formula>0.9</formula>
    </cfRule>
  </conditionalFormatting>
  <conditionalFormatting sqref="I17:I61">
    <cfRule type="cellIs" dxfId="7" priority="15" stopIfTrue="1" operator="between">
      <formula>0</formula>
      <formula>$AG$5</formula>
    </cfRule>
    <cfRule type="cellIs" dxfId="6" priority="16" stopIfTrue="1" operator="between">
      <formula>4-$AG$6</formula>
      <formula>4</formula>
    </cfRule>
  </conditionalFormatting>
  <conditionalFormatting sqref="N17:N61 U17:U61 Z17:Z61 Q17:Q61">
    <cfRule type="cellIs" dxfId="5" priority="17" stopIfTrue="1" operator="equal">
      <formula>MAX($N17,$Q17,$U17,$Z17)</formula>
    </cfRule>
  </conditionalFormatting>
  <conditionalFormatting sqref="K13:K16">
    <cfRule type="cellIs" dxfId="4" priority="5" stopIfTrue="1" operator="greaterThanOrEqual">
      <formula>0.9</formula>
    </cfRule>
  </conditionalFormatting>
  <conditionalFormatting sqref="J12:J16">
    <cfRule type="cellIs" dxfId="3" priority="2" stopIfTrue="1" operator="greaterThan">
      <formula>0.9</formula>
    </cfRule>
  </conditionalFormatting>
  <conditionalFormatting sqref="I12:I16">
    <cfRule type="cellIs" dxfId="2" priority="3" stopIfTrue="1" operator="between">
      <formula>0</formula>
      <formula>$AG$5</formula>
    </cfRule>
    <cfRule type="cellIs" dxfId="1" priority="4" stopIfTrue="1" operator="between">
      <formula>4-$AG$6</formula>
      <formula>4</formula>
    </cfRule>
  </conditionalFormatting>
  <conditionalFormatting sqref="N12:N16 U12:U16 Z12:Z16 Q12:Q16">
    <cfRule type="cellIs" dxfId="0" priority="1" stopIfTrue="1" operator="equal">
      <formula>MAX($N12,$Q12,$U12,$Z12)</formula>
    </cfRule>
  </conditionalFormatting>
  <dataValidations count="1">
    <dataValidation type="list" showInputMessage="1" showErrorMessage="1" sqref="AA12:AA44" xr:uid="{00000000-0002-0000-0300-000000000000}">
      <formula1>$AE$3:$AE$7</formula1>
    </dataValidation>
  </dataValidations>
  <printOptions horizontalCentered="1"/>
  <pageMargins left="0.74803149606299202" right="0.74803149606299202" top="0.98425196850393704" bottom="0.98425196850393704" header="0.511811023622047" footer="0.511811023622047"/>
  <pageSetup paperSize="9" scale="46" orientation="landscape" verticalDpi="300" r:id="rId1"/>
  <headerFooter alignWithMargins="0">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B1:BA253"/>
  <sheetViews>
    <sheetView showGridLines="0" zoomScaleNormal="100" workbookViewId="0">
      <pane xSplit="3" ySplit="3" topLeftCell="D109" activePane="bottomRight" state="frozen"/>
      <selection activeCell="A5" sqref="A5:H5"/>
      <selection pane="topRight" activeCell="A5" sqref="A5:H5"/>
      <selection pane="bottomLeft" activeCell="A5" sqref="A5:H5"/>
      <selection pane="bottomRight" activeCell="H113" sqref="H113"/>
    </sheetView>
  </sheetViews>
  <sheetFormatPr defaultColWidth="9.33203125" defaultRowHeight="12.75" x14ac:dyDescent="0.2"/>
  <cols>
    <col min="1" max="1" width="2.83203125" style="2" customWidth="1"/>
    <col min="2" max="2" width="15" style="2" customWidth="1"/>
    <col min="3" max="3" width="15.5" style="2" bestFit="1" customWidth="1"/>
    <col min="4" max="53" width="14.83203125" style="2" customWidth="1"/>
    <col min="54" max="16384" width="9.33203125" style="2"/>
  </cols>
  <sheetData>
    <row r="1" spans="2:53" ht="22.5" customHeight="1" thickBot="1" x14ac:dyDescent="0.25">
      <c r="B1" s="444" t="s">
        <v>15</v>
      </c>
      <c r="C1" s="444"/>
      <c r="D1" s="445"/>
      <c r="E1" s="10"/>
      <c r="F1" s="10"/>
      <c r="G1" s="10"/>
      <c r="H1" s="10"/>
      <c r="I1" s="10"/>
      <c r="J1" s="10"/>
      <c r="K1" s="10"/>
      <c r="L1" s="10"/>
      <c r="M1" s="10"/>
      <c r="N1" s="10"/>
      <c r="O1" s="10"/>
      <c r="P1" s="11"/>
      <c r="Q1" s="10"/>
    </row>
    <row r="2" spans="2:53" ht="16.5" customHeight="1" thickBot="1" x14ac:dyDescent="0.25">
      <c r="B2" s="26" t="s">
        <v>38</v>
      </c>
      <c r="C2" s="25">
        <v>5017406.7570062997</v>
      </c>
      <c r="D2" s="25">
        <v>14450.362167200001</v>
      </c>
      <c r="E2" s="25">
        <v>101222.90315509999</v>
      </c>
      <c r="F2" s="25">
        <v>1074138.6916373</v>
      </c>
      <c r="G2" s="25">
        <v>-1744967.818399</v>
      </c>
      <c r="H2" s="25">
        <v>-1.1985250000000001</v>
      </c>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2:53" ht="25.5" customHeight="1" thickBot="1" x14ac:dyDescent="0.25">
      <c r="B3" s="27" t="str">
        <f>"Actual " &amp; Input!A4</f>
        <v>Actual Wholesale</v>
      </c>
      <c r="C3" s="23" t="str">
        <f>"Predicted " &amp;Input!A4</f>
        <v>Predicted Wholesale</v>
      </c>
      <c r="D3" s="24" t="s">
        <v>48</v>
      </c>
      <c r="E3" s="24" t="s">
        <v>49</v>
      </c>
      <c r="F3" s="24" t="s">
        <v>147</v>
      </c>
      <c r="G3" s="24" t="s">
        <v>148</v>
      </c>
      <c r="H3" s="24" t="s">
        <v>169</v>
      </c>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2:53" x14ac:dyDescent="0.2">
      <c r="B4" s="340">
        <v>50205500</v>
      </c>
      <c r="C4" s="241">
        <f>SUMPRODUCT(D2:H2,D4:H4)+C2</f>
        <v>49080295.467426114</v>
      </c>
      <c r="D4" s="29">
        <v>794.5999755859375</v>
      </c>
      <c r="E4" s="131">
        <v>0</v>
      </c>
      <c r="F4" s="131">
        <v>31</v>
      </c>
      <c r="G4" s="131">
        <v>0</v>
      </c>
      <c r="H4" s="29">
        <v>598792.8125</v>
      </c>
      <c r="I4" s="29"/>
      <c r="J4" s="29"/>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row>
    <row r="5" spans="2:53" x14ac:dyDescent="0.2">
      <c r="B5" s="132">
        <v>45182972</v>
      </c>
      <c r="C5" s="133">
        <f>SUMPRODUCT(D2:H2,D5:H5)+C2</f>
        <v>43700274.127095714</v>
      </c>
      <c r="D5" s="29">
        <v>645.29998779296875</v>
      </c>
      <c r="E5" s="29">
        <v>0</v>
      </c>
      <c r="F5" s="29">
        <v>28</v>
      </c>
      <c r="G5" s="29">
        <v>0</v>
      </c>
      <c r="H5" s="29">
        <v>598931.625</v>
      </c>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2:53" x14ac:dyDescent="0.2">
      <c r="B6" s="132">
        <v>46925212</v>
      </c>
      <c r="C6" s="133">
        <f>SUMPRODUCT(D2:H2,D6:H6)+C2</f>
        <v>44069212.983828977</v>
      </c>
      <c r="D6" s="29">
        <v>568.5999755859375</v>
      </c>
      <c r="E6" s="29">
        <v>0</v>
      </c>
      <c r="F6" s="29">
        <v>31</v>
      </c>
      <c r="G6" s="29">
        <v>1</v>
      </c>
      <c r="H6" s="29">
        <v>599070.5</v>
      </c>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2:53" x14ac:dyDescent="0.2">
      <c r="B7" s="132">
        <v>40611160</v>
      </c>
      <c r="C7" s="133">
        <f>SUMPRODUCT(D2:H2,D7:H7)+C2</f>
        <v>39513844.088252887</v>
      </c>
      <c r="D7" s="29">
        <v>324.89999389648438</v>
      </c>
      <c r="E7" s="29">
        <v>0.40000000596046448</v>
      </c>
      <c r="F7" s="29">
        <v>30</v>
      </c>
      <c r="G7" s="29">
        <v>1</v>
      </c>
      <c r="H7" s="29">
        <v>599209.3125</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2:53" x14ac:dyDescent="0.2">
      <c r="B8" s="132">
        <v>40093912</v>
      </c>
      <c r="C8" s="133">
        <f>SUMPRODUCT(D2:H2,D8:H8)+C2</f>
        <v>39082940.137118116</v>
      </c>
      <c r="D8" s="29">
        <v>136</v>
      </c>
      <c r="E8" s="29">
        <v>12.5</v>
      </c>
      <c r="F8" s="29">
        <v>31</v>
      </c>
      <c r="G8" s="29">
        <v>1</v>
      </c>
      <c r="H8" s="29">
        <v>599348.1875</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2:53" x14ac:dyDescent="0.2">
      <c r="B9" s="132">
        <v>42370712</v>
      </c>
      <c r="C9" s="133">
        <f>SUMPRODUCT(D2:H2,D9:H9)+C2</f>
        <v>40920251.365732454</v>
      </c>
      <c r="D9" s="29">
        <v>22.700000762939453</v>
      </c>
      <c r="E9" s="29">
        <v>40.200000762939453</v>
      </c>
      <c r="F9" s="29">
        <v>30</v>
      </c>
      <c r="G9" s="29">
        <v>0</v>
      </c>
      <c r="H9" s="29">
        <v>599487</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2:53" ht="13.5" customHeight="1" x14ac:dyDescent="0.2">
      <c r="B10" s="132">
        <v>52548652</v>
      </c>
      <c r="C10" s="133">
        <f>SUMPRODUCT(D2:H2,D10:H10)+C2</f>
        <v>53653882.726619169</v>
      </c>
      <c r="D10" s="29">
        <v>0.20000000298023224</v>
      </c>
      <c r="E10" s="29">
        <v>158.60000610351563</v>
      </c>
      <c r="F10" s="29">
        <v>31</v>
      </c>
      <c r="G10" s="29">
        <v>0</v>
      </c>
      <c r="H10" s="29">
        <v>599625.875</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2:53" x14ac:dyDescent="0.2">
      <c r="B11" s="132">
        <v>49452684</v>
      </c>
      <c r="C11" s="133">
        <f>SUMPRODUCT(D2:H2,D11:H11)+C2</f>
        <v>46644713.743356943</v>
      </c>
      <c r="D11" s="29">
        <v>4.0999999046325684</v>
      </c>
      <c r="E11" s="29">
        <v>88.800003051757813</v>
      </c>
      <c r="F11" s="29">
        <v>31</v>
      </c>
      <c r="G11" s="29">
        <v>0</v>
      </c>
      <c r="H11" s="29">
        <v>599764.75</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2:53" x14ac:dyDescent="0.2">
      <c r="B12" s="132">
        <v>41925404</v>
      </c>
      <c r="C12" s="133">
        <f>SUMPRODUCT(D2:H2,D12:H12)+C2</f>
        <v>38565671.013836041</v>
      </c>
      <c r="D12" s="29">
        <v>55.5</v>
      </c>
      <c r="E12" s="29">
        <v>29.5</v>
      </c>
      <c r="F12" s="29">
        <v>30</v>
      </c>
      <c r="G12" s="29">
        <v>1</v>
      </c>
      <c r="H12" s="29">
        <v>599903.5625</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2:53" x14ac:dyDescent="0.2">
      <c r="B13" s="132">
        <v>40507084</v>
      </c>
      <c r="C13" s="133">
        <f>SUMPRODUCT(D2:H2,D13:H13)+C2</f>
        <v>39302319.046585277</v>
      </c>
      <c r="D13" s="29">
        <v>238.80000305175781</v>
      </c>
      <c r="E13" s="29">
        <v>0</v>
      </c>
      <c r="F13" s="29">
        <v>31</v>
      </c>
      <c r="G13" s="29">
        <v>1</v>
      </c>
      <c r="H13" s="29">
        <v>600042.4375</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2:53" x14ac:dyDescent="0.2">
      <c r="B14" s="132">
        <v>40896332</v>
      </c>
      <c r="C14" s="133">
        <f>SUMPRODUCT(D2:H2,D14:H14)+C2</f>
        <v>39401383.348574057</v>
      </c>
      <c r="D14" s="29">
        <v>320</v>
      </c>
      <c r="E14" s="29">
        <v>0</v>
      </c>
      <c r="F14" s="29">
        <v>30</v>
      </c>
      <c r="G14" s="29">
        <v>1</v>
      </c>
      <c r="H14" s="29">
        <v>600181.25</v>
      </c>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2:53" x14ac:dyDescent="0.2">
      <c r="B15" s="132">
        <v>44967260</v>
      </c>
      <c r="C15" s="133">
        <f>SUMPRODUCT(D2:H2,D15:H15)+C2</f>
        <v>44994792.949553378</v>
      </c>
      <c r="D15" s="29">
        <v>512</v>
      </c>
      <c r="E15" s="29">
        <v>0</v>
      </c>
      <c r="F15" s="29">
        <v>31</v>
      </c>
      <c r="G15" s="29">
        <v>0</v>
      </c>
      <c r="H15" s="29">
        <v>600320.125</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2:53" ht="12" customHeight="1" x14ac:dyDescent="0.2">
      <c r="B16" s="132">
        <v>46829264</v>
      </c>
      <c r="C16" s="133">
        <f>SUMPRODUCT(D2:H2,D16:H16)+C2</f>
        <v>46268182.497260965</v>
      </c>
      <c r="D16" s="29">
        <v>600.79998779296875</v>
      </c>
      <c r="E16" s="29">
        <v>0</v>
      </c>
      <c r="F16" s="29">
        <v>31</v>
      </c>
      <c r="G16" s="29">
        <v>0</v>
      </c>
      <c r="H16" s="29">
        <v>608498.875</v>
      </c>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2:53" x14ac:dyDescent="0.2">
      <c r="B17" s="132">
        <v>43072944</v>
      </c>
      <c r="C17" s="133">
        <f>SUMPRODUCT(D2:H2,D17:H17)+C2</f>
        <v>43133258.547931939</v>
      </c>
      <c r="D17" s="29">
        <v>533.20001220703125</v>
      </c>
      <c r="E17" s="29">
        <v>0</v>
      </c>
      <c r="F17" s="390">
        <v>29</v>
      </c>
      <c r="G17" s="29">
        <v>0</v>
      </c>
      <c r="H17" s="29">
        <v>616677.625</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53" x14ac:dyDescent="0.2">
      <c r="B18" s="132">
        <v>41849536</v>
      </c>
      <c r="C18" s="133">
        <f>SUMPRODUCT(D2:H2,D18:H18)+C2</f>
        <v>40645363.107532069</v>
      </c>
      <c r="D18" s="29">
        <v>333.79998779296875</v>
      </c>
      <c r="E18" s="29">
        <v>0</v>
      </c>
      <c r="F18" s="29">
        <v>31</v>
      </c>
      <c r="G18" s="29">
        <v>1</v>
      </c>
      <c r="H18" s="29">
        <v>624856.375</v>
      </c>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2:53" x14ac:dyDescent="0.2">
      <c r="B19" s="132">
        <v>38334680</v>
      </c>
      <c r="C19" s="133">
        <f>SUMPRODUCT(D2:H2,D19:H19)+C2</f>
        <v>39658239.58246728</v>
      </c>
      <c r="D19" s="29">
        <v>340.5</v>
      </c>
      <c r="E19" s="29">
        <v>0</v>
      </c>
      <c r="F19" s="29">
        <v>30</v>
      </c>
      <c r="G19" s="29">
        <v>1</v>
      </c>
      <c r="H19" s="29">
        <v>633035.125</v>
      </c>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2:53" x14ac:dyDescent="0.2">
      <c r="B20" s="132">
        <v>39723388</v>
      </c>
      <c r="C20" s="133">
        <f>SUMPRODUCT(D2:H2,D20:H20)+C2</f>
        <v>39916834.232857712</v>
      </c>
      <c r="D20" s="29">
        <v>82.300003051757813</v>
      </c>
      <c r="E20" s="29">
        <v>28.899999618530273</v>
      </c>
      <c r="F20" s="29">
        <v>31</v>
      </c>
      <c r="G20" s="29">
        <v>1</v>
      </c>
      <c r="H20" s="29">
        <v>641213.875</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2:53" x14ac:dyDescent="0.2">
      <c r="B21" s="132">
        <v>42958924</v>
      </c>
      <c r="C21" s="133">
        <f>SUMPRODUCT(D2:H2,D21:H21)+C2</f>
        <v>43458885.049608633</v>
      </c>
      <c r="D21" s="29">
        <v>31.600000381469727</v>
      </c>
      <c r="E21" s="29">
        <v>64.599998474121094</v>
      </c>
      <c r="F21" s="29">
        <v>30</v>
      </c>
      <c r="G21" s="29">
        <v>0</v>
      </c>
      <c r="H21" s="29">
        <v>649392.625</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2:53" x14ac:dyDescent="0.2">
      <c r="B22" s="132">
        <v>51833832</v>
      </c>
      <c r="C22" s="133">
        <f>SUMPRODUCT(D2:H2,D22:H22)+C2</f>
        <v>53004571.740139946</v>
      </c>
      <c r="D22" s="29">
        <v>0</v>
      </c>
      <c r="E22" s="29">
        <v>152.89999389648438</v>
      </c>
      <c r="F22" s="29">
        <v>31</v>
      </c>
      <c r="G22" s="29">
        <v>0</v>
      </c>
      <c r="H22" s="29">
        <v>657571.375</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2:53" x14ac:dyDescent="0.2">
      <c r="B23" s="132">
        <v>48709368</v>
      </c>
      <c r="C23" s="133">
        <f>SUMPRODUCT(D2:H2,D23:H23)+C2</f>
        <v>45358164.354519129</v>
      </c>
      <c r="D23" s="29">
        <v>6</v>
      </c>
      <c r="E23" s="29">
        <v>76.599998474121094</v>
      </c>
      <c r="F23" s="29">
        <v>31</v>
      </c>
      <c r="G23" s="29">
        <v>0</v>
      </c>
      <c r="H23" s="29">
        <v>665750.1875</v>
      </c>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2:53" x14ac:dyDescent="0.2">
      <c r="B24" s="132">
        <v>40386344</v>
      </c>
      <c r="C24" s="133">
        <f>SUMPRODUCT(D2:H2,D24:H24)+C2</f>
        <v>38858397.031024456</v>
      </c>
      <c r="D24" s="29">
        <v>86.099998474121094</v>
      </c>
      <c r="E24" s="29">
        <v>28.899999618530273</v>
      </c>
      <c r="F24" s="29">
        <v>30</v>
      </c>
      <c r="G24" s="29">
        <v>1</v>
      </c>
      <c r="H24" s="29">
        <v>673928.9375</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2:53" x14ac:dyDescent="0.2">
      <c r="B25" s="132">
        <v>40191612</v>
      </c>
      <c r="C25" s="133">
        <f>SUMPRODUCT(D2:H2,D25:H25)+C2</f>
        <v>39120205.855556689</v>
      </c>
      <c r="D25" s="29">
        <v>227.39999389648438</v>
      </c>
      <c r="E25" s="29">
        <v>0.80000001192092896</v>
      </c>
      <c r="F25" s="29">
        <v>31</v>
      </c>
      <c r="G25" s="29">
        <v>1</v>
      </c>
      <c r="H25" s="29">
        <v>682107.6875</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53" x14ac:dyDescent="0.2">
      <c r="B26" s="132">
        <v>42546572</v>
      </c>
      <c r="C26" s="133">
        <f>SUMPRODUCT(D2:H2,D26:H26)+C2</f>
        <v>40917610.648120888</v>
      </c>
      <c r="D26" s="29">
        <v>432.39999389648438</v>
      </c>
      <c r="E26" s="29">
        <v>0</v>
      </c>
      <c r="F26" s="29">
        <v>30</v>
      </c>
      <c r="G26" s="29">
        <v>1</v>
      </c>
      <c r="H26" s="29">
        <v>690286.4375</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53" ht="13.5" thickBot="1" x14ac:dyDescent="0.25">
      <c r="B27" s="132">
        <v>44574932</v>
      </c>
      <c r="C27" s="133">
        <f>SUMPRODUCT(D2:H2,D27:H27)+C2</f>
        <v>44777456.22776489</v>
      </c>
      <c r="D27" s="29">
        <v>505.10000610351563</v>
      </c>
      <c r="E27" s="29">
        <v>0</v>
      </c>
      <c r="F27" s="29">
        <v>31</v>
      </c>
      <c r="G27" s="29">
        <v>0</v>
      </c>
      <c r="H27" s="29">
        <v>698465.1875</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2:53" x14ac:dyDescent="0.2">
      <c r="B28" s="340">
        <v>48092056</v>
      </c>
      <c r="C28" s="133">
        <f>SUMPRODUCT(D2:H2,D28:H28)+C2</f>
        <v>46381239.667976014</v>
      </c>
      <c r="D28" s="29">
        <v>617.29998779296875</v>
      </c>
      <c r="E28" s="29">
        <v>0</v>
      </c>
      <c r="F28" s="29">
        <v>31</v>
      </c>
      <c r="G28" s="29">
        <v>0</v>
      </c>
      <c r="H28" s="29">
        <v>713105.625</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2:53" x14ac:dyDescent="0.2">
      <c r="B29" s="132">
        <v>43415700</v>
      </c>
      <c r="C29" s="133">
        <f>SUMPRODUCT(D2:H2,D29:H29)+C2</f>
        <v>43470744.743725568</v>
      </c>
      <c r="D29" s="29">
        <v>640.0999755859375</v>
      </c>
      <c r="E29" s="29">
        <v>0</v>
      </c>
      <c r="F29" s="29">
        <v>28</v>
      </c>
      <c r="G29" s="29">
        <v>0</v>
      </c>
      <c r="H29" s="29">
        <v>727746.0625</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2:53" x14ac:dyDescent="0.2">
      <c r="B30" s="132">
        <v>43520436</v>
      </c>
      <c r="C30" s="133">
        <f>SUMPRODUCT(D2:H2,D30:H30)+C2</f>
        <v>43706701.099906027</v>
      </c>
      <c r="D30" s="29">
        <v>555.4000244140625</v>
      </c>
      <c r="E30" s="29">
        <v>0</v>
      </c>
      <c r="F30" s="29">
        <v>31</v>
      </c>
      <c r="G30" s="29">
        <v>1</v>
      </c>
      <c r="H30" s="29">
        <v>742386.5</v>
      </c>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2:53" x14ac:dyDescent="0.2">
      <c r="B31" s="132">
        <v>38293524</v>
      </c>
      <c r="C31" s="133">
        <f>SUMPRODUCT(D2:H2,D31:H31)+C2</f>
        <v>39500961.989892386</v>
      </c>
      <c r="D31" s="29">
        <v>339.89999389648438</v>
      </c>
      <c r="E31" s="29">
        <v>0</v>
      </c>
      <c r="F31" s="29">
        <v>30</v>
      </c>
      <c r="G31" s="29">
        <v>1</v>
      </c>
      <c r="H31" s="29">
        <v>757026.9375</v>
      </c>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2:53" x14ac:dyDescent="0.2">
      <c r="B32" s="132">
        <v>37947560</v>
      </c>
      <c r="C32" s="133">
        <f>SUMPRODUCT(D2:H2,D32:H32)+C2</f>
        <v>39778937.264800891</v>
      </c>
      <c r="D32" s="29">
        <v>116.5</v>
      </c>
      <c r="E32" s="29">
        <v>24.200000762939453</v>
      </c>
      <c r="F32" s="29">
        <v>31</v>
      </c>
      <c r="G32" s="29">
        <v>1</v>
      </c>
      <c r="H32" s="29">
        <v>771667.375</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2:53" x14ac:dyDescent="0.2">
      <c r="B33" s="132">
        <v>39558052</v>
      </c>
      <c r="C33" s="133">
        <f>SUMPRODUCT(D2:H2,D33:H33)+C2</f>
        <v>41826944.227902494</v>
      </c>
      <c r="D33" s="29">
        <v>42.799999237060547</v>
      </c>
      <c r="E33" s="29">
        <v>48.5</v>
      </c>
      <c r="F33" s="29">
        <v>30</v>
      </c>
      <c r="G33" s="29">
        <v>0</v>
      </c>
      <c r="H33" s="29">
        <v>786307.8125</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2:53" x14ac:dyDescent="0.2">
      <c r="B34" s="132">
        <v>48777836</v>
      </c>
      <c r="C34" s="133">
        <f>SUMPRODUCT(D2:H2,D34:H34)+C2</f>
        <v>49278306.357497655</v>
      </c>
      <c r="D34" s="29">
        <v>5.5</v>
      </c>
      <c r="E34" s="29">
        <v>117</v>
      </c>
      <c r="F34" s="29">
        <v>31</v>
      </c>
      <c r="G34" s="29">
        <v>0</v>
      </c>
      <c r="H34" s="29">
        <v>800948.25</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2:53" x14ac:dyDescent="0.2">
      <c r="B35" s="132">
        <v>44931328</v>
      </c>
      <c r="C35" s="133">
        <f>SUMPRODUCT(D2:H2,D35:H35)+C2</f>
        <v>49052392.745508857</v>
      </c>
      <c r="D35" s="29">
        <v>19.100000381469727</v>
      </c>
      <c r="E35" s="29">
        <v>113</v>
      </c>
      <c r="F35" s="29">
        <v>31</v>
      </c>
      <c r="G35" s="29">
        <v>0</v>
      </c>
      <c r="H35" s="29">
        <v>815588.6875</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2:53" x14ac:dyDescent="0.2">
      <c r="B36" s="132">
        <v>38566848</v>
      </c>
      <c r="C36" s="133">
        <f>SUMPRODUCT(D2:H2,D36:H36)+C2</f>
        <v>38414873.774632379</v>
      </c>
      <c r="D36" s="29">
        <v>110.40000152587891</v>
      </c>
      <c r="E36" s="29">
        <v>22.899999618530273</v>
      </c>
      <c r="F36" s="29">
        <v>30</v>
      </c>
      <c r="G36" s="29">
        <v>1</v>
      </c>
      <c r="H36" s="29">
        <v>830229.125</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2:53" x14ac:dyDescent="0.2">
      <c r="B37" s="132">
        <v>39059440</v>
      </c>
      <c r="C37" s="133">
        <f>SUMPRODUCT(D2:H2,D37:H37)+C2</f>
        <v>39039528.93418359</v>
      </c>
      <c r="D37" s="29">
        <v>211.5</v>
      </c>
      <c r="E37" s="29">
        <v>4.1999998092651367</v>
      </c>
      <c r="F37" s="29">
        <v>31</v>
      </c>
      <c r="G37" s="29">
        <v>1</v>
      </c>
      <c r="H37" s="29">
        <v>844869.5</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2:53" x14ac:dyDescent="0.2">
      <c r="B38" s="132">
        <v>41311172</v>
      </c>
      <c r="C38" s="133">
        <f>SUMPRODUCT(D2:H2,D38:H38)+C2</f>
        <v>41123737.566709176</v>
      </c>
      <c r="D38" s="29">
        <v>460.70001220703125</v>
      </c>
      <c r="E38" s="29">
        <v>0</v>
      </c>
      <c r="F38" s="29">
        <v>30</v>
      </c>
      <c r="G38" s="29">
        <v>1</v>
      </c>
      <c r="H38" s="29">
        <v>859509.9375</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2:53" x14ac:dyDescent="0.2">
      <c r="B39" s="132">
        <v>46300080</v>
      </c>
      <c r="C39" s="133">
        <f>SUMPRODUCT(D2:H2,D39:H39)+C2</f>
        <v>46753233.198907852</v>
      </c>
      <c r="D39" s="29">
        <v>656.4000244140625</v>
      </c>
      <c r="E39" s="29">
        <v>0</v>
      </c>
      <c r="F39" s="29">
        <v>31</v>
      </c>
      <c r="G39" s="29">
        <v>0</v>
      </c>
      <c r="H39" s="29">
        <v>874150.375</v>
      </c>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2:53" x14ac:dyDescent="0.2">
      <c r="B40" s="132">
        <v>50496524</v>
      </c>
      <c r="C40" s="133">
        <f>SUMPRODUCT(D2:H2,D40:H40)+C2</f>
        <v>48562376.625701852</v>
      </c>
      <c r="D40" s="29">
        <v>783.20001220703125</v>
      </c>
      <c r="E40" s="29">
        <v>0</v>
      </c>
      <c r="F40" s="29">
        <v>31</v>
      </c>
      <c r="G40" s="29">
        <v>0</v>
      </c>
      <c r="H40" s="29">
        <v>893476.0625</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2:53" x14ac:dyDescent="0.2">
      <c r="B41" s="132">
        <v>44559480</v>
      </c>
      <c r="C41" s="133">
        <f>SUMPRODUCT(D2:H2,D41:H41)+C2</f>
        <v>44746008.925574608</v>
      </c>
      <c r="D41" s="29">
        <v>743.70001220703125</v>
      </c>
      <c r="E41" s="29">
        <v>0</v>
      </c>
      <c r="F41" s="29">
        <v>28</v>
      </c>
      <c r="G41" s="29">
        <v>0</v>
      </c>
      <c r="H41" s="29">
        <v>912801.75</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2:53" x14ac:dyDescent="0.2">
      <c r="B42" s="132">
        <v>45832980</v>
      </c>
      <c r="C42" s="133">
        <f>SUMPRODUCT(D2:H2,D42:H42)+C2</f>
        <v>45457545.894290455</v>
      </c>
      <c r="D42" s="29">
        <v>692.29998779296875</v>
      </c>
      <c r="E42" s="29">
        <v>0</v>
      </c>
      <c r="F42" s="29">
        <v>31</v>
      </c>
      <c r="G42" s="29">
        <v>1</v>
      </c>
      <c r="H42" s="29">
        <v>932127.4375</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2:53" x14ac:dyDescent="0.2">
      <c r="B43" s="132">
        <v>38389928</v>
      </c>
      <c r="C43" s="133">
        <f>SUMPRODUCT(D2:H2,D43:H43)+C2</f>
        <v>39246261.800268151</v>
      </c>
      <c r="D43" s="29">
        <v>338.39999389648438</v>
      </c>
      <c r="E43" s="29">
        <v>0</v>
      </c>
      <c r="F43" s="29">
        <v>30</v>
      </c>
      <c r="G43" s="29">
        <v>1</v>
      </c>
      <c r="H43" s="29">
        <v>951453.125</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2:53" x14ac:dyDescent="0.2">
      <c r="B44" s="132">
        <v>36955320</v>
      </c>
      <c r="C44" s="133">
        <f>SUMPRODUCT(D2:H2,D44:H44)+C2</f>
        <v>38280481.438355252</v>
      </c>
      <c r="D44" s="29">
        <v>147.69999694824219</v>
      </c>
      <c r="E44" s="29">
        <v>7.3000001907348633</v>
      </c>
      <c r="F44" s="29">
        <v>31</v>
      </c>
      <c r="G44" s="29">
        <v>1</v>
      </c>
      <c r="H44" s="29">
        <v>970778.75</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2:53" x14ac:dyDescent="0.2">
      <c r="B45" s="132">
        <v>40743556</v>
      </c>
      <c r="C45" s="133">
        <f>SUMPRODUCT(D2:H2,D45:H45)+C2</f>
        <v>43347075.606009118</v>
      </c>
      <c r="D45" s="29">
        <v>21.299999237060547</v>
      </c>
      <c r="E45" s="29">
        <v>69</v>
      </c>
      <c r="F45" s="29">
        <v>30</v>
      </c>
      <c r="G45" s="29">
        <v>0</v>
      </c>
      <c r="H45" s="29">
        <v>990104.4375</v>
      </c>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2:53" x14ac:dyDescent="0.2">
      <c r="B46" s="132">
        <v>44141052</v>
      </c>
      <c r="C46" s="133">
        <f>SUMPRODUCT(D2:H2,D46:H46)+C2</f>
        <v>42466216.977041528</v>
      </c>
      <c r="D46" s="29">
        <v>13.699999809265137</v>
      </c>
      <c r="E46" s="29">
        <v>51</v>
      </c>
      <c r="F46" s="29">
        <v>31</v>
      </c>
      <c r="G46" s="29">
        <v>0</v>
      </c>
      <c r="H46" s="29">
        <v>1009430.125</v>
      </c>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2:53" x14ac:dyDescent="0.2">
      <c r="B47" s="132">
        <v>43108352</v>
      </c>
      <c r="C47" s="133">
        <f>SUMPRODUCT(D2:H2,D47:H47)+C2</f>
        <v>43228272.269743338</v>
      </c>
      <c r="D47" s="29">
        <v>12</v>
      </c>
      <c r="E47" s="29">
        <v>59</v>
      </c>
      <c r="F47" s="29">
        <v>31</v>
      </c>
      <c r="G47" s="29">
        <v>0</v>
      </c>
      <c r="H47" s="29">
        <v>1028755.8125</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2:53" x14ac:dyDescent="0.2">
      <c r="B48" s="132">
        <v>38472316</v>
      </c>
      <c r="C48" s="133">
        <f>SUMPRODUCT(D2:H2,D48:H48)+C2</f>
        <v>38256693.581665218</v>
      </c>
      <c r="D48" s="29">
        <v>85.300003051757813</v>
      </c>
      <c r="E48" s="29">
        <v>27.5</v>
      </c>
      <c r="F48" s="29">
        <v>30</v>
      </c>
      <c r="G48" s="29">
        <v>1</v>
      </c>
      <c r="H48" s="29">
        <v>1048081.5</v>
      </c>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2:53" x14ac:dyDescent="0.2">
      <c r="B49" s="132">
        <v>38196496</v>
      </c>
      <c r="C49" s="133">
        <f>SUMPRODUCT(D2:H2,D49:H49)+C2</f>
        <v>39141416.005176164</v>
      </c>
      <c r="D49" s="29">
        <v>225.10000610351563</v>
      </c>
      <c r="E49" s="29">
        <v>5.9000000953674316</v>
      </c>
      <c r="F49" s="29">
        <v>31</v>
      </c>
      <c r="G49" s="29">
        <v>1</v>
      </c>
      <c r="H49" s="29">
        <v>1067407.125</v>
      </c>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2:53" x14ac:dyDescent="0.2">
      <c r="B50" s="132">
        <v>40658384</v>
      </c>
      <c r="C50" s="133">
        <f>SUMPRODUCT(D2:H2,D50:H50)+C2</f>
        <v>40923657.006377995</v>
      </c>
      <c r="D50" s="29">
        <v>465.70001220703125</v>
      </c>
      <c r="E50" s="29">
        <v>0</v>
      </c>
      <c r="F50" s="29">
        <v>30</v>
      </c>
      <c r="G50" s="29">
        <v>1</v>
      </c>
      <c r="H50" s="29">
        <v>1086732.875</v>
      </c>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2:53" ht="13.5" thickBot="1" x14ac:dyDescent="0.25">
      <c r="B51" s="132">
        <v>43373536</v>
      </c>
      <c r="C51" s="133">
        <f>SUMPRODUCT(D2:H2,D51:H51)+C2</f>
        <v>44804823.117675833</v>
      </c>
      <c r="D51" s="29">
        <v>540.79998779296875</v>
      </c>
      <c r="E51" s="29">
        <v>0</v>
      </c>
      <c r="F51" s="29">
        <v>31</v>
      </c>
      <c r="G51" s="29">
        <v>0</v>
      </c>
      <c r="H51" s="29">
        <v>1106058.5</v>
      </c>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2:53" x14ac:dyDescent="0.2">
      <c r="B52" s="340">
        <v>48336984</v>
      </c>
      <c r="C52" s="133">
        <f>SUMPRODUCT(D2:H2,D52:H52)+C2</f>
        <v>48077644.422433734</v>
      </c>
      <c r="D52" s="29">
        <v>771.70001220703125</v>
      </c>
      <c r="E52" s="29">
        <v>0</v>
      </c>
      <c r="F52" s="29">
        <v>31</v>
      </c>
      <c r="G52" s="29">
        <v>0</v>
      </c>
      <c r="H52" s="29">
        <v>1159263.625</v>
      </c>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2:53" x14ac:dyDescent="0.2">
      <c r="B53" s="132">
        <v>45806080</v>
      </c>
      <c r="C53" s="133">
        <f>SUMPRODUCT(D2:H2,D53:H53)+C2</f>
        <v>46239387.140630677</v>
      </c>
      <c r="D53" s="29">
        <v>871.9000244140625</v>
      </c>
      <c r="E53" s="29">
        <v>0</v>
      </c>
      <c r="F53" s="29">
        <v>28</v>
      </c>
      <c r="G53" s="29">
        <v>0</v>
      </c>
      <c r="H53" s="29">
        <v>1212468.75</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2:53" x14ac:dyDescent="0.2">
      <c r="B54" s="132">
        <v>44467252</v>
      </c>
      <c r="C54" s="133">
        <f>SUMPRODUCT(D2:H2,D54:H54)+C2</f>
        <v>44258677.149020001</v>
      </c>
      <c r="D54" s="29">
        <v>637</v>
      </c>
      <c r="E54" s="29">
        <v>0</v>
      </c>
      <c r="F54" s="29">
        <v>31</v>
      </c>
      <c r="G54" s="29">
        <v>1</v>
      </c>
      <c r="H54" s="29">
        <v>1265674</v>
      </c>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2:53" x14ac:dyDescent="0.2">
      <c r="B55" s="132">
        <v>37066328</v>
      </c>
      <c r="C55" s="133">
        <f>SUMPRODUCT(D2:H2,D55:H55)+C2</f>
        <v>38684509.599611677</v>
      </c>
      <c r="D55" s="29">
        <v>330</v>
      </c>
      <c r="E55" s="29">
        <v>0</v>
      </c>
      <c r="F55" s="29">
        <v>30</v>
      </c>
      <c r="G55" s="29">
        <v>1</v>
      </c>
      <c r="H55" s="29">
        <v>1318879.125</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2:53" x14ac:dyDescent="0.2">
      <c r="B56" s="132">
        <v>36561144</v>
      </c>
      <c r="C56" s="133">
        <f>SUMPRODUCT(D2:H2,D56:H56)+C2</f>
        <v>39872136.619236156</v>
      </c>
      <c r="D56" s="29">
        <v>102.69999694824219</v>
      </c>
      <c r="E56" s="29">
        <v>34.200000762939453</v>
      </c>
      <c r="F56" s="29">
        <v>31</v>
      </c>
      <c r="G56" s="29">
        <v>1</v>
      </c>
      <c r="H56" s="29">
        <v>1372084.25</v>
      </c>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2:53" x14ac:dyDescent="0.2">
      <c r="B57" s="132">
        <v>38156280</v>
      </c>
      <c r="C57" s="133">
        <f>SUMPRODUCT(D2:H2,D57:H57)+C2</f>
        <v>38947065.650654741</v>
      </c>
      <c r="D57" s="29">
        <v>35.900001525878906</v>
      </c>
      <c r="E57" s="29">
        <v>28.600000381469727</v>
      </c>
      <c r="F57" s="29">
        <v>30</v>
      </c>
      <c r="G57" s="29">
        <v>0</v>
      </c>
      <c r="H57" s="29">
        <v>1425289.375</v>
      </c>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2:53" x14ac:dyDescent="0.2">
      <c r="B58" s="132">
        <v>44608128</v>
      </c>
      <c r="C58" s="133">
        <f>SUMPRODUCT(D2:H2,D58:H58)+C2</f>
        <v>44660247.813357241</v>
      </c>
      <c r="D58" s="29">
        <v>7.5999999046325684</v>
      </c>
      <c r="E58" s="29">
        <v>79.099998474121094</v>
      </c>
      <c r="F58" s="29">
        <v>31</v>
      </c>
      <c r="G58" s="29">
        <v>0</v>
      </c>
      <c r="H58" s="29">
        <v>1478494.5</v>
      </c>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2:53" x14ac:dyDescent="0.2">
      <c r="B59" s="132">
        <v>43859864</v>
      </c>
      <c r="C59" s="133">
        <f>SUMPRODUCT(D2:H2,D59:H59)+C2</f>
        <v>42625481.387051158</v>
      </c>
      <c r="D59" s="29">
        <v>12</v>
      </c>
      <c r="E59" s="29">
        <v>59</v>
      </c>
      <c r="F59" s="29">
        <v>31</v>
      </c>
      <c r="G59" s="29">
        <v>0</v>
      </c>
      <c r="H59" s="29">
        <v>1531699.75</v>
      </c>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2:53" x14ac:dyDescent="0.2">
      <c r="B60" s="132">
        <v>41747992</v>
      </c>
      <c r="C60" s="133">
        <f>SUMPRODUCT(D2:H2,D60:H60)+C2</f>
        <v>39638241.058694661</v>
      </c>
      <c r="D60" s="29">
        <v>37</v>
      </c>
      <c r="E60" s="29">
        <v>54.400001525878906</v>
      </c>
      <c r="F60" s="29">
        <v>30</v>
      </c>
      <c r="G60" s="29">
        <v>1</v>
      </c>
      <c r="H60" s="29">
        <v>1584904.875</v>
      </c>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2:53" x14ac:dyDescent="0.2">
      <c r="B61" s="132">
        <v>36786432</v>
      </c>
      <c r="C61" s="133">
        <f>SUMPRODUCT(D2:H2,D61:H61)+C2</f>
        <v>38344349.620923422</v>
      </c>
      <c r="D61" s="29">
        <v>252.30000305175781</v>
      </c>
      <c r="E61" s="29">
        <v>0.89999997615814209</v>
      </c>
      <c r="F61" s="29">
        <v>31</v>
      </c>
      <c r="G61" s="29">
        <v>1</v>
      </c>
      <c r="H61" s="29">
        <v>1638110</v>
      </c>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2:53" x14ac:dyDescent="0.2">
      <c r="B62" s="132">
        <v>37158576</v>
      </c>
      <c r="C62" s="133">
        <f>SUMPRODUCT(D2:H2,D62:H62)+C2</f>
        <v>38402869.783219747</v>
      </c>
      <c r="D62" s="29">
        <v>341.39999389648438</v>
      </c>
      <c r="E62" s="29">
        <v>0</v>
      </c>
      <c r="F62" s="29">
        <v>30</v>
      </c>
      <c r="G62" s="29">
        <v>1</v>
      </c>
      <c r="H62" s="29">
        <v>1691315.125</v>
      </c>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2:53" x14ac:dyDescent="0.2">
      <c r="B63" s="132">
        <v>39769880</v>
      </c>
      <c r="C63" s="133">
        <f>SUMPRODUCT(D2:H2,D63:H63)+C2</f>
        <v>42265106.451020949</v>
      </c>
      <c r="D63" s="29">
        <v>418</v>
      </c>
      <c r="E63" s="29">
        <v>0</v>
      </c>
      <c r="F63" s="29">
        <v>31</v>
      </c>
      <c r="G63" s="29">
        <v>0</v>
      </c>
      <c r="H63" s="29">
        <v>1744520.25</v>
      </c>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2:53" x14ac:dyDescent="0.2">
      <c r="B64" s="132">
        <v>44548272</v>
      </c>
      <c r="C64" s="133">
        <f>SUMPRODUCT(D2:H2,D64:H64)+C2</f>
        <v>45656889.986020587</v>
      </c>
      <c r="D64" s="29">
        <v>657.20001220703125</v>
      </c>
      <c r="E64" s="29">
        <v>0</v>
      </c>
      <c r="F64" s="29">
        <v>31</v>
      </c>
      <c r="G64" s="29">
        <v>0</v>
      </c>
      <c r="H64" s="29">
        <v>1798539.375</v>
      </c>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2:53" x14ac:dyDescent="0.2">
      <c r="B65" s="132">
        <v>41158164</v>
      </c>
      <c r="C65" s="133">
        <f>SUMPRODUCT(D2:H2,D65:H65)+C2</f>
        <v>42430898.563662201</v>
      </c>
      <c r="D65" s="29">
        <v>587.0999755859375</v>
      </c>
      <c r="E65" s="29">
        <v>0</v>
      </c>
      <c r="F65" s="390">
        <v>29</v>
      </c>
      <c r="G65" s="29">
        <v>0</v>
      </c>
      <c r="H65" s="29">
        <v>1852558.375</v>
      </c>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2:53" x14ac:dyDescent="0.2">
      <c r="B66" s="132">
        <v>39809144</v>
      </c>
      <c r="C66" s="133">
        <f>SUMPRODUCT(D2:H2,D66:H66)+C2</f>
        <v>40770980.095235065</v>
      </c>
      <c r="D66" s="29">
        <v>448.79998779296875</v>
      </c>
      <c r="E66" s="29">
        <v>0</v>
      </c>
      <c r="F66" s="29">
        <v>31</v>
      </c>
      <c r="G66" s="29">
        <v>1</v>
      </c>
      <c r="H66" s="29">
        <v>1906577.375</v>
      </c>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2:53" x14ac:dyDescent="0.2">
      <c r="B67" s="132">
        <v>36222796</v>
      </c>
      <c r="C67" s="133">
        <f>SUMPRODUCT(D2:H2,D67:H67)+C2</f>
        <v>38697160.113998964</v>
      </c>
      <c r="D67" s="29">
        <v>384.10000610351563</v>
      </c>
      <c r="E67" s="29">
        <v>0</v>
      </c>
      <c r="F67" s="29">
        <v>30</v>
      </c>
      <c r="G67" s="29">
        <v>1</v>
      </c>
      <c r="H67" s="29">
        <v>1960596.375</v>
      </c>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2:53" x14ac:dyDescent="0.2">
      <c r="B68" s="132">
        <v>35890392</v>
      </c>
      <c r="C68" s="133">
        <f>SUMPRODUCT(D2:H2,D68:H68)+C2</f>
        <v>38838360.821409024</v>
      </c>
      <c r="D68" s="29">
        <v>153.10000610351563</v>
      </c>
      <c r="E68" s="29">
        <v>24.399999618530273</v>
      </c>
      <c r="F68" s="29">
        <v>31</v>
      </c>
      <c r="G68" s="29">
        <v>1</v>
      </c>
      <c r="H68" s="29">
        <v>2014615.375</v>
      </c>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2:53" x14ac:dyDescent="0.2">
      <c r="B69" s="132">
        <v>39662848</v>
      </c>
      <c r="C69" s="133">
        <f>SUMPRODUCT(D2:H2,D69:H69)+C2</f>
        <v>40417432.248481035</v>
      </c>
      <c r="D69" s="29">
        <v>29.200000762939453</v>
      </c>
      <c r="E69" s="29">
        <v>51.700000762939453</v>
      </c>
      <c r="F69" s="29">
        <v>30</v>
      </c>
      <c r="G69" s="29">
        <v>0</v>
      </c>
      <c r="H69" s="29">
        <v>2068634.375</v>
      </c>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2:53" x14ac:dyDescent="0.2">
      <c r="B70" s="132">
        <v>47528892</v>
      </c>
      <c r="C70" s="133">
        <f>SUMPRODUCT(D2:H2,D70:H70)+C2</f>
        <v>50013715.37632113</v>
      </c>
      <c r="D70" s="29">
        <v>0</v>
      </c>
      <c r="E70" s="29">
        <v>140.69999694824219</v>
      </c>
      <c r="F70" s="29">
        <v>31</v>
      </c>
      <c r="G70" s="29">
        <v>0</v>
      </c>
      <c r="H70" s="29">
        <v>2122653.25</v>
      </c>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2:53" x14ac:dyDescent="0.2">
      <c r="B71" s="132">
        <v>51243328</v>
      </c>
      <c r="C71" s="133">
        <f>SUMPRODUCT(D2:H2,D71:H71)+C2</f>
        <v>51833163.907084823</v>
      </c>
      <c r="D71" s="29">
        <v>0.10000000149011612</v>
      </c>
      <c r="E71" s="29">
        <v>159.30000305175781</v>
      </c>
      <c r="F71" s="29">
        <v>31</v>
      </c>
      <c r="G71" s="29">
        <v>0</v>
      </c>
      <c r="H71" s="29">
        <v>2176672.25</v>
      </c>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2:53" x14ac:dyDescent="0.2">
      <c r="B72" s="132">
        <v>39994232</v>
      </c>
      <c r="C72" s="133">
        <f>SUMPRODUCT(D2:H2,D72:H72)+C2</f>
        <v>38187529.056305431</v>
      </c>
      <c r="D72" s="29">
        <v>34.299999237060547</v>
      </c>
      <c r="E72" s="29">
        <v>48.099998474121094</v>
      </c>
      <c r="F72" s="29">
        <v>30</v>
      </c>
      <c r="G72" s="29">
        <v>1</v>
      </c>
      <c r="H72" s="29">
        <v>2230691.5</v>
      </c>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2:53" x14ac:dyDescent="0.2">
      <c r="B73" s="132">
        <v>36210144</v>
      </c>
      <c r="C73" s="133">
        <f>SUMPRODUCT(D2:H2,D73:H73)+C2</f>
        <v>37219979.442312375</v>
      </c>
      <c r="D73" s="29">
        <v>198.69999694824219</v>
      </c>
      <c r="E73" s="29">
        <v>5.0999999046325684</v>
      </c>
      <c r="F73" s="29">
        <v>31</v>
      </c>
      <c r="G73" s="29">
        <v>1</v>
      </c>
      <c r="H73" s="29">
        <v>2284710.5</v>
      </c>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2:53" x14ac:dyDescent="0.2">
      <c r="B74" s="132">
        <v>36789736</v>
      </c>
      <c r="C74" s="133">
        <f>SUMPRODUCT(D2:H2,D74:H74)+C2</f>
        <v>37848018.275175065</v>
      </c>
      <c r="D74" s="29">
        <v>356.70001220703125</v>
      </c>
      <c r="E74" s="29">
        <v>0</v>
      </c>
      <c r="F74" s="29">
        <v>30</v>
      </c>
      <c r="G74" s="29">
        <v>1</v>
      </c>
      <c r="H74" s="29">
        <v>2338729.5</v>
      </c>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2:53" ht="13.5" thickBot="1" x14ac:dyDescent="0.25">
      <c r="B75" s="132">
        <v>42575324</v>
      </c>
      <c r="C75" s="133">
        <f>SUMPRODUCT(D2:H2,D75:H75)+C2</f>
        <v>43846487.969772764</v>
      </c>
      <c r="D75" s="29">
        <v>581.20001220703125</v>
      </c>
      <c r="E75" s="29">
        <v>0</v>
      </c>
      <c r="F75" s="29">
        <v>31</v>
      </c>
      <c r="G75" s="29">
        <v>0</v>
      </c>
      <c r="H75" s="29">
        <v>2392748.5</v>
      </c>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2:53" x14ac:dyDescent="0.2">
      <c r="B76" s="340">
        <v>43131420</v>
      </c>
      <c r="C76" s="133">
        <f>SUMPRODUCT(D2:H2,D76:H76)+C2</f>
        <v>43982289.671342231</v>
      </c>
      <c r="D76" s="29">
        <v>593.9000244140625</v>
      </c>
      <c r="E76" s="29">
        <v>0</v>
      </c>
      <c r="F76" s="29">
        <v>31</v>
      </c>
      <c r="G76" s="29">
        <v>0</v>
      </c>
      <c r="H76" s="29">
        <v>2432562.5</v>
      </c>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2:53" x14ac:dyDescent="0.2">
      <c r="B77" s="132">
        <v>37533892</v>
      </c>
      <c r="C77" s="133">
        <f>SUMPRODUCT(D2:H2,D77:H77)+C2</f>
        <v>39178971.56695234</v>
      </c>
      <c r="D77" s="29">
        <v>487.79998779296875</v>
      </c>
      <c r="E77" s="29">
        <v>0</v>
      </c>
      <c r="F77" s="29">
        <v>28</v>
      </c>
      <c r="G77" s="29">
        <v>0</v>
      </c>
      <c r="H77" s="29">
        <v>2472376.5</v>
      </c>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2:53" x14ac:dyDescent="0.2">
      <c r="B78" s="132">
        <v>41563416</v>
      </c>
      <c r="C78" s="133">
        <f>SUMPRODUCT(D2:H2,D78:H78)+C2</f>
        <v>41584100.895769991</v>
      </c>
      <c r="D78" s="29">
        <v>555.29998779296875</v>
      </c>
      <c r="E78" s="29">
        <v>0</v>
      </c>
      <c r="F78" s="29">
        <v>31</v>
      </c>
      <c r="G78" s="29">
        <v>1</v>
      </c>
      <c r="H78" s="29">
        <v>2512190.75</v>
      </c>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2:53" x14ac:dyDescent="0.2">
      <c r="B79" s="132">
        <v>34947464</v>
      </c>
      <c r="C79" s="133">
        <f>SUMPRODUCT(D2:H2,D79:H79)+C2</f>
        <v>36271674.285287045</v>
      </c>
      <c r="D79" s="29">
        <v>261.79998779296875</v>
      </c>
      <c r="E79" s="29">
        <v>0.5</v>
      </c>
      <c r="F79" s="29">
        <v>30</v>
      </c>
      <c r="G79" s="29">
        <v>1</v>
      </c>
      <c r="H79" s="29">
        <v>2552004.75</v>
      </c>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2:53" x14ac:dyDescent="0.2">
      <c r="B80" s="132">
        <v>35633124</v>
      </c>
      <c r="C80" s="133">
        <f>SUMPRODUCT(D2:H2,D80:H80)+C2</f>
        <v>36554323.679366767</v>
      </c>
      <c r="D80" s="29">
        <v>168.30000305175781</v>
      </c>
      <c r="E80" s="29">
        <v>6.5</v>
      </c>
      <c r="F80" s="29">
        <v>31</v>
      </c>
      <c r="G80" s="29">
        <v>1</v>
      </c>
      <c r="H80" s="29">
        <v>2591818.75</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1" spans="2:53" x14ac:dyDescent="0.2">
      <c r="B81" s="132">
        <v>38155784</v>
      </c>
      <c r="C81" s="133">
        <f>SUMPRODUCT(D2:H2,D81:H81)+C2</f>
        <v>40854636.002875686</v>
      </c>
      <c r="D81" s="29">
        <v>32.599998474121094</v>
      </c>
      <c r="E81" s="29">
        <v>62.200000762939453</v>
      </c>
      <c r="F81" s="29">
        <v>30</v>
      </c>
      <c r="G81" s="29">
        <v>0</v>
      </c>
      <c r="H81" s="29">
        <v>2631633</v>
      </c>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2" spans="2:53" x14ac:dyDescent="0.2">
      <c r="B82" s="132">
        <v>44273988</v>
      </c>
      <c r="C82" s="133">
        <f>SUMPRODUCT(D2:H2,D82:H82)+C2</f>
        <v>44063438.593054906</v>
      </c>
      <c r="D82" s="29">
        <v>2.2000000476837158</v>
      </c>
      <c r="E82" s="29">
        <v>88.099998474121094</v>
      </c>
      <c r="F82" s="29">
        <v>31</v>
      </c>
      <c r="G82" s="29">
        <v>0</v>
      </c>
      <c r="H82" s="29">
        <v>2671447</v>
      </c>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2:53" x14ac:dyDescent="0.2">
      <c r="B83" s="132">
        <v>43579956</v>
      </c>
      <c r="C83" s="133">
        <f>SUMPRODUCT(D2:H2,D83:H83)+C2</f>
        <v>40485762.475424729</v>
      </c>
      <c r="D83" s="29">
        <v>19.200000762939453</v>
      </c>
      <c r="E83" s="29">
        <v>50.799999237060547</v>
      </c>
      <c r="F83" s="29">
        <v>31</v>
      </c>
      <c r="G83" s="29">
        <v>0</v>
      </c>
      <c r="H83" s="29">
        <v>2711261</v>
      </c>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row>
    <row r="84" spans="2:53" x14ac:dyDescent="0.2">
      <c r="B84" s="132">
        <v>38972984</v>
      </c>
      <c r="C84" s="133">
        <f>SUMPRODUCT(D2:H2,D84:H84)+C2</f>
        <v>38150605.356158338</v>
      </c>
      <c r="D84" s="29">
        <v>66.5</v>
      </c>
      <c r="E84" s="29">
        <v>49.299999237060547</v>
      </c>
      <c r="F84" s="29">
        <v>30</v>
      </c>
      <c r="G84" s="29">
        <v>1</v>
      </c>
      <c r="H84" s="29">
        <v>2751075.25</v>
      </c>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2:53" x14ac:dyDescent="0.2">
      <c r="B85" s="132">
        <v>36256780</v>
      </c>
      <c r="C85" s="133">
        <f>SUMPRODUCT(D2:H2,D85:H85)+C2</f>
        <v>36070069.480267763</v>
      </c>
      <c r="D85" s="29">
        <v>152</v>
      </c>
      <c r="E85" s="29">
        <v>6.4000000953674316</v>
      </c>
      <c r="F85" s="29">
        <v>31</v>
      </c>
      <c r="G85" s="29">
        <v>1</v>
      </c>
      <c r="H85" s="29">
        <v>2790889.25</v>
      </c>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2:53" x14ac:dyDescent="0.2">
      <c r="B86" s="132">
        <v>38948952</v>
      </c>
      <c r="C86" s="133">
        <f>SUMPRODUCT(D2:H2,D86:H86)+C2</f>
        <v>38265565.41491612</v>
      </c>
      <c r="D86" s="29">
        <v>426.39999389648438</v>
      </c>
      <c r="E86" s="29">
        <v>0</v>
      </c>
      <c r="F86" s="29">
        <v>30</v>
      </c>
      <c r="G86" s="29">
        <v>1</v>
      </c>
      <c r="H86" s="29">
        <v>2830703.25</v>
      </c>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row>
    <row r="87" spans="2:53" x14ac:dyDescent="0.2">
      <c r="B87" s="132">
        <v>43911244</v>
      </c>
      <c r="C87" s="133">
        <f>SUMPRODUCT(D2:H2,D87:H87)+C2</f>
        <v>45153861.644208446</v>
      </c>
      <c r="D87" s="29">
        <v>711.29998779296875</v>
      </c>
      <c r="E87" s="29">
        <v>0</v>
      </c>
      <c r="F87" s="29">
        <v>31</v>
      </c>
      <c r="G87" s="29">
        <v>0</v>
      </c>
      <c r="H87" s="29">
        <v>2870517.5</v>
      </c>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row>
    <row r="88" spans="2:53" x14ac:dyDescent="0.2">
      <c r="B88" s="132">
        <v>47094720</v>
      </c>
      <c r="C88" s="133">
        <f>SUMPRODUCT(D2:H2,D88:H88)+C2</f>
        <v>45415520.17787955</v>
      </c>
      <c r="D88" s="29">
        <v>731</v>
      </c>
      <c r="E88" s="29">
        <v>0</v>
      </c>
      <c r="F88" s="29">
        <v>31</v>
      </c>
      <c r="G88" s="29">
        <v>0</v>
      </c>
      <c r="H88" s="29">
        <v>2889719.25</v>
      </c>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row>
    <row r="89" spans="2:53" x14ac:dyDescent="0.2">
      <c r="B89" s="132">
        <v>39631600</v>
      </c>
      <c r="C89" s="133">
        <f>SUMPRODUCT(D2:H2,D89:H89)+C2</f>
        <v>39414405.784236588</v>
      </c>
      <c r="D89" s="29">
        <v>540.29998779296875</v>
      </c>
      <c r="E89" s="29">
        <v>0</v>
      </c>
      <c r="F89" s="29">
        <v>28</v>
      </c>
      <c r="G89" s="29">
        <v>0</v>
      </c>
      <c r="H89" s="29">
        <v>2908921.25</v>
      </c>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2:53" x14ac:dyDescent="0.2">
      <c r="B90" s="132">
        <v>41656908</v>
      </c>
      <c r="C90" s="133">
        <f>SUMPRODUCT(D2:H2,D90:H90)+C2</f>
        <v>41409284.161176071</v>
      </c>
      <c r="D90" s="29">
        <v>577.70001220703125</v>
      </c>
      <c r="E90" s="29">
        <v>0</v>
      </c>
      <c r="F90" s="29">
        <v>31</v>
      </c>
      <c r="G90" s="29">
        <v>1</v>
      </c>
      <c r="H90" s="29">
        <v>2928123</v>
      </c>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row>
    <row r="91" spans="2:53" x14ac:dyDescent="0.2">
      <c r="B91" s="132">
        <v>38614768</v>
      </c>
      <c r="C91" s="133">
        <f>SUMPRODUCT(D2:H2,D91:H91)+C2</f>
        <v>38297750.553589039</v>
      </c>
      <c r="D91" s="29">
        <v>438.29998779296875</v>
      </c>
      <c r="E91" s="29">
        <v>0</v>
      </c>
      <c r="F91" s="29">
        <v>30</v>
      </c>
      <c r="G91" s="29">
        <v>1</v>
      </c>
      <c r="H91" s="29">
        <v>2947325</v>
      </c>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row>
    <row r="92" spans="2:53" x14ac:dyDescent="0.2">
      <c r="B92" s="132">
        <v>36061876</v>
      </c>
      <c r="C92" s="133">
        <f>SUMPRODUCT(D2:H2,D92:H92)+C2</f>
        <v>37260019.256101266</v>
      </c>
      <c r="D92" s="29">
        <v>83.599998474121094</v>
      </c>
      <c r="E92" s="29">
        <v>30</v>
      </c>
      <c r="F92" s="29">
        <v>31</v>
      </c>
      <c r="G92" s="29">
        <v>1</v>
      </c>
      <c r="H92" s="29">
        <v>2966526.75</v>
      </c>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row>
    <row r="93" spans="2:53" x14ac:dyDescent="0.2">
      <c r="B93" s="132">
        <v>39000368</v>
      </c>
      <c r="C93" s="133">
        <f>SUMPRODUCT(D2:H2,D93:H93)+C2</f>
        <v>38807899.338587776</v>
      </c>
      <c r="D93" s="29">
        <v>21.200000762939453</v>
      </c>
      <c r="E93" s="29">
        <v>47.799999237060547</v>
      </c>
      <c r="F93" s="29">
        <v>30</v>
      </c>
      <c r="G93" s="29">
        <v>0</v>
      </c>
      <c r="H93" s="29">
        <v>2985728.75</v>
      </c>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2:53" x14ac:dyDescent="0.2">
      <c r="B94" s="132">
        <v>50076316</v>
      </c>
      <c r="C94" s="133">
        <f>SUMPRODUCT(D2:H2,D94:H94)+C2</f>
        <v>48632371.054076344</v>
      </c>
      <c r="D94" s="29">
        <v>0</v>
      </c>
      <c r="E94" s="29">
        <v>137.5</v>
      </c>
      <c r="F94" s="29">
        <v>31</v>
      </c>
      <c r="G94" s="29">
        <v>0</v>
      </c>
      <c r="H94" s="29">
        <v>3004930.5</v>
      </c>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row>
    <row r="95" spans="2:53" x14ac:dyDescent="0.2">
      <c r="B95" s="132">
        <v>49158088</v>
      </c>
      <c r="C95" s="133">
        <f>SUMPRODUCT(D2:H2,D95:H95)+C2</f>
        <v>47265968.663875796</v>
      </c>
      <c r="D95" s="29">
        <v>1.6000000238418579</v>
      </c>
      <c r="E95" s="29">
        <v>124</v>
      </c>
      <c r="F95" s="29">
        <v>31</v>
      </c>
      <c r="G95" s="29">
        <v>0</v>
      </c>
      <c r="H95" s="29">
        <v>3024132.25</v>
      </c>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row>
    <row r="96" spans="2:53" x14ac:dyDescent="0.2">
      <c r="B96" s="132">
        <v>41496540</v>
      </c>
      <c r="C96" s="133">
        <f>SUMPRODUCT(D2:H2,D96:H96)+C2</f>
        <v>39700510.994831651</v>
      </c>
      <c r="D96" s="29">
        <v>57.900001525878906</v>
      </c>
      <c r="E96" s="29">
        <v>69.300003051757813</v>
      </c>
      <c r="F96" s="29">
        <v>30</v>
      </c>
      <c r="G96" s="29">
        <v>1</v>
      </c>
      <c r="H96" s="29">
        <v>3043334.25</v>
      </c>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row>
    <row r="97" spans="2:53" x14ac:dyDescent="0.2">
      <c r="B97" s="132">
        <v>37763352</v>
      </c>
      <c r="C97" s="133">
        <f>SUMPRODUCT(D2:H2,D97:H97)+C2</f>
        <v>37754870.371565752</v>
      </c>
      <c r="D97" s="29">
        <v>258.20001220703125</v>
      </c>
      <c r="E97" s="29">
        <v>11.100000381469727</v>
      </c>
      <c r="F97" s="29">
        <v>31</v>
      </c>
      <c r="G97" s="29">
        <v>1</v>
      </c>
      <c r="H97" s="29">
        <v>3062536</v>
      </c>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row>
    <row r="98" spans="2:53" x14ac:dyDescent="0.2">
      <c r="B98" s="132">
        <v>40051456</v>
      </c>
      <c r="C98" s="133">
        <f>SUMPRODUCT(D2:H2,D98:H98)+C2</f>
        <v>38736343.242702842</v>
      </c>
      <c r="D98" s="29">
        <v>479.79998779296875</v>
      </c>
      <c r="E98" s="29">
        <v>0</v>
      </c>
      <c r="F98" s="29">
        <v>30</v>
      </c>
      <c r="G98" s="29">
        <v>1</v>
      </c>
      <c r="H98" s="29">
        <v>3081738</v>
      </c>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row>
    <row r="99" spans="2:53" ht="13.5" thickBot="1" x14ac:dyDescent="0.25">
      <c r="B99" s="132">
        <v>42019276</v>
      </c>
      <c r="C99" s="133">
        <f>SUMPRODUCT(D2:H2,D99:H99)+C2</f>
        <v>42552632.07351277</v>
      </c>
      <c r="D99" s="29">
        <v>550.4000244140625</v>
      </c>
      <c r="E99" s="29">
        <v>0</v>
      </c>
      <c r="F99" s="29">
        <v>31</v>
      </c>
      <c r="G99" s="29">
        <v>0</v>
      </c>
      <c r="H99" s="29">
        <v>3100939.75</v>
      </c>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row>
    <row r="100" spans="2:53" x14ac:dyDescent="0.2">
      <c r="B100" s="340">
        <v>46678584</v>
      </c>
      <c r="C100" s="133">
        <f>SUMPRODUCT(D2:H2,D100:H100)+C2</f>
        <v>45091528.545216441</v>
      </c>
      <c r="D100" s="29">
        <v>726.29998779296875</v>
      </c>
      <c r="E100" s="29">
        <v>0</v>
      </c>
      <c r="F100" s="29">
        <v>31</v>
      </c>
      <c r="G100" s="29">
        <v>0</v>
      </c>
      <c r="H100" s="29">
        <v>3103377.5</v>
      </c>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row>
    <row r="101" spans="2:53" x14ac:dyDescent="0.2">
      <c r="B101" s="132">
        <v>41194468</v>
      </c>
      <c r="C101" s="133">
        <f>SUMPRODUCT(D2:H2,D101:H101)+C2</f>
        <v>39864815.605828591</v>
      </c>
      <c r="D101" s="29">
        <v>587.79998779296875</v>
      </c>
      <c r="E101" s="29">
        <v>0</v>
      </c>
      <c r="F101" s="29">
        <v>28</v>
      </c>
      <c r="G101" s="29">
        <v>0</v>
      </c>
      <c r="H101" s="29">
        <v>3105815.25</v>
      </c>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row>
    <row r="102" spans="2:53" x14ac:dyDescent="0.2">
      <c r="B102" s="132">
        <v>42090500</v>
      </c>
      <c r="C102" s="133">
        <f>SUMPRODUCT(D2:H2,D102:H102)+C2</f>
        <v>41486735.72889296</v>
      </c>
      <c r="D102" s="29">
        <v>598</v>
      </c>
      <c r="E102" s="29">
        <v>0</v>
      </c>
      <c r="F102" s="29">
        <v>31</v>
      </c>
      <c r="G102" s="29">
        <v>1</v>
      </c>
      <c r="H102" s="29">
        <v>3108253.25</v>
      </c>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row>
    <row r="103" spans="2:53" x14ac:dyDescent="0.2">
      <c r="B103" s="132">
        <v>36539752</v>
      </c>
      <c r="C103" s="133">
        <f>SUMPRODUCT(D2:H2,D103:H103)+C2</f>
        <v>36596224.845210835</v>
      </c>
      <c r="D103" s="29">
        <v>334.10000610351563</v>
      </c>
      <c r="E103" s="29">
        <v>0</v>
      </c>
      <c r="F103" s="29">
        <v>30</v>
      </c>
      <c r="G103" s="29">
        <v>1</v>
      </c>
      <c r="H103" s="29">
        <v>3110691</v>
      </c>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row>
    <row r="104" spans="2:53" x14ac:dyDescent="0.2">
      <c r="B104" s="132">
        <v>35532004</v>
      </c>
      <c r="C104" s="133">
        <f>SUMPRODUCT(D2:H2,D104:H104)+C2</f>
        <v>35531804.829465985</v>
      </c>
      <c r="D104" s="29">
        <v>173.69999694824219</v>
      </c>
      <c r="E104" s="29">
        <v>1.7999999523162842</v>
      </c>
      <c r="F104" s="29">
        <v>31</v>
      </c>
      <c r="G104" s="29">
        <v>1</v>
      </c>
      <c r="H104" s="29">
        <v>3113128.75</v>
      </c>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row>
    <row r="105" spans="2:53" x14ac:dyDescent="0.2">
      <c r="B105" s="132">
        <v>37150892</v>
      </c>
      <c r="C105" s="133">
        <f>SUMPRODUCT(D2:H2,D105:H105)+C2</f>
        <v>37211903.556586452</v>
      </c>
      <c r="D105" s="29">
        <v>33.599998474121094</v>
      </c>
      <c r="E105" s="29">
        <v>31.799999237060547</v>
      </c>
      <c r="F105" s="29">
        <v>30</v>
      </c>
      <c r="G105" s="29">
        <v>0</v>
      </c>
      <c r="H105" s="29">
        <v>3115566.5</v>
      </c>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row>
    <row r="106" spans="2:53" x14ac:dyDescent="0.2">
      <c r="B106" s="132">
        <v>49164276</v>
      </c>
      <c r="C106" s="133">
        <f>SUMPRODUCT(D2:H2,D106:H106)+C2</f>
        <v>49134553.93664252</v>
      </c>
      <c r="D106" s="29">
        <v>0</v>
      </c>
      <c r="E106" s="29">
        <v>143.80000305175781</v>
      </c>
      <c r="F106" s="29">
        <v>31</v>
      </c>
      <c r="G106" s="29">
        <v>0</v>
      </c>
      <c r="H106" s="29">
        <v>3118004.25</v>
      </c>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row>
    <row r="107" spans="2:53" x14ac:dyDescent="0.2">
      <c r="B107" s="132">
        <v>45907060</v>
      </c>
      <c r="C107" s="133">
        <f>SUMPRODUCT(D2:H2,D107:H107)+C2</f>
        <v>42335190.754091233</v>
      </c>
      <c r="D107" s="29">
        <v>4.5999999046325684</v>
      </c>
      <c r="E107" s="29">
        <v>76</v>
      </c>
      <c r="F107" s="29">
        <v>31</v>
      </c>
      <c r="G107" s="29">
        <v>0</v>
      </c>
      <c r="H107" s="29">
        <v>3120442</v>
      </c>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row>
    <row r="108" spans="2:53" x14ac:dyDescent="0.2">
      <c r="B108" s="132">
        <v>37534148</v>
      </c>
      <c r="C108" s="133">
        <f>SUMPRODUCT(D2:H2,D108:H108)+C2</f>
        <v>33390347.539920576</v>
      </c>
      <c r="D108" s="29">
        <v>32</v>
      </c>
      <c r="E108" s="29">
        <v>11.600000381469727</v>
      </c>
      <c r="F108" s="29">
        <v>30</v>
      </c>
      <c r="G108" s="29">
        <v>1</v>
      </c>
      <c r="H108" s="29">
        <v>3122879.75</v>
      </c>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row>
    <row r="109" spans="2:53" x14ac:dyDescent="0.2">
      <c r="B109" s="132">
        <v>36176532</v>
      </c>
      <c r="C109" s="133">
        <f>SUMPRODUCT(D2:H2,D109:H109)+C2</f>
        <v>36411821.469170824</v>
      </c>
      <c r="D109" s="29">
        <v>220.89999389648438</v>
      </c>
      <c r="E109" s="29">
        <v>3.9000000953674316</v>
      </c>
      <c r="F109" s="29">
        <v>31</v>
      </c>
      <c r="G109" s="29">
        <v>1</v>
      </c>
      <c r="H109" s="29">
        <v>3125317.5</v>
      </c>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row>
    <row r="110" spans="2:53" x14ac:dyDescent="0.2">
      <c r="B110" s="132">
        <v>39737440</v>
      </c>
      <c r="C110" s="133">
        <f>SUMPRODUCT(D2:H2,D110:H110)+C2</f>
        <v>39012104.064567514</v>
      </c>
      <c r="D110" s="29">
        <v>502.70001220703125</v>
      </c>
      <c r="E110" s="29">
        <v>0</v>
      </c>
      <c r="F110" s="29">
        <v>30</v>
      </c>
      <c r="G110" s="29">
        <v>1</v>
      </c>
      <c r="H110" s="29">
        <v>3127755.25</v>
      </c>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row>
    <row r="111" spans="2:53" x14ac:dyDescent="0.2">
      <c r="B111" s="132">
        <v>42323844</v>
      </c>
      <c r="C111" s="133">
        <f>SUMPRODUCT(D2:H2,D111:H111)+C2</f>
        <v>42722765.759246677</v>
      </c>
      <c r="D111" s="29">
        <v>564.5999755859375</v>
      </c>
      <c r="E111" s="29">
        <v>0</v>
      </c>
      <c r="F111" s="29">
        <v>31</v>
      </c>
      <c r="G111" s="29">
        <v>0</v>
      </c>
      <c r="H111" s="29">
        <v>3130193</v>
      </c>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row>
    <row r="112" spans="2:53" x14ac:dyDescent="0.2">
      <c r="B112" s="132">
        <v>43498988</v>
      </c>
      <c r="C112" s="133">
        <f>SUMPRODUCT(D2:H2,D112:H112)+C2</f>
        <v>42751057.010912977</v>
      </c>
      <c r="D112" s="29">
        <v>566.4000244140625</v>
      </c>
      <c r="E112" s="29">
        <v>0</v>
      </c>
      <c r="F112" s="29">
        <v>31</v>
      </c>
      <c r="G112" s="29">
        <v>0</v>
      </c>
      <c r="H112" s="29">
        <v>3128290.75</v>
      </c>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row>
    <row r="113" spans="2:53" x14ac:dyDescent="0.2">
      <c r="B113" s="132">
        <v>40767224</v>
      </c>
      <c r="C113" s="133">
        <f>SUMPRODUCT(D2:H2,D113:H113)+C2</f>
        <v>40901291.646615975</v>
      </c>
      <c r="D113" s="29">
        <v>586.9000244140625</v>
      </c>
      <c r="E113" s="29">
        <v>0</v>
      </c>
      <c r="F113" s="390">
        <v>29</v>
      </c>
      <c r="G113" s="29">
        <v>0</v>
      </c>
      <c r="H113" s="29">
        <v>3126388.75</v>
      </c>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row>
    <row r="114" spans="2:53" x14ac:dyDescent="0.2">
      <c r="B114" s="132">
        <v>39452644</v>
      </c>
      <c r="C114" s="133">
        <f>SUMPRODUCT(D2:H2,D114:H114)+C2</f>
        <v>39094530.128686443</v>
      </c>
      <c r="D114" s="29">
        <v>433.79998779296875</v>
      </c>
      <c r="E114" s="29">
        <v>0</v>
      </c>
      <c r="F114" s="29">
        <v>31</v>
      </c>
      <c r="G114" s="29">
        <v>1</v>
      </c>
      <c r="H114" s="29">
        <v>3124486.5</v>
      </c>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row>
    <row r="115" spans="2:53" x14ac:dyDescent="0.2">
      <c r="B115" s="132">
        <v>34488964</v>
      </c>
      <c r="C115" s="133">
        <f>SUMPRODUCT(D2:H2,D115:H115)+C2</f>
        <v>37142644.063814677</v>
      </c>
      <c r="D115" s="29">
        <v>372.89999389648438</v>
      </c>
      <c r="E115" s="29">
        <v>0</v>
      </c>
      <c r="F115" s="29">
        <v>30</v>
      </c>
      <c r="G115" s="29">
        <v>1</v>
      </c>
      <c r="H115" s="29">
        <v>3122584.5</v>
      </c>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row>
    <row r="116" spans="2:53" x14ac:dyDescent="0.2">
      <c r="B116" s="132">
        <v>35010608</v>
      </c>
      <c r="C116" s="133">
        <f>SUMPRODUCT(D2:H2,D116:H116)+C2</f>
        <v>38142634.707123302</v>
      </c>
      <c r="D116" s="29">
        <v>207.89999389648438</v>
      </c>
      <c r="E116" s="29">
        <v>22.799999237060547</v>
      </c>
      <c r="F116" s="29">
        <v>31</v>
      </c>
      <c r="G116" s="29">
        <v>1</v>
      </c>
      <c r="H116" s="29">
        <v>3120682.5</v>
      </c>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row>
    <row r="117" spans="2:53" x14ac:dyDescent="0.2">
      <c r="B117" s="132">
        <v>39038300</v>
      </c>
      <c r="C117" s="133">
        <f>SUMPRODUCT(D2:H2,D117:H117)+C2</f>
        <v>41361144.020215139</v>
      </c>
      <c r="D117" s="29">
        <v>27.5</v>
      </c>
      <c r="E117" s="29">
        <v>73.699996948242188</v>
      </c>
      <c r="F117" s="29">
        <v>30</v>
      </c>
      <c r="G117" s="29">
        <v>0</v>
      </c>
      <c r="H117" s="29">
        <v>3118780.25</v>
      </c>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row>
    <row r="118" spans="2:53" x14ac:dyDescent="0.2">
      <c r="B118" s="132">
        <v>51707560</v>
      </c>
      <c r="C118" s="133">
        <f>SUMPRODUCT(D2:H2,D118:H118)+C2</f>
        <v>51636108.874815695</v>
      </c>
      <c r="D118" s="29">
        <v>0</v>
      </c>
      <c r="E118" s="29">
        <v>168.5</v>
      </c>
      <c r="F118" s="29">
        <v>31</v>
      </c>
      <c r="G118" s="29">
        <v>0</v>
      </c>
      <c r="H118" s="29">
        <v>3116878.25</v>
      </c>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row>
    <row r="119" spans="2:53" x14ac:dyDescent="0.2">
      <c r="B119" s="132">
        <v>46254924</v>
      </c>
      <c r="C119" s="133">
        <f>SUMPRODUCT(D2:H2,D119:H119)+C2</f>
        <v>44282359.554348312</v>
      </c>
      <c r="D119" s="29">
        <v>1.6000000238418579</v>
      </c>
      <c r="E119" s="29">
        <v>95.599998474121094</v>
      </c>
      <c r="F119" s="29">
        <v>31</v>
      </c>
      <c r="G119" s="29">
        <v>0</v>
      </c>
      <c r="H119" s="29">
        <v>3114976</v>
      </c>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row>
    <row r="120" spans="2:53" x14ac:dyDescent="0.2">
      <c r="B120" s="132">
        <v>36708176</v>
      </c>
      <c r="C120" s="133">
        <f>SUMPRODUCT(D2:H2,D120:H120)+C2</f>
        <v>35217895.729632169</v>
      </c>
      <c r="D120" s="29">
        <v>75</v>
      </c>
      <c r="E120" s="29">
        <v>23.399999618530273</v>
      </c>
      <c r="F120" s="29">
        <v>30</v>
      </c>
      <c r="G120" s="29">
        <v>1</v>
      </c>
      <c r="H120" s="29">
        <v>3113074</v>
      </c>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row>
    <row r="121" spans="2:53" x14ac:dyDescent="0.2">
      <c r="B121" s="132">
        <v>35798052</v>
      </c>
      <c r="C121" s="133">
        <f>SUMPRODUCT(D2:H2,D121:H121)+C2</f>
        <v>36490637.704912856</v>
      </c>
      <c r="D121" s="29">
        <v>252.5</v>
      </c>
      <c r="E121" s="29">
        <v>0</v>
      </c>
      <c r="F121" s="29">
        <v>31</v>
      </c>
      <c r="G121" s="29">
        <v>1</v>
      </c>
      <c r="H121" s="29">
        <v>3111171.75</v>
      </c>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row>
    <row r="122" spans="2:53" x14ac:dyDescent="0.2">
      <c r="B122" s="132">
        <v>36898344</v>
      </c>
      <c r="C122" s="133">
        <f>SUMPRODUCT(D2:H2,D122:H122)+C2</f>
        <v>36527121.562445819</v>
      </c>
      <c r="D122" s="29">
        <v>329.20001220703125</v>
      </c>
      <c r="E122" s="29">
        <v>0</v>
      </c>
      <c r="F122" s="29">
        <v>30</v>
      </c>
      <c r="G122" s="29">
        <v>1</v>
      </c>
      <c r="H122" s="29">
        <v>3109269.75</v>
      </c>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row>
    <row r="123" spans="2:53" x14ac:dyDescent="0.2">
      <c r="B123" s="132">
        <v>42870244</v>
      </c>
      <c r="C123" s="133">
        <f>SUMPRODUCT(D2:H2,D123:H123)+C2</f>
        <v>42400424.632772028</v>
      </c>
      <c r="D123" s="29">
        <v>540.4000244140625</v>
      </c>
      <c r="E123" s="29">
        <v>0</v>
      </c>
      <c r="F123" s="29">
        <v>31</v>
      </c>
      <c r="G123" s="29">
        <v>0</v>
      </c>
      <c r="H123" s="29">
        <v>3107367.5</v>
      </c>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row>
    <row r="124" spans="2:53" x14ac:dyDescent="0.2">
      <c r="B124" s="132"/>
      <c r="C124" s="369">
        <f>SUMPRODUCT(D2:H2,D124:H124)+C2</f>
        <v>44488032.481169365</v>
      </c>
      <c r="D124" s="368">
        <f>AVERAGE(D4,D16,D28,D40,D52,D64,D76,D88,D100,D112)</f>
        <v>684.2400024414062</v>
      </c>
      <c r="E124" s="368">
        <f>AVERAGE(E4,E16,E28,E40,E52,E64,E76,E88,E100,E112)</f>
        <v>0</v>
      </c>
      <c r="F124" s="368">
        <v>31</v>
      </c>
      <c r="G124" s="368">
        <f>AVERAGE(G4,G16,G28,G40,G52,G64,G76,G88,G100,G112)</f>
        <v>0</v>
      </c>
      <c r="H124" s="368">
        <v>3099801.4736091159</v>
      </c>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row>
    <row r="125" spans="2:53" x14ac:dyDescent="0.2">
      <c r="B125" s="132"/>
      <c r="C125" s="369">
        <f>SUMPRODUCT(D2:H2,D125:H125)+C2</f>
        <v>40381218.543976948</v>
      </c>
      <c r="D125" s="368">
        <f t="shared" ref="D125:G147" si="0">AVERAGE(D5,D17,D29,D41,D53,D65,D77,D89,D101,D113)</f>
        <v>622.40999755859377</v>
      </c>
      <c r="E125" s="368">
        <f t="shared" si="0"/>
        <v>0</v>
      </c>
      <c r="F125" s="368">
        <v>28</v>
      </c>
      <c r="G125" s="368">
        <f t="shared" si="0"/>
        <v>0</v>
      </c>
      <c r="H125" s="368">
        <v>3092235.4227750828</v>
      </c>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row>
    <row r="126" spans="2:53" x14ac:dyDescent="0.2">
      <c r="B126" s="132"/>
      <c r="C126" s="369">
        <f>SUMPRODUCT(D2:H2,D126:H126)+C2</f>
        <v>40677892.045439258</v>
      </c>
      <c r="D126" s="368">
        <f t="shared" si="0"/>
        <v>540.06999511718755</v>
      </c>
      <c r="E126" s="368">
        <f t="shared" si="0"/>
        <v>0</v>
      </c>
      <c r="F126" s="368">
        <v>31</v>
      </c>
      <c r="G126" s="368">
        <f t="shared" si="0"/>
        <v>1</v>
      </c>
      <c r="H126" s="368">
        <v>3084669.3719410496</v>
      </c>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row>
    <row r="127" spans="2:53" x14ac:dyDescent="0.2">
      <c r="B127" s="132"/>
      <c r="C127" s="369">
        <f>SUMPRODUCT(D2:H2,D127:H127)+C2</f>
        <v>36824630.425535128</v>
      </c>
      <c r="D127" s="368">
        <f t="shared" si="0"/>
        <v>346.4899963378906</v>
      </c>
      <c r="E127" s="368">
        <f t="shared" si="0"/>
        <v>9.0000000596046445E-2</v>
      </c>
      <c r="F127" s="368">
        <v>30</v>
      </c>
      <c r="G127" s="368">
        <f t="shared" si="0"/>
        <v>1</v>
      </c>
      <c r="H127" s="368">
        <v>3077103.3211070164</v>
      </c>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row>
    <row r="128" spans="2:53" x14ac:dyDescent="0.2">
      <c r="B128" s="132"/>
      <c r="C128" s="369">
        <f>SUMPRODUCT(D2:H2,D128:H128)+C2</f>
        <v>36823675.014206551</v>
      </c>
      <c r="D128" s="368">
        <f t="shared" si="0"/>
        <v>137.17999954223632</v>
      </c>
      <c r="E128" s="368">
        <f t="shared" si="0"/>
        <v>19.260000014305113</v>
      </c>
      <c r="F128" s="368">
        <v>31</v>
      </c>
      <c r="G128" s="368">
        <f t="shared" si="0"/>
        <v>1</v>
      </c>
      <c r="H128" s="368">
        <v>3069537.2702729832</v>
      </c>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row>
    <row r="129" spans="2:53" x14ac:dyDescent="0.2">
      <c r="B129" s="132"/>
      <c r="C129" s="369">
        <f>SUMPRODUCT(D2:H2,D129:H129)+C2</f>
        <v>39247275.834578842</v>
      </c>
      <c r="D129" s="368">
        <f t="shared" si="0"/>
        <v>29.839999961853028</v>
      </c>
      <c r="E129" s="368">
        <f t="shared" si="0"/>
        <v>51.809999656677249</v>
      </c>
      <c r="F129" s="368">
        <v>30</v>
      </c>
      <c r="G129" s="368">
        <f t="shared" si="0"/>
        <v>0</v>
      </c>
      <c r="H129" s="368">
        <v>3061971.2194389501</v>
      </c>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row>
    <row r="130" spans="2:53" x14ac:dyDescent="0.2">
      <c r="B130" s="132"/>
      <c r="C130" s="369">
        <f>SUMPRODUCT(D2:H2,D130:H130)+C2</f>
        <v>47220417.847706594</v>
      </c>
      <c r="D130" s="368">
        <f t="shared" si="0"/>
        <v>2.9199999764561655</v>
      </c>
      <c r="E130" s="368">
        <f t="shared" si="0"/>
        <v>123.71999969482422</v>
      </c>
      <c r="F130" s="368">
        <v>31</v>
      </c>
      <c r="G130" s="368">
        <f t="shared" si="0"/>
        <v>0</v>
      </c>
      <c r="H130" s="368">
        <v>3054405.1686049169</v>
      </c>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row>
    <row r="131" spans="2:53" x14ac:dyDescent="0.2">
      <c r="B131" s="132"/>
      <c r="C131" s="369">
        <f>SUMPRODUCT(D2:H2,D131:H131)+C2</f>
        <v>43911347.870577671</v>
      </c>
      <c r="D131" s="368">
        <f t="shared" si="0"/>
        <v>8.0300001002848145</v>
      </c>
      <c r="E131" s="368">
        <f t="shared" si="0"/>
        <v>90.210000228881839</v>
      </c>
      <c r="F131" s="368">
        <v>31</v>
      </c>
      <c r="G131" s="368">
        <f t="shared" si="0"/>
        <v>0</v>
      </c>
      <c r="H131" s="368">
        <v>3046839.1177708837</v>
      </c>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row>
    <row r="132" spans="2:53" x14ac:dyDescent="0.2">
      <c r="B132" s="132"/>
      <c r="C132" s="369">
        <f>SUMPRODUCT(D2:H2,D132:H132)+C2</f>
        <v>36472401.870963976</v>
      </c>
      <c r="D132" s="368">
        <f t="shared" si="0"/>
        <v>64.000000381469732</v>
      </c>
      <c r="E132" s="368">
        <f t="shared" si="0"/>
        <v>36.490000152587889</v>
      </c>
      <c r="F132" s="368">
        <v>30</v>
      </c>
      <c r="G132" s="368">
        <f t="shared" si="0"/>
        <v>1</v>
      </c>
      <c r="H132" s="368">
        <v>3039273.0669368505</v>
      </c>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row>
    <row r="133" spans="2:53" x14ac:dyDescent="0.2">
      <c r="B133" s="132"/>
      <c r="C133" s="369">
        <f>SUMPRODUCT(D2:H2,D133:H133)+C2</f>
        <v>36557969.495232716</v>
      </c>
      <c r="D133" s="368">
        <f t="shared" si="0"/>
        <v>223.74000091552733</v>
      </c>
      <c r="E133" s="368">
        <f t="shared" si="0"/>
        <v>3.8300000369548797</v>
      </c>
      <c r="F133" s="368">
        <v>31</v>
      </c>
      <c r="G133" s="368">
        <f t="shared" si="0"/>
        <v>1</v>
      </c>
      <c r="H133" s="368">
        <v>3031707.0161028174</v>
      </c>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row>
    <row r="134" spans="2:53" x14ac:dyDescent="0.2">
      <c r="B134" s="132"/>
      <c r="C134" s="369">
        <f>SUMPRODUCT(D2:H2,D134:H134)+C2</f>
        <v>37818415.213229336</v>
      </c>
      <c r="D134" s="368">
        <f t="shared" si="0"/>
        <v>411.5000030517578</v>
      </c>
      <c r="E134" s="368">
        <f t="shared" si="0"/>
        <v>0</v>
      </c>
      <c r="F134" s="368">
        <v>30</v>
      </c>
      <c r="G134" s="368">
        <f t="shared" si="0"/>
        <v>1</v>
      </c>
      <c r="H134" s="368">
        <v>3024140.9652687842</v>
      </c>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row>
    <row r="135" spans="2:53" x14ac:dyDescent="0.2">
      <c r="B135" s="132"/>
      <c r="C135" s="369">
        <f>SUMPRODUCT(D2:H2,D135:H135)+C2</f>
        <v>42763856.906719245</v>
      </c>
      <c r="D135" s="368">
        <f t="shared" si="0"/>
        <v>558.02000427246094</v>
      </c>
      <c r="E135" s="368">
        <f t="shared" si="0"/>
        <v>0</v>
      </c>
      <c r="F135" s="368">
        <v>31</v>
      </c>
      <c r="G135" s="368">
        <f t="shared" si="0"/>
        <v>0</v>
      </c>
      <c r="H135" s="368">
        <v>3016574.914434751</v>
      </c>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row>
    <row r="136" spans="2:53" x14ac:dyDescent="0.2">
      <c r="B136" s="132"/>
      <c r="C136" s="369">
        <f>SUMPRODUCT(D2:H2,D136:H136)+C2</f>
        <v>44595334.698091432</v>
      </c>
      <c r="D136" s="368">
        <f>D124</f>
        <v>684.2400024414062</v>
      </c>
      <c r="E136" s="368">
        <f>E124</f>
        <v>0</v>
      </c>
      <c r="F136" s="368">
        <v>31</v>
      </c>
      <c r="G136" s="368">
        <f t="shared" si="0"/>
        <v>0</v>
      </c>
      <c r="H136" s="368">
        <v>3010272.9139861898</v>
      </c>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2:53" x14ac:dyDescent="0.2">
      <c r="B137" s="132"/>
      <c r="C137" s="369">
        <f>SUMPRODUCT(D2:H2,D137:H137)+C2</f>
        <v>40487005.764910765</v>
      </c>
      <c r="D137" s="368">
        <f t="shared" ref="D137:E147" si="1">D125</f>
        <v>622.40999755859377</v>
      </c>
      <c r="E137" s="368">
        <f t="shared" si="1"/>
        <v>0</v>
      </c>
      <c r="F137" s="368">
        <v>28</v>
      </c>
      <c r="G137" s="368">
        <f t="shared" si="0"/>
        <v>0</v>
      </c>
      <c r="H137" s="368">
        <v>3003970.9135376285</v>
      </c>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2:53" x14ac:dyDescent="0.2">
      <c r="B138" s="132"/>
      <c r="C138" s="369">
        <f>SUMPRODUCT(D2:H2,D138:H138)+C2</f>
        <v>40782164.270384826</v>
      </c>
      <c r="D138" s="368">
        <f t="shared" si="1"/>
        <v>540.06999511718755</v>
      </c>
      <c r="E138" s="368">
        <f t="shared" si="1"/>
        <v>0</v>
      </c>
      <c r="F138" s="368">
        <v>31</v>
      </c>
      <c r="G138" s="368">
        <f t="shared" si="0"/>
        <v>1</v>
      </c>
      <c r="H138" s="368">
        <v>2997668.9130890672</v>
      </c>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2:53" x14ac:dyDescent="0.2">
      <c r="B139" s="132"/>
      <c r="C139" s="369">
        <f>SUMPRODUCT(D2:H2,D139:H139)+C2</f>
        <v>36927387.654492453</v>
      </c>
      <c r="D139" s="368">
        <f t="shared" si="1"/>
        <v>346.4899963378906</v>
      </c>
      <c r="E139" s="368">
        <f t="shared" si="1"/>
        <v>9.0000000596046445E-2</v>
      </c>
      <c r="F139" s="368">
        <v>30</v>
      </c>
      <c r="G139" s="368">
        <f t="shared" si="0"/>
        <v>1</v>
      </c>
      <c r="H139" s="368">
        <v>2991366.9126405059</v>
      </c>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2:53" x14ac:dyDescent="0.2">
      <c r="B140" s="132"/>
      <c r="C140" s="369">
        <f>SUMPRODUCT(D2:H2,D140:H140)+C2</f>
        <v>36924917.247175626</v>
      </c>
      <c r="D140" s="368">
        <f t="shared" si="1"/>
        <v>137.17999954223632</v>
      </c>
      <c r="E140" s="368">
        <f t="shared" si="1"/>
        <v>19.260000014305113</v>
      </c>
      <c r="F140" s="368">
        <v>31</v>
      </c>
      <c r="G140" s="368">
        <f t="shared" si="0"/>
        <v>1</v>
      </c>
      <c r="H140" s="368">
        <v>2985064.9121919447</v>
      </c>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2:53" x14ac:dyDescent="0.2">
      <c r="B141" s="132"/>
      <c r="C141" s="369">
        <f>SUMPRODUCT(D2:H2,D141:H141)+C2</f>
        <v>39347003.071559675</v>
      </c>
      <c r="D141" s="368">
        <f t="shared" si="1"/>
        <v>29.839999961853028</v>
      </c>
      <c r="E141" s="368">
        <f t="shared" si="1"/>
        <v>51.809999656677249</v>
      </c>
      <c r="F141" s="368">
        <v>30</v>
      </c>
      <c r="G141" s="368">
        <f t="shared" si="0"/>
        <v>0</v>
      </c>
      <c r="H141" s="368">
        <v>2978762.9117433834</v>
      </c>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2:53" x14ac:dyDescent="0.2">
      <c r="B142" s="132"/>
      <c r="C142" s="369">
        <f>SUMPRODUCT(D2:H2,D142:H142)+C2</f>
        <v>47318630.088699169</v>
      </c>
      <c r="D142" s="368">
        <f t="shared" si="1"/>
        <v>2.9199999764561655</v>
      </c>
      <c r="E142" s="368">
        <f t="shared" si="1"/>
        <v>123.71999969482422</v>
      </c>
      <c r="F142" s="368">
        <v>31</v>
      </c>
      <c r="G142" s="368">
        <f t="shared" si="0"/>
        <v>0</v>
      </c>
      <c r="H142" s="368">
        <v>2972460.9112948221</v>
      </c>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2:53" x14ac:dyDescent="0.2">
      <c r="B143" s="132"/>
      <c r="C143" s="369">
        <f>SUMPRODUCT(D2:H2,D143:H143)+C2</f>
        <v>44008045.115582004</v>
      </c>
      <c r="D143" s="368">
        <f t="shared" si="1"/>
        <v>8.0300001002848145</v>
      </c>
      <c r="E143" s="368">
        <f t="shared" si="1"/>
        <v>90.210000228881839</v>
      </c>
      <c r="F143" s="368">
        <v>31</v>
      </c>
      <c r="G143" s="368">
        <f t="shared" si="0"/>
        <v>0</v>
      </c>
      <c r="H143" s="368">
        <v>2966158.9108462608</v>
      </c>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2:53" x14ac:dyDescent="0.2">
      <c r="B144" s="132"/>
      <c r="C144" s="369">
        <f>SUMPRODUCT(D2:H2,D144:H144)+C2</f>
        <v>36567584.11998006</v>
      </c>
      <c r="D144" s="368">
        <f t="shared" si="1"/>
        <v>64.000000381469732</v>
      </c>
      <c r="E144" s="368">
        <f t="shared" si="1"/>
        <v>36.490000152587889</v>
      </c>
      <c r="F144" s="368">
        <v>30</v>
      </c>
      <c r="G144" s="368">
        <f t="shared" si="0"/>
        <v>1</v>
      </c>
      <c r="H144" s="368">
        <v>2959856.9103976996</v>
      </c>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2:53" x14ac:dyDescent="0.2">
      <c r="B145" s="132"/>
      <c r="C145" s="369">
        <f>SUMPRODUCT(D2:H2,D145:H145)+C2</f>
        <v>36651636.748260558</v>
      </c>
      <c r="D145" s="368">
        <f t="shared" si="1"/>
        <v>223.74000091552733</v>
      </c>
      <c r="E145" s="368">
        <f t="shared" si="1"/>
        <v>3.8300000369548797</v>
      </c>
      <c r="F145" s="368">
        <v>31</v>
      </c>
      <c r="G145" s="368">
        <f t="shared" si="0"/>
        <v>1</v>
      </c>
      <c r="H145" s="368">
        <v>2953554.9099491383</v>
      </c>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2:53" x14ac:dyDescent="0.2">
      <c r="B146" s="132"/>
      <c r="C146" s="369">
        <f>SUMPRODUCT(D2:H2,D146:H146)+C2</f>
        <v>37910567.470268928</v>
      </c>
      <c r="D146" s="368">
        <f t="shared" si="1"/>
        <v>411.5000030517578</v>
      </c>
      <c r="E146" s="368">
        <f t="shared" si="1"/>
        <v>0</v>
      </c>
      <c r="F146" s="368">
        <v>30</v>
      </c>
      <c r="G146" s="368">
        <f t="shared" si="0"/>
        <v>1</v>
      </c>
      <c r="H146" s="368">
        <v>2947252.909500577</v>
      </c>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2:53" x14ac:dyDescent="0.2">
      <c r="B147" s="132"/>
      <c r="C147" s="369">
        <f>SUMPRODUCT(D2:H2,D147:H147)+C2</f>
        <v>42854494.167770587</v>
      </c>
      <c r="D147" s="368">
        <f t="shared" si="1"/>
        <v>558.02000427246094</v>
      </c>
      <c r="E147" s="368">
        <f t="shared" si="1"/>
        <v>0</v>
      </c>
      <c r="F147" s="368">
        <v>31</v>
      </c>
      <c r="G147" s="368">
        <f t="shared" si="0"/>
        <v>0</v>
      </c>
      <c r="H147" s="368">
        <v>2940950.9090520157</v>
      </c>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2:53" x14ac:dyDescent="0.2">
      <c r="B148" s="132"/>
      <c r="C148" s="133"/>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2:53" x14ac:dyDescent="0.2">
      <c r="B149" s="132"/>
      <c r="C149" s="133"/>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2:53" x14ac:dyDescent="0.2">
      <c r="B150" s="132"/>
      <c r="C150" s="133"/>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2:53" x14ac:dyDescent="0.2">
      <c r="B151" s="132"/>
      <c r="C151" s="133"/>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2:53" x14ac:dyDescent="0.2">
      <c r="B152" s="132"/>
      <c r="C152" s="133"/>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2:53" x14ac:dyDescent="0.2">
      <c r="B153" s="132"/>
      <c r="C153" s="133"/>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2:53" x14ac:dyDescent="0.2">
      <c r="B154" s="132"/>
      <c r="C154" s="133"/>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2:53" x14ac:dyDescent="0.2">
      <c r="B155" s="132"/>
      <c r="C155" s="133"/>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2:53" x14ac:dyDescent="0.2">
      <c r="B156" s="132"/>
      <c r="C156" s="133"/>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2:53" x14ac:dyDescent="0.2">
      <c r="B157" s="132"/>
      <c r="C157" s="133"/>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2:53" x14ac:dyDescent="0.2">
      <c r="B158" s="132"/>
      <c r="C158" s="133"/>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2:53" x14ac:dyDescent="0.2">
      <c r="B159" s="132"/>
      <c r="C159" s="133"/>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2:53" x14ac:dyDescent="0.2">
      <c r="B160" s="132"/>
      <c r="C160" s="133"/>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x14ac:dyDescent="0.2">
      <c r="B161" s="132"/>
      <c r="C161" s="133"/>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x14ac:dyDescent="0.2">
      <c r="B162" s="132"/>
      <c r="C162" s="133"/>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x14ac:dyDescent="0.2">
      <c r="B163" s="132"/>
      <c r="C163" s="133"/>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x14ac:dyDescent="0.2">
      <c r="B164" s="132"/>
      <c r="C164" s="133"/>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x14ac:dyDescent="0.2">
      <c r="B165" s="132"/>
      <c r="C165" s="133"/>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row>
    <row r="166" spans="2:53" x14ac:dyDescent="0.2">
      <c r="B166" s="132"/>
      <c r="C166" s="133"/>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row>
    <row r="167" spans="2:53" x14ac:dyDescent="0.2">
      <c r="B167" s="132"/>
      <c r="C167" s="133"/>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row>
    <row r="168" spans="2:53" x14ac:dyDescent="0.2">
      <c r="B168" s="132"/>
      <c r="C168" s="133"/>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row>
    <row r="169" spans="2:53" x14ac:dyDescent="0.2">
      <c r="B169" s="132"/>
      <c r="C169" s="133"/>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row>
    <row r="170" spans="2:53" x14ac:dyDescent="0.2">
      <c r="B170" s="132"/>
      <c r="C170" s="133"/>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row>
    <row r="171" spans="2:53" x14ac:dyDescent="0.2">
      <c r="B171" s="132"/>
      <c r="C171" s="133"/>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row>
    <row r="172" spans="2:53" x14ac:dyDescent="0.2">
      <c r="B172" s="132"/>
      <c r="C172" s="133"/>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row>
    <row r="173" spans="2:53" x14ac:dyDescent="0.2">
      <c r="B173" s="132"/>
      <c r="C173" s="133"/>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row>
    <row r="174" spans="2:53" x14ac:dyDescent="0.2">
      <c r="B174" s="132"/>
      <c r="C174" s="133"/>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row>
    <row r="175" spans="2:53" x14ac:dyDescent="0.2">
      <c r="B175" s="132"/>
      <c r="C175" s="133"/>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row>
    <row r="176" spans="2:53" x14ac:dyDescent="0.2">
      <c r="B176" s="132"/>
      <c r="C176" s="133"/>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row>
    <row r="177" spans="2:53" x14ac:dyDescent="0.2">
      <c r="B177" s="132"/>
      <c r="C177" s="133"/>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row>
    <row r="178" spans="2:53" x14ac:dyDescent="0.2">
      <c r="B178" s="132"/>
      <c r="C178" s="133"/>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row>
    <row r="179" spans="2:53" x14ac:dyDescent="0.2">
      <c r="B179" s="132"/>
      <c r="C179" s="133"/>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row>
    <row r="180" spans="2:53" x14ac:dyDescent="0.2">
      <c r="B180" s="132"/>
      <c r="C180" s="133"/>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row>
    <row r="181" spans="2:53" x14ac:dyDescent="0.2">
      <c r="B181" s="132"/>
      <c r="C181" s="133"/>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row>
    <row r="182" spans="2:53" x14ac:dyDescent="0.2">
      <c r="B182" s="132"/>
      <c r="C182" s="133"/>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row>
    <row r="183" spans="2:53" x14ac:dyDescent="0.2">
      <c r="B183" s="132"/>
      <c r="C183" s="133"/>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row>
    <row r="184" spans="2:53" x14ac:dyDescent="0.2">
      <c r="B184" s="132"/>
      <c r="C184" s="133"/>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row>
    <row r="185" spans="2:53" x14ac:dyDescent="0.2">
      <c r="B185" s="132"/>
      <c r="C185" s="133"/>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row>
    <row r="186" spans="2:53" x14ac:dyDescent="0.2">
      <c r="B186" s="132"/>
      <c r="C186" s="133"/>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row>
    <row r="187" spans="2:53" x14ac:dyDescent="0.2">
      <c r="B187" s="132"/>
      <c r="C187" s="133"/>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row>
    <row r="188" spans="2:53" x14ac:dyDescent="0.2">
      <c r="B188" s="132"/>
      <c r="C188" s="133"/>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row>
    <row r="189" spans="2:53" x14ac:dyDescent="0.2">
      <c r="B189" s="132"/>
      <c r="C189" s="133"/>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row>
    <row r="190" spans="2:53" x14ac:dyDescent="0.2">
      <c r="B190" s="132"/>
      <c r="C190" s="133"/>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row>
    <row r="191" spans="2:53" x14ac:dyDescent="0.2">
      <c r="B191" s="132"/>
      <c r="C191" s="133"/>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row>
    <row r="192" spans="2:53" x14ac:dyDescent="0.2">
      <c r="B192" s="132"/>
      <c r="C192" s="133"/>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row>
    <row r="193" spans="2:53" x14ac:dyDescent="0.2">
      <c r="B193" s="132"/>
      <c r="C193" s="133"/>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row>
    <row r="194" spans="2:53" x14ac:dyDescent="0.2">
      <c r="B194" s="132"/>
      <c r="C194" s="133"/>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row>
    <row r="195" spans="2:53" x14ac:dyDescent="0.2">
      <c r="B195" s="132"/>
      <c r="C195" s="133"/>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row>
    <row r="196" spans="2:53" x14ac:dyDescent="0.2">
      <c r="B196" s="132"/>
      <c r="C196" s="133"/>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x14ac:dyDescent="0.2">
      <c r="B197" s="132"/>
      <c r="C197" s="133"/>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x14ac:dyDescent="0.2">
      <c r="B198" s="132"/>
      <c r="C198" s="133"/>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x14ac:dyDescent="0.2">
      <c r="B199" s="132"/>
      <c r="C199" s="133"/>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x14ac:dyDescent="0.2">
      <c r="B200" s="132"/>
      <c r="C200" s="133"/>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x14ac:dyDescent="0.2">
      <c r="B201" s="132"/>
      <c r="C201" s="133"/>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x14ac:dyDescent="0.2">
      <c r="B202" s="132"/>
      <c r="C202" s="133"/>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x14ac:dyDescent="0.2">
      <c r="B203" s="132"/>
      <c r="C203" s="133"/>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x14ac:dyDescent="0.2">
      <c r="B204" s="132"/>
      <c r="C204" s="133"/>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x14ac:dyDescent="0.2">
      <c r="B205" s="132"/>
      <c r="C205" s="133"/>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2">
      <c r="B206" s="132"/>
      <c r="C206" s="133"/>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row>
    <row r="207" spans="2:53" x14ac:dyDescent="0.2">
      <c r="B207" s="132"/>
      <c r="C207" s="133"/>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row>
    <row r="208" spans="2:53" x14ac:dyDescent="0.2">
      <c r="B208" s="132"/>
      <c r="C208" s="133"/>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row>
    <row r="209" spans="2:53" x14ac:dyDescent="0.2">
      <c r="B209" s="132"/>
      <c r="C209" s="133"/>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row>
    <row r="210" spans="2:53" x14ac:dyDescent="0.2">
      <c r="B210" s="132"/>
      <c r="C210" s="133"/>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row>
    <row r="211" spans="2:53" x14ac:dyDescent="0.2">
      <c r="B211" s="132"/>
      <c r="C211" s="133"/>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row>
    <row r="212" spans="2:53" x14ac:dyDescent="0.2">
      <c r="B212" s="132"/>
      <c r="C212" s="133"/>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row>
    <row r="213" spans="2:53" x14ac:dyDescent="0.2">
      <c r="B213" s="132"/>
      <c r="C213" s="133"/>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row>
    <row r="214" spans="2:53" x14ac:dyDescent="0.2">
      <c r="B214" s="132"/>
      <c r="C214" s="133"/>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row>
    <row r="215" spans="2:53" x14ac:dyDescent="0.2">
      <c r="B215" s="132"/>
      <c r="C215" s="133"/>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row>
    <row r="216" spans="2:53" x14ac:dyDescent="0.2">
      <c r="B216" s="132"/>
      <c r="C216" s="133"/>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row>
    <row r="217" spans="2:53" x14ac:dyDescent="0.2">
      <c r="B217" s="132"/>
      <c r="C217" s="133"/>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row>
    <row r="218" spans="2:53" x14ac:dyDescent="0.2">
      <c r="B218" s="132"/>
      <c r="C218" s="133"/>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row>
    <row r="219" spans="2:53" x14ac:dyDescent="0.2">
      <c r="B219" s="132"/>
      <c r="C219" s="133"/>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row>
    <row r="220" spans="2:53" x14ac:dyDescent="0.2">
      <c r="B220" s="132"/>
      <c r="C220" s="133"/>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row>
    <row r="221" spans="2:53" x14ac:dyDescent="0.2">
      <c r="B221" s="132"/>
      <c r="C221" s="133"/>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row>
    <row r="222" spans="2:53" x14ac:dyDescent="0.2">
      <c r="B222" s="132"/>
      <c r="C222" s="133"/>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row>
    <row r="223" spans="2:53" x14ac:dyDescent="0.2">
      <c r="B223" s="132"/>
      <c r="C223" s="133"/>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row>
    <row r="224" spans="2:53" x14ac:dyDescent="0.2">
      <c r="B224" s="132"/>
      <c r="C224" s="133"/>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row>
    <row r="225" spans="2:53" x14ac:dyDescent="0.2">
      <c r="B225" s="132"/>
      <c r="C225" s="133"/>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row>
    <row r="226" spans="2:53" x14ac:dyDescent="0.2">
      <c r="B226" s="132"/>
      <c r="C226" s="133"/>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row>
    <row r="227" spans="2:53" x14ac:dyDescent="0.2">
      <c r="B227" s="132"/>
      <c r="C227" s="133"/>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row>
    <row r="228" spans="2:53" x14ac:dyDescent="0.2">
      <c r="B228" s="132"/>
      <c r="C228" s="133"/>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row>
    <row r="229" spans="2:53" x14ac:dyDescent="0.2">
      <c r="B229" s="132"/>
      <c r="C229" s="133"/>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row>
    <row r="230" spans="2:53" x14ac:dyDescent="0.2">
      <c r="B230" s="132"/>
      <c r="C230" s="133"/>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row>
    <row r="231" spans="2:53" x14ac:dyDescent="0.2">
      <c r="B231" s="132"/>
      <c r="C231" s="133"/>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row>
    <row r="232" spans="2:53" x14ac:dyDescent="0.2">
      <c r="B232" s="132"/>
      <c r="C232" s="133"/>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row>
    <row r="233" spans="2:53" x14ac:dyDescent="0.2">
      <c r="B233" s="132"/>
      <c r="C233" s="133"/>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row>
    <row r="234" spans="2:53" x14ac:dyDescent="0.2">
      <c r="B234" s="132"/>
      <c r="C234" s="133"/>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row>
    <row r="235" spans="2:53" x14ac:dyDescent="0.2">
      <c r="B235" s="132"/>
      <c r="C235" s="133"/>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row>
    <row r="236" spans="2:53" x14ac:dyDescent="0.2">
      <c r="B236" s="132"/>
      <c r="C236" s="133"/>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row>
    <row r="237" spans="2:53" x14ac:dyDescent="0.2">
      <c r="B237" s="132"/>
      <c r="C237" s="133"/>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row>
    <row r="238" spans="2:53" x14ac:dyDescent="0.2">
      <c r="B238" s="132"/>
      <c r="C238" s="133"/>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row>
    <row r="239" spans="2:53" x14ac:dyDescent="0.2">
      <c r="B239" s="132"/>
      <c r="C239" s="133"/>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row>
    <row r="240" spans="2:53" x14ac:dyDescent="0.2">
      <c r="B240" s="132"/>
      <c r="C240" s="133"/>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row>
    <row r="241" spans="2:53" x14ac:dyDescent="0.2">
      <c r="B241" s="132"/>
      <c r="C241" s="133"/>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row>
    <row r="242" spans="2:53" x14ac:dyDescent="0.2">
      <c r="B242" s="132"/>
      <c r="C242" s="133"/>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row>
    <row r="243" spans="2:53" x14ac:dyDescent="0.2">
      <c r="B243" s="132"/>
      <c r="C243" s="133"/>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row>
    <row r="244" spans="2:53" x14ac:dyDescent="0.2">
      <c r="B244" s="132"/>
      <c r="C244" s="133"/>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row>
    <row r="245" spans="2:53" x14ac:dyDescent="0.2">
      <c r="B245" s="132"/>
      <c r="C245" s="133"/>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row>
    <row r="246" spans="2:53" x14ac:dyDescent="0.2">
      <c r="B246" s="132"/>
      <c r="C246" s="133"/>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row>
    <row r="247" spans="2:53" x14ac:dyDescent="0.2">
      <c r="B247" s="132"/>
      <c r="C247" s="133"/>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row>
    <row r="248" spans="2:53" x14ac:dyDescent="0.2">
      <c r="B248" s="132"/>
      <c r="C248" s="133"/>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row>
    <row r="249" spans="2:53" x14ac:dyDescent="0.2">
      <c r="B249" s="132"/>
      <c r="C249" s="133"/>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2:53" x14ac:dyDescent="0.2">
      <c r="B250" s="132"/>
      <c r="C250" s="133"/>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row>
    <row r="251" spans="2:53" x14ac:dyDescent="0.2">
      <c r="B251" s="132"/>
      <c r="C251" s="133"/>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row>
    <row r="252" spans="2:53" x14ac:dyDescent="0.2">
      <c r="B252" s="132"/>
      <c r="C252" s="133"/>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row>
    <row r="253" spans="2:53" x14ac:dyDescent="0.2">
      <c r="B253" s="132"/>
      <c r="C253" s="133"/>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row>
  </sheetData>
  <sheetProtection selectLockedCells="1" selectUnlockedCells="1"/>
  <mergeCells count="1">
    <mergeCell ref="B1:D1"/>
  </mergeCells>
  <phoneticPr fontId="0" type="noConversion"/>
  <printOptions horizontalCentered="1"/>
  <pageMargins left="0.75" right="0.75" top="1" bottom="1" header="0.5" footer="0.5"/>
  <pageSetup fitToHeight="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101"/>
  <sheetViews>
    <sheetView showGridLines="0" workbookViewId="0">
      <pane xSplit="1" ySplit="1" topLeftCell="B2" activePane="bottomRight" state="frozen"/>
      <selection pane="topRight" activeCell="B1" sqref="B1"/>
      <selection pane="bottomLeft" activeCell="A2" sqref="A2"/>
      <selection pane="bottomRight" activeCell="A100" sqref="A100"/>
    </sheetView>
  </sheetViews>
  <sheetFormatPr defaultColWidth="9.33203125" defaultRowHeight="12.75" x14ac:dyDescent="0.2"/>
  <cols>
    <col min="1" max="21" width="9.33203125" style="12"/>
    <col min="22" max="22" width="2.5" style="12" customWidth="1"/>
    <col min="23" max="16384" width="9.33203125" style="12"/>
  </cols>
  <sheetData>
    <row r="1" spans="1:43" x14ac:dyDescent="0.2">
      <c r="A1" s="13" t="s">
        <v>26</v>
      </c>
      <c r="B1" s="14">
        <v>2</v>
      </c>
      <c r="C1" s="14">
        <v>3</v>
      </c>
      <c r="D1" s="14">
        <v>4</v>
      </c>
      <c r="E1" s="14">
        <v>5</v>
      </c>
      <c r="F1" s="14">
        <v>6</v>
      </c>
      <c r="G1" s="14">
        <v>7</v>
      </c>
      <c r="H1" s="14">
        <v>8</v>
      </c>
      <c r="I1" s="14">
        <v>9</v>
      </c>
      <c r="J1" s="14">
        <v>10</v>
      </c>
      <c r="K1" s="14">
        <v>11</v>
      </c>
      <c r="L1" s="14">
        <v>12</v>
      </c>
      <c r="M1" s="14">
        <v>13</v>
      </c>
      <c r="N1" s="14">
        <v>14</v>
      </c>
      <c r="O1" s="14">
        <v>15</v>
      </c>
      <c r="P1" s="14">
        <v>16</v>
      </c>
      <c r="Q1" s="14">
        <v>17</v>
      </c>
      <c r="R1" s="14">
        <v>18</v>
      </c>
      <c r="S1" s="14">
        <v>19</v>
      </c>
      <c r="T1" s="14">
        <v>20</v>
      </c>
      <c r="U1" s="15">
        <v>21</v>
      </c>
      <c r="W1" s="13" t="s">
        <v>25</v>
      </c>
      <c r="X1" s="14">
        <v>2</v>
      </c>
      <c r="Y1" s="14">
        <v>3</v>
      </c>
      <c r="Z1" s="14">
        <v>4</v>
      </c>
      <c r="AA1" s="14">
        <v>5</v>
      </c>
      <c r="AB1" s="14">
        <v>6</v>
      </c>
      <c r="AC1" s="14">
        <v>7</v>
      </c>
      <c r="AD1" s="14">
        <v>8</v>
      </c>
      <c r="AE1" s="14">
        <v>9</v>
      </c>
      <c r="AF1" s="14">
        <v>10</v>
      </c>
      <c r="AG1" s="14">
        <v>11</v>
      </c>
      <c r="AH1" s="14">
        <v>12</v>
      </c>
      <c r="AI1" s="14">
        <v>13</v>
      </c>
      <c r="AJ1" s="14">
        <v>14</v>
      </c>
      <c r="AK1" s="14">
        <v>15</v>
      </c>
      <c r="AL1" s="14">
        <v>16</v>
      </c>
      <c r="AM1" s="14">
        <v>17</v>
      </c>
      <c r="AN1" s="14">
        <v>18</v>
      </c>
      <c r="AO1" s="14">
        <v>19</v>
      </c>
      <c r="AP1" s="14">
        <v>20</v>
      </c>
      <c r="AQ1" s="15">
        <v>21</v>
      </c>
    </row>
    <row r="2" spans="1:43" x14ac:dyDescent="0.2">
      <c r="A2" s="16">
        <v>5</v>
      </c>
      <c r="B2" s="18">
        <v>0.61017999999999994</v>
      </c>
      <c r="C2" s="18">
        <v>0.46722999999999998</v>
      </c>
      <c r="D2" s="18">
        <v>0.36743999999999999</v>
      </c>
      <c r="E2" s="18">
        <v>0.29570999999999997</v>
      </c>
      <c r="F2" s="18">
        <v>0.24268999999999999</v>
      </c>
      <c r="G2" s="18">
        <v>0.20252999999999999</v>
      </c>
      <c r="H2" s="18">
        <v>0.17144000000000001</v>
      </c>
      <c r="I2" s="18">
        <v>0.14693000000000001</v>
      </c>
      <c r="J2" s="18">
        <v>0.12726000000000001</v>
      </c>
      <c r="K2" s="18">
        <v>0.11126999999999999</v>
      </c>
      <c r="L2" s="18">
        <v>9.8089999999999997E-2</v>
      </c>
      <c r="M2" s="18">
        <v>8.7110000000000007E-2</v>
      </c>
      <c r="N2" s="18">
        <v>7.7859999999999999E-2</v>
      </c>
      <c r="O2" s="18">
        <v>7.0010000000000003E-2</v>
      </c>
      <c r="P2" s="18">
        <v>6.3270000000000007E-2</v>
      </c>
      <c r="Q2" s="18">
        <v>5.747E-2</v>
      </c>
      <c r="R2" s="18">
        <v>5.2420000000000001E-2</v>
      </c>
      <c r="S2" s="18">
        <v>4.8009999999999997E-2</v>
      </c>
      <c r="T2" s="18">
        <v>4.4130000000000003E-2</v>
      </c>
      <c r="U2" s="19">
        <v>4.07E-2</v>
      </c>
      <c r="W2" s="16">
        <v>5</v>
      </c>
      <c r="X2" s="18">
        <v>1.3198799999999999</v>
      </c>
      <c r="Y2" s="18">
        <v>1.69926</v>
      </c>
      <c r="Z2" s="18">
        <v>2.1281599999999998</v>
      </c>
      <c r="AA2" s="18">
        <v>2.5880999999999998</v>
      </c>
      <c r="AB2" s="18">
        <v>2.2959299999999998</v>
      </c>
      <c r="AC2" s="18">
        <v>2.57158</v>
      </c>
      <c r="AD2" s="18">
        <v>2.8476900000000001</v>
      </c>
      <c r="AE2" s="18">
        <v>3.1112099999999998</v>
      </c>
      <c r="AF2" s="18">
        <v>3.3603800000000001</v>
      </c>
      <c r="AG2" s="18">
        <v>2.9739900000000001</v>
      </c>
      <c r="AH2" s="18">
        <v>3.1593</v>
      </c>
      <c r="AI2" s="18">
        <v>3.3348100000000001</v>
      </c>
      <c r="AJ2" s="18">
        <v>3.49566</v>
      </c>
      <c r="AK2" s="18">
        <v>3.6424099999999999</v>
      </c>
      <c r="AL2" s="18">
        <v>3.327</v>
      </c>
      <c r="AM2" s="18">
        <v>3.4540199999999999</v>
      </c>
      <c r="AN2" s="18">
        <v>3.5716700000000001</v>
      </c>
      <c r="AO2" s="18">
        <v>3.6776900000000001</v>
      </c>
      <c r="AP2" s="18">
        <v>3.7729699999999999</v>
      </c>
      <c r="AQ2" s="19">
        <v>3.52786</v>
      </c>
    </row>
    <row r="3" spans="1:43" x14ac:dyDescent="0.2">
      <c r="A3" s="16">
        <v>10</v>
      </c>
      <c r="B3" s="18">
        <v>0.87912999999999997</v>
      </c>
      <c r="C3" s="18">
        <v>0.69715000000000005</v>
      </c>
      <c r="D3" s="18">
        <v>0.52534000000000003</v>
      </c>
      <c r="E3" s="18">
        <v>0.37602000000000002</v>
      </c>
      <c r="F3" s="18">
        <v>0.24268999999999999</v>
      </c>
      <c r="G3" s="18">
        <v>0.20252999999999999</v>
      </c>
      <c r="H3" s="18">
        <v>0.17144000000000001</v>
      </c>
      <c r="I3" s="18">
        <v>0.14693000000000001</v>
      </c>
      <c r="J3" s="18">
        <v>0.12726000000000001</v>
      </c>
      <c r="K3" s="18">
        <v>0.11126999999999999</v>
      </c>
      <c r="L3" s="18">
        <v>9.8089999999999997E-2</v>
      </c>
      <c r="M3" s="18">
        <v>8.7110000000000007E-2</v>
      </c>
      <c r="N3" s="18">
        <v>7.7859999999999999E-2</v>
      </c>
      <c r="O3" s="18">
        <v>7.0010000000000003E-2</v>
      </c>
      <c r="P3" s="18">
        <v>6.3270000000000007E-2</v>
      </c>
      <c r="Q3" s="18">
        <v>5.747E-2</v>
      </c>
      <c r="R3" s="18">
        <v>5.2420000000000001E-2</v>
      </c>
      <c r="S3" s="18">
        <v>4.8009999999999997E-2</v>
      </c>
      <c r="T3" s="18">
        <v>4.4130000000000003E-2</v>
      </c>
      <c r="U3" s="19">
        <v>4.07E-2</v>
      </c>
      <c r="W3" s="16">
        <v>10</v>
      </c>
      <c r="X3" s="18">
        <v>1.3197099999999999</v>
      </c>
      <c r="Y3" s="18">
        <v>1.5506599999999999</v>
      </c>
      <c r="Z3" s="18">
        <v>1.7788200000000001</v>
      </c>
      <c r="AA3" s="18">
        <v>2.02955</v>
      </c>
      <c r="AB3" s="18">
        <v>2.2959299999999998</v>
      </c>
      <c r="AC3" s="18">
        <v>2.57158</v>
      </c>
      <c r="AD3" s="18">
        <v>2.8476900000000001</v>
      </c>
      <c r="AE3" s="18">
        <v>3.1112099999999998</v>
      </c>
      <c r="AF3" s="18">
        <v>3.3603800000000001</v>
      </c>
      <c r="AG3" s="18">
        <v>2.9739900000000001</v>
      </c>
      <c r="AH3" s="18">
        <v>3.1593</v>
      </c>
      <c r="AI3" s="18">
        <v>3.3348100000000001</v>
      </c>
      <c r="AJ3" s="18">
        <v>3.49566</v>
      </c>
      <c r="AK3" s="18">
        <v>3.6424099999999999</v>
      </c>
      <c r="AL3" s="18">
        <v>3.327</v>
      </c>
      <c r="AM3" s="18">
        <v>3.4540199999999999</v>
      </c>
      <c r="AN3" s="18">
        <v>3.5716700000000001</v>
      </c>
      <c r="AO3" s="18">
        <v>3.6776900000000001</v>
      </c>
      <c r="AP3" s="18">
        <v>3.7729699999999999</v>
      </c>
      <c r="AQ3" s="19">
        <v>3.52786</v>
      </c>
    </row>
    <row r="4" spans="1:43" x14ac:dyDescent="0.2">
      <c r="A4" s="16">
        <v>15</v>
      </c>
      <c r="B4" s="18">
        <v>1.07697</v>
      </c>
      <c r="C4" s="18">
        <v>0.94554000000000005</v>
      </c>
      <c r="D4" s="18">
        <v>0.81396000000000002</v>
      </c>
      <c r="E4" s="18">
        <v>0.68518999999999997</v>
      </c>
      <c r="F4" s="18">
        <v>0.56196999999999997</v>
      </c>
      <c r="G4" s="18">
        <v>0.44707000000000002</v>
      </c>
      <c r="H4" s="18">
        <v>0.34289999999999998</v>
      </c>
      <c r="I4" s="18">
        <v>0.25090000000000001</v>
      </c>
      <c r="J4" s="18">
        <v>0.17530999999999999</v>
      </c>
      <c r="K4" s="18">
        <v>0.11126999999999999</v>
      </c>
      <c r="L4" s="18">
        <v>9.8089999999999997E-2</v>
      </c>
      <c r="M4" s="18">
        <v>8.7110000000000007E-2</v>
      </c>
      <c r="N4" s="18">
        <v>7.7859999999999999E-2</v>
      </c>
      <c r="O4" s="18">
        <v>7.0010000000000003E-2</v>
      </c>
      <c r="P4" s="18">
        <v>6.3270000000000007E-2</v>
      </c>
      <c r="Q4" s="18">
        <v>5.747E-2</v>
      </c>
      <c r="R4" s="18">
        <v>5.2420000000000001E-2</v>
      </c>
      <c r="S4" s="18">
        <v>4.8009999999999997E-2</v>
      </c>
      <c r="T4" s="18">
        <v>4.4130000000000003E-2</v>
      </c>
      <c r="U4" s="19">
        <v>4.07E-2</v>
      </c>
      <c r="W4" s="16">
        <v>15</v>
      </c>
      <c r="X4" s="18">
        <v>1.3605400000000001</v>
      </c>
      <c r="Y4" s="18">
        <v>1.53525</v>
      </c>
      <c r="Z4" s="18">
        <v>1.68509</v>
      </c>
      <c r="AA4" s="18">
        <v>1.84815</v>
      </c>
      <c r="AB4" s="18">
        <v>2.0226199999999999</v>
      </c>
      <c r="AC4" s="18">
        <v>2.20614</v>
      </c>
      <c r="AD4" s="18">
        <v>2.39602</v>
      </c>
      <c r="AE4" s="18">
        <v>2.5893899999999999</v>
      </c>
      <c r="AF4" s="18">
        <v>2.7831199999999998</v>
      </c>
      <c r="AG4" s="18">
        <v>2.9739900000000001</v>
      </c>
      <c r="AH4" s="18">
        <v>3.1593</v>
      </c>
      <c r="AI4" s="18">
        <v>3.3348100000000001</v>
      </c>
      <c r="AJ4" s="18">
        <v>3.49566</v>
      </c>
      <c r="AK4" s="18">
        <v>3.6424099999999999</v>
      </c>
      <c r="AL4" s="18">
        <v>3.327</v>
      </c>
      <c r="AM4" s="18">
        <v>3.4540199999999999</v>
      </c>
      <c r="AN4" s="18">
        <v>3.5716700000000001</v>
      </c>
      <c r="AO4" s="18">
        <v>3.6776900000000001</v>
      </c>
      <c r="AP4" s="18">
        <v>3.7729699999999999</v>
      </c>
      <c r="AQ4" s="19">
        <v>3.52786</v>
      </c>
    </row>
    <row r="5" spans="1:43" x14ac:dyDescent="0.2">
      <c r="A5" s="16">
        <v>20</v>
      </c>
      <c r="B5" s="18">
        <v>1.2014899999999999</v>
      </c>
      <c r="C5" s="18">
        <v>1.1004</v>
      </c>
      <c r="D5" s="18">
        <v>0.99755000000000005</v>
      </c>
      <c r="E5" s="18">
        <v>0.89424999999999999</v>
      </c>
      <c r="F5" s="18">
        <v>0.79178999999999999</v>
      </c>
      <c r="G5" s="18">
        <v>0.69145999999999996</v>
      </c>
      <c r="H5" s="18">
        <v>0.59453999999999996</v>
      </c>
      <c r="I5" s="18">
        <v>0.50219999999999998</v>
      </c>
      <c r="J5" s="18">
        <v>0.41559000000000001</v>
      </c>
      <c r="K5" s="18">
        <v>0.33571000000000001</v>
      </c>
      <c r="L5" s="18">
        <v>0.26349</v>
      </c>
      <c r="M5" s="18">
        <v>0.19978000000000001</v>
      </c>
      <c r="N5" s="18">
        <v>0.14471999999999999</v>
      </c>
      <c r="O5" s="18">
        <v>0.10024</v>
      </c>
      <c r="P5" s="18">
        <v>6.3270000000000007E-2</v>
      </c>
      <c r="Q5" s="18">
        <v>5.747E-2</v>
      </c>
      <c r="R5" s="18">
        <v>5.2420000000000001E-2</v>
      </c>
      <c r="S5" s="18">
        <v>4.8009999999999997E-2</v>
      </c>
      <c r="T5" s="18">
        <v>4.4130000000000003E-2</v>
      </c>
      <c r="U5" s="19">
        <v>4.07E-2</v>
      </c>
      <c r="W5" s="16">
        <v>20</v>
      </c>
      <c r="X5" s="18">
        <v>1.41073</v>
      </c>
      <c r="Y5" s="18">
        <v>1.53668</v>
      </c>
      <c r="Z5" s="18">
        <v>1.65649</v>
      </c>
      <c r="AA5" s="18">
        <v>1.7752600000000001</v>
      </c>
      <c r="AB5" s="18">
        <v>1.90184</v>
      </c>
      <c r="AC5" s="18">
        <v>2.0352199999999998</v>
      </c>
      <c r="AD5" s="18">
        <v>2.1742699999999999</v>
      </c>
      <c r="AE5" s="18">
        <v>2.3177400000000001</v>
      </c>
      <c r="AF5" s="18">
        <v>2.4643099999999998</v>
      </c>
      <c r="AG5" s="18">
        <v>2.6126</v>
      </c>
      <c r="AH5" s="18">
        <v>2.76111</v>
      </c>
      <c r="AI5" s="18">
        <v>2.90835</v>
      </c>
      <c r="AJ5" s="18">
        <v>3.0528200000000001</v>
      </c>
      <c r="AK5" s="18">
        <v>3.19285</v>
      </c>
      <c r="AL5" s="18">
        <v>3.327</v>
      </c>
      <c r="AM5" s="18">
        <v>3.4540199999999999</v>
      </c>
      <c r="AN5" s="18">
        <v>3.5716700000000001</v>
      </c>
      <c r="AO5" s="18">
        <v>3.6776900000000001</v>
      </c>
      <c r="AP5" s="18">
        <v>3.7729699999999999</v>
      </c>
      <c r="AQ5" s="19">
        <v>3.52786</v>
      </c>
    </row>
    <row r="6" spans="1:43" x14ac:dyDescent="0.2">
      <c r="A6" s="16">
        <v>25</v>
      </c>
      <c r="B6" s="18">
        <v>1.2879100000000001</v>
      </c>
      <c r="C6" s="18">
        <v>1.20625</v>
      </c>
      <c r="D6" s="18">
        <v>1.12276</v>
      </c>
      <c r="E6" s="18">
        <v>1.0381100000000001</v>
      </c>
      <c r="F6" s="18">
        <v>0.95296999999999998</v>
      </c>
      <c r="G6" s="18">
        <v>0.86802999999999997</v>
      </c>
      <c r="H6" s="18">
        <v>0.78400000000000003</v>
      </c>
      <c r="I6" s="18">
        <v>0.70154000000000005</v>
      </c>
      <c r="J6" s="18">
        <v>0.62133000000000005</v>
      </c>
      <c r="K6" s="18">
        <v>0.54400999999999999</v>
      </c>
      <c r="L6" s="18">
        <v>0.47019</v>
      </c>
      <c r="M6" s="18">
        <v>0.40045999999999998</v>
      </c>
      <c r="N6" s="18">
        <v>0.33535999999999999</v>
      </c>
      <c r="O6" s="18">
        <v>0.27535999999999999</v>
      </c>
      <c r="P6" s="18">
        <v>0.22090000000000001</v>
      </c>
      <c r="Q6" s="18">
        <v>0.17230999999999999</v>
      </c>
      <c r="R6" s="18">
        <v>0.12995000000000001</v>
      </c>
      <c r="S6" s="18">
        <v>9.3710000000000002E-2</v>
      </c>
      <c r="T6" s="18">
        <v>6.4649999999999999E-2</v>
      </c>
      <c r="U6" s="19">
        <v>4.07E-2</v>
      </c>
      <c r="W6" s="16">
        <v>25</v>
      </c>
      <c r="X6" s="18">
        <v>1.4537100000000001</v>
      </c>
      <c r="Y6" s="18">
        <v>1.5495399999999999</v>
      </c>
      <c r="Z6" s="18">
        <v>1.6498699999999999</v>
      </c>
      <c r="AA6" s="18">
        <v>1.7425999999999999</v>
      </c>
      <c r="AB6" s="18">
        <v>1.8408800000000001</v>
      </c>
      <c r="AC6" s="18">
        <v>1.9441999999999999</v>
      </c>
      <c r="AD6" s="18">
        <v>2.0519599999999998</v>
      </c>
      <c r="AE6" s="18">
        <v>2.1635800000000001</v>
      </c>
      <c r="AF6" s="18">
        <v>2.2783699999999998</v>
      </c>
      <c r="AG6" s="18">
        <v>2.3956200000000001</v>
      </c>
      <c r="AH6" s="18">
        <v>2.5145900000000001</v>
      </c>
      <c r="AI6" s="18">
        <v>2.6344699999999999</v>
      </c>
      <c r="AJ6" s="18">
        <v>2.7544900000000001</v>
      </c>
      <c r="AK6" s="18">
        <v>2.8738100000000002</v>
      </c>
      <c r="AL6" s="18">
        <v>2.9916</v>
      </c>
      <c r="AM6" s="18">
        <v>3.1070000000000002</v>
      </c>
      <c r="AN6" s="18">
        <v>3.2191700000000001</v>
      </c>
      <c r="AO6" s="18">
        <v>3.32728</v>
      </c>
      <c r="AP6" s="18">
        <v>3.4304199999999998</v>
      </c>
      <c r="AQ6" s="19">
        <v>3.52786</v>
      </c>
    </row>
    <row r="7" spans="1:43" x14ac:dyDescent="0.2">
      <c r="A7" s="16">
        <v>30</v>
      </c>
      <c r="B7" s="18">
        <v>1.3520399999999999</v>
      </c>
      <c r="C7" s="18">
        <v>1.28373</v>
      </c>
      <c r="D7" s="18">
        <v>1.2138</v>
      </c>
      <c r="E7" s="18">
        <v>1.14262</v>
      </c>
      <c r="F7" s="18">
        <v>1.0706</v>
      </c>
      <c r="G7" s="18">
        <v>0.99814999999999998</v>
      </c>
      <c r="H7" s="18">
        <v>0.92564000000000002</v>
      </c>
      <c r="I7" s="18">
        <v>0.85350999999999999</v>
      </c>
      <c r="J7" s="18">
        <v>0.78217000000000003</v>
      </c>
      <c r="K7" s="18">
        <v>0.71201999999999999</v>
      </c>
      <c r="L7" s="18">
        <v>0.64344999999999997</v>
      </c>
      <c r="M7" s="18">
        <v>0.57684999999999997</v>
      </c>
      <c r="N7" s="18">
        <v>0.51258999999999999</v>
      </c>
      <c r="O7" s="18">
        <v>0.45105000000000001</v>
      </c>
      <c r="P7" s="18">
        <v>0.39255000000000001</v>
      </c>
      <c r="Q7" s="18">
        <v>0.33739999999999998</v>
      </c>
      <c r="R7" s="18">
        <v>0.28589999999999999</v>
      </c>
      <c r="S7" s="18">
        <v>0.23830000000000001</v>
      </c>
      <c r="T7" s="18">
        <v>0.19485</v>
      </c>
      <c r="U7" s="19">
        <v>0.15572</v>
      </c>
      <c r="W7" s="16">
        <v>30</v>
      </c>
      <c r="X7" s="18">
        <v>1.48936</v>
      </c>
      <c r="Y7" s="18">
        <v>1.5666100000000001</v>
      </c>
      <c r="Z7" s="18">
        <v>1.64981</v>
      </c>
      <c r="AA7" s="18">
        <v>1.7277</v>
      </c>
      <c r="AB7" s="18">
        <v>1.80758</v>
      </c>
      <c r="AC7" s="18">
        <v>1.8912899999999999</v>
      </c>
      <c r="AD7" s="18">
        <v>1.9784900000000001</v>
      </c>
      <c r="AE7" s="18">
        <v>2.0688200000000001</v>
      </c>
      <c r="AF7" s="18">
        <v>2.1619000000000002</v>
      </c>
      <c r="AG7" s="18">
        <v>2.2573500000000002</v>
      </c>
      <c r="AH7" s="18">
        <v>2.35473</v>
      </c>
      <c r="AI7" s="18">
        <v>2.4535900000000002</v>
      </c>
      <c r="AJ7" s="18">
        <v>2.55348</v>
      </c>
      <c r="AK7" s="18">
        <v>2.6539199999999998</v>
      </c>
      <c r="AL7" s="18">
        <v>2.7544200000000001</v>
      </c>
      <c r="AM7" s="18">
        <v>2.8544900000000002</v>
      </c>
      <c r="AN7" s="18">
        <v>2.9536099999999998</v>
      </c>
      <c r="AO7" s="18">
        <v>3.0512700000000001</v>
      </c>
      <c r="AP7" s="18">
        <v>3.14697</v>
      </c>
      <c r="AQ7" s="19">
        <v>3.2402000000000002</v>
      </c>
    </row>
    <row r="8" spans="1:43" x14ac:dyDescent="0.2">
      <c r="A8" s="16">
        <v>35</v>
      </c>
      <c r="B8" s="18">
        <v>1.40194</v>
      </c>
      <c r="C8" s="18">
        <v>1.3433200000000001</v>
      </c>
      <c r="D8" s="18">
        <v>1.2833000000000001</v>
      </c>
      <c r="E8" s="18">
        <v>1.22214</v>
      </c>
      <c r="F8" s="18">
        <v>1.1600699999999999</v>
      </c>
      <c r="G8" s="18">
        <v>1.09735</v>
      </c>
      <c r="H8" s="18">
        <v>1.03424</v>
      </c>
      <c r="I8" s="18">
        <v>0.97099000000000002</v>
      </c>
      <c r="J8" s="18">
        <v>0.90788000000000002</v>
      </c>
      <c r="K8" s="18">
        <v>0.84516000000000002</v>
      </c>
      <c r="L8" s="18">
        <v>0.78310999999999997</v>
      </c>
      <c r="M8" s="18">
        <v>0.72197</v>
      </c>
      <c r="N8" s="18">
        <v>0.66200000000000003</v>
      </c>
      <c r="O8" s="18">
        <v>0.60346</v>
      </c>
      <c r="P8" s="18">
        <v>0.54659000000000002</v>
      </c>
      <c r="Q8" s="18">
        <v>0.49162</v>
      </c>
      <c r="R8" s="18">
        <v>0.43878</v>
      </c>
      <c r="S8" s="18">
        <v>0.38829000000000002</v>
      </c>
      <c r="T8" s="18">
        <v>0.34033999999999998</v>
      </c>
      <c r="U8" s="19">
        <v>0.29513</v>
      </c>
      <c r="W8" s="16">
        <v>35</v>
      </c>
      <c r="X8" s="18">
        <v>1.5191399999999999</v>
      </c>
      <c r="Y8" s="18">
        <v>1.58382</v>
      </c>
      <c r="Z8" s="18">
        <v>1.65282</v>
      </c>
      <c r="AA8" s="18">
        <v>1.7215199999999999</v>
      </c>
      <c r="AB8" s="18">
        <v>1.7886299999999999</v>
      </c>
      <c r="AC8" s="18">
        <v>1.8587</v>
      </c>
      <c r="AD8" s="18">
        <v>1.93153</v>
      </c>
      <c r="AE8" s="18">
        <v>2.00692</v>
      </c>
      <c r="AF8" s="18">
        <v>2.0846</v>
      </c>
      <c r="AG8" s="18">
        <v>2.1643699999999999</v>
      </c>
      <c r="AH8" s="18">
        <v>2.24594</v>
      </c>
      <c r="AI8" s="18">
        <v>2.32904</v>
      </c>
      <c r="AJ8" s="18">
        <v>2.4134000000000002</v>
      </c>
      <c r="AK8" s="18">
        <v>2.4987200000000001</v>
      </c>
      <c r="AL8" s="18">
        <v>2.5846900000000002</v>
      </c>
      <c r="AM8" s="18">
        <v>2.6709999999999998</v>
      </c>
      <c r="AN8" s="18">
        <v>2.7573300000000001</v>
      </c>
      <c r="AO8" s="18">
        <v>2.8433600000000001</v>
      </c>
      <c r="AP8" s="18">
        <v>2.92876</v>
      </c>
      <c r="AQ8" s="19">
        <v>3.0131999999999999</v>
      </c>
    </row>
    <row r="9" spans="1:43" x14ac:dyDescent="0.2">
      <c r="A9" s="16">
        <v>40</v>
      </c>
      <c r="B9" s="18">
        <v>1.44214</v>
      </c>
      <c r="C9" s="18">
        <v>1.39083</v>
      </c>
      <c r="D9" s="18">
        <v>1.3383499999999999</v>
      </c>
      <c r="E9" s="18">
        <v>1.28484</v>
      </c>
      <c r="F9" s="18">
        <v>1.23047</v>
      </c>
      <c r="G9" s="18">
        <v>1.1754100000000001</v>
      </c>
      <c r="H9" s="18">
        <v>1.1198300000000001</v>
      </c>
      <c r="I9" s="18">
        <v>1.0639099999999999</v>
      </c>
      <c r="J9" s="18">
        <v>1.0078199999999999</v>
      </c>
      <c r="K9" s="18">
        <v>0.95174000000000003</v>
      </c>
      <c r="L9" s="18">
        <v>0.89585000000000004</v>
      </c>
      <c r="M9" s="18">
        <v>0.84035000000000004</v>
      </c>
      <c r="N9" s="18">
        <v>0.78539000000000003</v>
      </c>
      <c r="O9" s="18">
        <v>0.73114999999999997</v>
      </c>
      <c r="P9" s="18">
        <v>0.67781999999999998</v>
      </c>
      <c r="Q9" s="18">
        <v>0.62556</v>
      </c>
      <c r="R9" s="18">
        <v>0.57454000000000005</v>
      </c>
      <c r="S9" s="18">
        <v>0.52492000000000005</v>
      </c>
      <c r="T9" s="18">
        <v>0.47687000000000002</v>
      </c>
      <c r="U9" s="19">
        <v>0.43053999999999998</v>
      </c>
      <c r="W9" s="16">
        <v>40</v>
      </c>
      <c r="X9" s="18">
        <v>1.54436</v>
      </c>
      <c r="Y9" s="18">
        <v>1.59999</v>
      </c>
      <c r="Z9" s="18">
        <v>1.65889</v>
      </c>
      <c r="AA9" s="18">
        <v>1.7199599999999999</v>
      </c>
      <c r="AB9" s="18">
        <v>1.77772</v>
      </c>
      <c r="AC9" s="18">
        <v>1.8378399999999999</v>
      </c>
      <c r="AD9" s="18">
        <v>1.9001699999999999</v>
      </c>
      <c r="AE9" s="18">
        <v>1.9645999999999999</v>
      </c>
      <c r="AF9" s="18">
        <v>2.0309499999999998</v>
      </c>
      <c r="AG9" s="18">
        <v>2.0990700000000002</v>
      </c>
      <c r="AH9" s="18">
        <v>2.1688100000000001</v>
      </c>
      <c r="AI9" s="18">
        <v>2.23997</v>
      </c>
      <c r="AJ9" s="18">
        <v>2.31237</v>
      </c>
      <c r="AK9" s="18">
        <v>2.3858100000000002</v>
      </c>
      <c r="AL9" s="18">
        <v>2.4601099999999998</v>
      </c>
      <c r="AM9" s="18">
        <v>2.53505</v>
      </c>
      <c r="AN9" s="18">
        <v>2.61043</v>
      </c>
      <c r="AO9" s="18">
        <v>2.68601</v>
      </c>
      <c r="AP9" s="18">
        <v>2.7616100000000001</v>
      </c>
      <c r="AQ9" s="19">
        <v>2.8369800000000001</v>
      </c>
    </row>
    <row r="10" spans="1:43" x14ac:dyDescent="0.2">
      <c r="A10" s="16">
        <v>45</v>
      </c>
      <c r="B10" s="18">
        <v>1.4753799999999999</v>
      </c>
      <c r="C10" s="18">
        <v>1.4298</v>
      </c>
      <c r="D10" s="18">
        <v>1.3832</v>
      </c>
      <c r="E10" s="18">
        <v>1.33571</v>
      </c>
      <c r="F10" s="18">
        <v>1.2874399999999999</v>
      </c>
      <c r="G10" s="18">
        <v>1.2384900000000001</v>
      </c>
      <c r="H10" s="18">
        <v>1.18899</v>
      </c>
      <c r="I10" s="18">
        <v>1.13907</v>
      </c>
      <c r="J10" s="18">
        <v>1.0888599999999999</v>
      </c>
      <c r="K10" s="18">
        <v>1.0384599999999999</v>
      </c>
      <c r="L10" s="18">
        <v>0.98802000000000001</v>
      </c>
      <c r="M10" s="18">
        <v>0.93764999999999998</v>
      </c>
      <c r="N10" s="18">
        <v>0.88749999999999996</v>
      </c>
      <c r="O10" s="18">
        <v>0.83769000000000005</v>
      </c>
      <c r="P10" s="18">
        <v>0.78832999999999998</v>
      </c>
      <c r="Q10" s="18">
        <v>0.73955000000000004</v>
      </c>
      <c r="R10" s="18">
        <v>0.69149000000000005</v>
      </c>
      <c r="S10" s="18">
        <v>0.64427000000000001</v>
      </c>
      <c r="T10" s="18">
        <v>0.59801000000000004</v>
      </c>
      <c r="U10" s="19">
        <v>0.55281999999999998</v>
      </c>
      <c r="W10" s="16">
        <v>45</v>
      </c>
      <c r="X10" s="18">
        <v>1.56602</v>
      </c>
      <c r="Y10" s="18">
        <v>1.6148199999999999</v>
      </c>
      <c r="Z10" s="18">
        <v>1.66618</v>
      </c>
      <c r="AA10" s="18">
        <v>1.7199899999999999</v>
      </c>
      <c r="AB10" s="18">
        <v>1.77159</v>
      </c>
      <c r="AC10" s="18">
        <v>1.8241499999999999</v>
      </c>
      <c r="AD10" s="18">
        <v>1.87852</v>
      </c>
      <c r="AE10" s="18">
        <v>1.9346300000000001</v>
      </c>
      <c r="AF10" s="18">
        <v>1.9923599999999999</v>
      </c>
      <c r="AG10" s="18">
        <v>2.0516000000000001</v>
      </c>
      <c r="AH10" s="18">
        <v>2.1122399999999999</v>
      </c>
      <c r="AI10" s="18">
        <v>2.17415</v>
      </c>
      <c r="AJ10" s="18">
        <v>2.2372299999999998</v>
      </c>
      <c r="AK10" s="18">
        <v>2.30131</v>
      </c>
      <c r="AL10" s="18">
        <v>2.3662800000000002</v>
      </c>
      <c r="AM10" s="18">
        <v>2.4319899999999999</v>
      </c>
      <c r="AN10" s="18">
        <v>2.4982899999999999</v>
      </c>
      <c r="AO10" s="18">
        <v>2.5650499999999998</v>
      </c>
      <c r="AP10" s="18">
        <v>2.6321099999999999</v>
      </c>
      <c r="AQ10" s="19">
        <v>2.6993</v>
      </c>
    </row>
    <row r="11" spans="1:43" x14ac:dyDescent="0.2">
      <c r="A11" s="16">
        <v>50</v>
      </c>
      <c r="B11" s="18">
        <v>1.50345</v>
      </c>
      <c r="C11" s="18">
        <v>1.4624600000000001</v>
      </c>
      <c r="D11" s="18">
        <v>1.42059</v>
      </c>
      <c r="E11" s="18">
        <v>1.3779300000000001</v>
      </c>
      <c r="F11" s="18">
        <v>1.33457</v>
      </c>
      <c r="G11" s="18">
        <v>1.2905899999999999</v>
      </c>
      <c r="H11" s="18">
        <v>1.24607</v>
      </c>
      <c r="I11" s="18">
        <v>1.2011000000000001</v>
      </c>
      <c r="J11" s="18">
        <v>1.1557900000000001</v>
      </c>
      <c r="K11" s="18">
        <v>1.1102099999999999</v>
      </c>
      <c r="L11" s="18">
        <v>1.0644499999999999</v>
      </c>
      <c r="M11" s="18">
        <v>1.0186200000000001</v>
      </c>
      <c r="N11" s="18">
        <v>0.9728</v>
      </c>
      <c r="O11" s="18">
        <v>0.92708999999999997</v>
      </c>
      <c r="P11" s="18">
        <v>0.88158999999999998</v>
      </c>
      <c r="Q11" s="18">
        <v>0.83638000000000001</v>
      </c>
      <c r="R11" s="18">
        <v>0.79156000000000004</v>
      </c>
      <c r="S11" s="18">
        <v>0.74722999999999995</v>
      </c>
      <c r="T11" s="18">
        <v>0.70347999999999999</v>
      </c>
      <c r="U11" s="19">
        <v>0.66039999999999999</v>
      </c>
      <c r="W11" s="16">
        <v>50</v>
      </c>
      <c r="X11" s="18">
        <v>1.5848599999999999</v>
      </c>
      <c r="Y11" s="18">
        <v>1.6283300000000001</v>
      </c>
      <c r="Z11" s="18">
        <v>1.6738500000000001</v>
      </c>
      <c r="AA11" s="18">
        <v>1.7213499999999999</v>
      </c>
      <c r="AB11" s="18">
        <v>1.76844</v>
      </c>
      <c r="AC11" s="18">
        <v>1.81508</v>
      </c>
      <c r="AD11" s="18">
        <v>1.86324</v>
      </c>
      <c r="AE11" s="18">
        <v>1.91283</v>
      </c>
      <c r="AF11" s="18">
        <v>1.9638100000000001</v>
      </c>
      <c r="AG11" s="18">
        <v>2.0160900000000002</v>
      </c>
      <c r="AH11" s="18">
        <v>2.0695899999999998</v>
      </c>
      <c r="AI11" s="18">
        <v>2.1242000000000001</v>
      </c>
      <c r="AJ11" s="18">
        <v>2.1798700000000002</v>
      </c>
      <c r="AK11" s="18">
        <v>2.2364700000000002</v>
      </c>
      <c r="AL11" s="18">
        <v>2.29392</v>
      </c>
      <c r="AM11" s="18">
        <v>2.3521299999999998</v>
      </c>
      <c r="AN11" s="18">
        <v>2.4109699999999998</v>
      </c>
      <c r="AO11" s="18">
        <v>2.4703599999999999</v>
      </c>
      <c r="AP11" s="18">
        <v>2.5301900000000002</v>
      </c>
      <c r="AQ11" s="19">
        <v>2.5903299999999998</v>
      </c>
    </row>
    <row r="12" spans="1:43" x14ac:dyDescent="0.2">
      <c r="A12" s="16">
        <v>55</v>
      </c>
      <c r="B12" s="18">
        <v>1.52755</v>
      </c>
      <c r="C12" s="18">
        <v>1.49031</v>
      </c>
      <c r="D12" s="18">
        <v>1.4523200000000001</v>
      </c>
      <c r="E12" s="18">
        <v>1.4136200000000001</v>
      </c>
      <c r="F12" s="18">
        <v>1.3743099999999999</v>
      </c>
      <c r="G12" s="18">
        <v>1.3344199999999999</v>
      </c>
      <c r="H12" s="18">
        <v>1.29403</v>
      </c>
      <c r="I12" s="18">
        <v>1.25319</v>
      </c>
      <c r="J12" s="18">
        <v>1.2119899999999999</v>
      </c>
      <c r="K12" s="18">
        <v>1.17049</v>
      </c>
      <c r="L12" s="18">
        <v>1.1287499999999999</v>
      </c>
      <c r="M12" s="18">
        <v>1.0868500000000001</v>
      </c>
      <c r="N12" s="18">
        <v>1.0448500000000001</v>
      </c>
      <c r="O12" s="18">
        <v>1.00284</v>
      </c>
      <c r="P12" s="18">
        <v>0.96087</v>
      </c>
      <c r="Q12" s="18">
        <v>0.91901999999999995</v>
      </c>
      <c r="R12" s="18">
        <v>0.87736000000000003</v>
      </c>
      <c r="S12" s="18">
        <v>0.83596999999999999</v>
      </c>
      <c r="T12" s="18">
        <v>0.79491999999999996</v>
      </c>
      <c r="U12" s="19">
        <v>0.75427</v>
      </c>
      <c r="W12" s="16">
        <v>55</v>
      </c>
      <c r="X12" s="18">
        <v>1.60144</v>
      </c>
      <c r="Y12" s="18">
        <v>1.64062</v>
      </c>
      <c r="Z12" s="18">
        <v>1.6814899999999999</v>
      </c>
      <c r="AA12" s="18">
        <v>1.7239899999999999</v>
      </c>
      <c r="AB12" s="18">
        <v>1.7672000000000001</v>
      </c>
      <c r="AC12" s="18">
        <v>1.80908</v>
      </c>
      <c r="AD12" s="18">
        <v>1.85226</v>
      </c>
      <c r="AE12" s="18">
        <v>1.8966499999999999</v>
      </c>
      <c r="AF12" s="18">
        <v>1.9422299999999999</v>
      </c>
      <c r="AG12" s="18">
        <v>1.9889300000000001</v>
      </c>
      <c r="AH12" s="18">
        <v>2.03668</v>
      </c>
      <c r="AI12" s="18">
        <v>2.0854300000000001</v>
      </c>
      <c r="AJ12" s="18">
        <v>2.1351</v>
      </c>
      <c r="AK12" s="18">
        <v>2.1856399999999998</v>
      </c>
      <c r="AL12" s="18">
        <v>2.23698</v>
      </c>
      <c r="AM12" s="18">
        <v>2.2890199999999998</v>
      </c>
      <c r="AN12" s="18">
        <v>2.34171</v>
      </c>
      <c r="AO12" s="18">
        <v>2.3949500000000001</v>
      </c>
      <c r="AP12" s="18">
        <v>2.44869</v>
      </c>
      <c r="AQ12" s="19">
        <v>2.5028299999999999</v>
      </c>
    </row>
    <row r="13" spans="1:43" x14ac:dyDescent="0.2">
      <c r="A13" s="16">
        <v>60</v>
      </c>
      <c r="B13" s="18">
        <v>1.54853</v>
      </c>
      <c r="C13" s="18">
        <v>1.5144200000000001</v>
      </c>
      <c r="D13" s="18">
        <v>1.4796499999999999</v>
      </c>
      <c r="E13" s="18">
        <v>1.4442699999999999</v>
      </c>
      <c r="F13" s="18">
        <v>1.40832</v>
      </c>
      <c r="G13" s="18">
        <v>1.3718600000000001</v>
      </c>
      <c r="H13" s="18">
        <v>1.3349299999999999</v>
      </c>
      <c r="I13" s="18">
        <v>1.29758</v>
      </c>
      <c r="J13" s="18">
        <v>1.25987</v>
      </c>
      <c r="K13" s="18">
        <v>1.22183</v>
      </c>
      <c r="L13" s="18">
        <v>1.18354</v>
      </c>
      <c r="M13" s="18">
        <v>1.1450499999999999</v>
      </c>
      <c r="N13" s="18">
        <v>1.1064000000000001</v>
      </c>
      <c r="O13" s="18">
        <v>1.0676399999999999</v>
      </c>
      <c r="P13" s="18">
        <v>1.02885</v>
      </c>
      <c r="Q13" s="18">
        <v>0.99007000000000001</v>
      </c>
      <c r="R13" s="18">
        <v>0.95135000000000003</v>
      </c>
      <c r="S13" s="18">
        <v>0.91276000000000002</v>
      </c>
      <c r="T13" s="18">
        <v>0.87434999999999996</v>
      </c>
      <c r="U13" s="19">
        <v>0.83616000000000001</v>
      </c>
      <c r="W13" s="16">
        <v>60</v>
      </c>
      <c r="X13" s="18">
        <v>1.6161700000000001</v>
      </c>
      <c r="Y13" s="18">
        <v>1.65184</v>
      </c>
      <c r="Z13" s="18">
        <v>1.6889099999999999</v>
      </c>
      <c r="AA13" s="18">
        <v>1.7273499999999999</v>
      </c>
      <c r="AB13" s="18">
        <v>1.76708</v>
      </c>
      <c r="AC13" s="18">
        <v>1.8051999999999999</v>
      </c>
      <c r="AD13" s="18">
        <v>1.84429</v>
      </c>
      <c r="AE13" s="18">
        <v>1.8844399999999999</v>
      </c>
      <c r="AF13" s="18">
        <v>1.92561</v>
      </c>
      <c r="AG13" s="18">
        <v>1.9677500000000001</v>
      </c>
      <c r="AH13" s="18">
        <v>2.0108100000000002</v>
      </c>
      <c r="AI13" s="18">
        <v>2.0547499999999999</v>
      </c>
      <c r="AJ13" s="18">
        <v>2.0995200000000001</v>
      </c>
      <c r="AK13" s="18">
        <v>2.14507</v>
      </c>
      <c r="AL13" s="18">
        <v>2.1913399999999998</v>
      </c>
      <c r="AM13" s="18">
        <v>2.2382900000000001</v>
      </c>
      <c r="AN13" s="18">
        <v>2.2858399999999999</v>
      </c>
      <c r="AO13" s="18">
        <v>2.3339500000000002</v>
      </c>
      <c r="AP13" s="18">
        <v>2.3825500000000002</v>
      </c>
      <c r="AQ13" s="19">
        <v>2.4315899999999999</v>
      </c>
    </row>
    <row r="14" spans="1:43" x14ac:dyDescent="0.2">
      <c r="A14" s="16">
        <v>65</v>
      </c>
      <c r="B14" s="18">
        <v>1.5669900000000001</v>
      </c>
      <c r="C14" s="18">
        <v>1.5355300000000001</v>
      </c>
      <c r="D14" s="18">
        <v>1.50349</v>
      </c>
      <c r="E14" s="18">
        <v>1.47092</v>
      </c>
      <c r="F14" s="18">
        <v>1.4378200000000001</v>
      </c>
      <c r="G14" s="18">
        <v>1.4042600000000001</v>
      </c>
      <c r="H14" s="18">
        <v>1.3702700000000001</v>
      </c>
      <c r="I14" s="18">
        <v>1.33589</v>
      </c>
      <c r="J14" s="18">
        <v>1.30115</v>
      </c>
      <c r="K14" s="18">
        <v>1.2661100000000001</v>
      </c>
      <c r="L14" s="18">
        <v>1.2307999999999999</v>
      </c>
      <c r="M14" s="18">
        <v>1.1952499999999999</v>
      </c>
      <c r="N14" s="18">
        <v>1.1595200000000001</v>
      </c>
      <c r="O14" s="18">
        <v>1.12364</v>
      </c>
      <c r="P14" s="18">
        <v>1.0876699999999999</v>
      </c>
      <c r="Q14" s="18">
        <v>1.05165</v>
      </c>
      <c r="R14" s="18">
        <v>1.0156000000000001</v>
      </c>
      <c r="S14" s="18">
        <v>0.97960000000000003</v>
      </c>
      <c r="T14" s="18">
        <v>0.94367000000000001</v>
      </c>
      <c r="U14" s="19">
        <v>0.90785000000000005</v>
      </c>
      <c r="W14" s="16">
        <v>65</v>
      </c>
      <c r="X14" s="18">
        <v>1.6293599999999999</v>
      </c>
      <c r="Y14" s="18">
        <v>1.6620999999999999</v>
      </c>
      <c r="Z14" s="18">
        <v>1.6960200000000001</v>
      </c>
      <c r="AA14" s="18">
        <v>1.7311000000000001</v>
      </c>
      <c r="AB14" s="18">
        <v>1.7673099999999999</v>
      </c>
      <c r="AC14" s="18">
        <v>1.8027899999999999</v>
      </c>
      <c r="AD14" s="18">
        <v>1.83849</v>
      </c>
      <c r="AE14" s="18">
        <v>1.8751199999999999</v>
      </c>
      <c r="AF14" s="18">
        <v>1.91262</v>
      </c>
      <c r="AG14" s="18">
        <v>1.9509799999999999</v>
      </c>
      <c r="AH14" s="18">
        <v>1.99014</v>
      </c>
      <c r="AI14" s="18">
        <v>2.03009</v>
      </c>
      <c r="AJ14" s="18">
        <v>2.0707800000000001</v>
      </c>
      <c r="AK14" s="18">
        <v>2.1121599999999998</v>
      </c>
      <c r="AL14" s="18">
        <v>2.15421</v>
      </c>
      <c r="AM14" s="18">
        <v>2.1968800000000002</v>
      </c>
      <c r="AN14" s="18">
        <v>2.2401200000000001</v>
      </c>
      <c r="AO14" s="18">
        <v>2.2838799999999999</v>
      </c>
      <c r="AP14" s="18">
        <v>2.3281299999999998</v>
      </c>
      <c r="AQ14" s="19">
        <v>2.3728099999999999</v>
      </c>
    </row>
    <row r="15" spans="1:43" x14ac:dyDescent="0.2">
      <c r="A15" s="16">
        <v>70</v>
      </c>
      <c r="B15" s="18">
        <v>1.58341</v>
      </c>
      <c r="C15" s="18">
        <v>1.5542199999999999</v>
      </c>
      <c r="D15" s="18">
        <v>1.5245200000000001</v>
      </c>
      <c r="E15" s="18">
        <v>1.49434</v>
      </c>
      <c r="F15" s="18">
        <v>1.4636899999999999</v>
      </c>
      <c r="G15" s="18">
        <v>1.43262</v>
      </c>
      <c r="H15" s="18">
        <v>1.4011499999999999</v>
      </c>
      <c r="I15" s="18">
        <v>1.3693200000000001</v>
      </c>
      <c r="J15" s="18">
        <v>1.3371599999999999</v>
      </c>
      <c r="K15" s="18">
        <v>1.3046899999999999</v>
      </c>
      <c r="L15" s="18">
        <v>1.27196</v>
      </c>
      <c r="M15" s="18">
        <v>1.23899</v>
      </c>
      <c r="N15" s="18">
        <v>1.2058199999999999</v>
      </c>
      <c r="O15" s="18">
        <v>1.17249</v>
      </c>
      <c r="P15" s="18">
        <v>1.1390199999999999</v>
      </c>
      <c r="Q15" s="18">
        <v>1.10544</v>
      </c>
      <c r="R15" s="18">
        <v>1.07182</v>
      </c>
      <c r="S15" s="18">
        <v>1.03816</v>
      </c>
      <c r="T15" s="18">
        <v>1.00451</v>
      </c>
      <c r="U15" s="19">
        <v>0.97091000000000005</v>
      </c>
      <c r="W15" s="16">
        <v>70</v>
      </c>
      <c r="X15" s="18">
        <v>1.64127</v>
      </c>
      <c r="Y15" s="18">
        <v>1.6715199999999999</v>
      </c>
      <c r="Z15" s="18">
        <v>1.70278</v>
      </c>
      <c r="AA15" s="18">
        <v>1.73505</v>
      </c>
      <c r="AB15" s="18">
        <v>1.76827</v>
      </c>
      <c r="AC15" s="18">
        <v>1.8014399999999999</v>
      </c>
      <c r="AD15" s="18">
        <v>1.83429</v>
      </c>
      <c r="AE15" s="18">
        <v>1.8679300000000001</v>
      </c>
      <c r="AF15" s="18">
        <v>1.90235</v>
      </c>
      <c r="AG15" s="18">
        <v>1.9375199999999999</v>
      </c>
      <c r="AH15" s="18">
        <v>1.9734100000000001</v>
      </c>
      <c r="AI15" s="18">
        <v>2.0099999999999998</v>
      </c>
      <c r="AJ15" s="18">
        <v>2.0472399999999999</v>
      </c>
      <c r="AK15" s="18">
        <v>2.0851099999999998</v>
      </c>
      <c r="AL15" s="18">
        <v>2.1235900000000001</v>
      </c>
      <c r="AM15" s="18">
        <v>2.1626300000000001</v>
      </c>
      <c r="AN15" s="18">
        <v>2.2021999999999999</v>
      </c>
      <c r="AO15" s="18">
        <v>2.24227</v>
      </c>
      <c r="AP15" s="18">
        <v>2.2827999999999999</v>
      </c>
      <c r="AQ15" s="19">
        <v>2.32375</v>
      </c>
    </row>
    <row r="16" spans="1:43" x14ac:dyDescent="0.2">
      <c r="A16" s="16">
        <v>75</v>
      </c>
      <c r="B16" s="18">
        <v>1.5981300000000001</v>
      </c>
      <c r="C16" s="18">
        <v>1.57091</v>
      </c>
      <c r="D16" s="18">
        <v>1.5432300000000001</v>
      </c>
      <c r="E16" s="18">
        <v>1.51511</v>
      </c>
      <c r="F16" s="18">
        <v>1.4865900000000001</v>
      </c>
      <c r="G16" s="18">
        <v>1.45767</v>
      </c>
      <c r="H16" s="18">
        <v>1.4283999999999999</v>
      </c>
      <c r="I16" s="18">
        <v>1.3987700000000001</v>
      </c>
      <c r="J16" s="18">
        <v>1.3688400000000001</v>
      </c>
      <c r="K16" s="18">
        <v>1.33863</v>
      </c>
      <c r="L16" s="18">
        <v>1.3081499999999999</v>
      </c>
      <c r="M16" s="18">
        <v>1.2774399999999999</v>
      </c>
      <c r="N16" s="18">
        <v>1.2465200000000001</v>
      </c>
      <c r="O16" s="18">
        <v>1.2154199999999999</v>
      </c>
      <c r="P16" s="18">
        <v>1.18418</v>
      </c>
      <c r="Q16" s="18">
        <v>1.1528099999999999</v>
      </c>
      <c r="R16" s="18">
        <v>1.1213500000000001</v>
      </c>
      <c r="S16" s="18">
        <v>1.08982</v>
      </c>
      <c r="T16" s="18">
        <v>1.0582499999999999</v>
      </c>
      <c r="U16" s="19">
        <v>1.02668</v>
      </c>
      <c r="W16" s="16">
        <v>75</v>
      </c>
      <c r="X16" s="18">
        <v>1.6520900000000001</v>
      </c>
      <c r="Y16" s="18">
        <v>1.6801999999999999</v>
      </c>
      <c r="Z16" s="18">
        <v>1.7092000000000001</v>
      </c>
      <c r="AA16" s="18">
        <v>1.7390399999999999</v>
      </c>
      <c r="AB16" s="18">
        <v>1.7697499999999999</v>
      </c>
      <c r="AC16" s="18">
        <v>1.8008599999999999</v>
      </c>
      <c r="AD16" s="18">
        <v>1.8312600000000001</v>
      </c>
      <c r="AE16" s="18">
        <v>1.8623700000000001</v>
      </c>
      <c r="AF16" s="18">
        <v>1.8941600000000001</v>
      </c>
      <c r="AG16" s="18">
        <v>1.9266099999999999</v>
      </c>
      <c r="AH16" s="18">
        <v>1.9597</v>
      </c>
      <c r="AI16" s="18">
        <v>1.99342</v>
      </c>
      <c r="AJ16" s="18">
        <v>2.02773</v>
      </c>
      <c r="AK16" s="18">
        <v>2.0626099999999998</v>
      </c>
      <c r="AL16" s="18">
        <v>2.0980400000000001</v>
      </c>
      <c r="AM16" s="18">
        <v>2.1339800000000002</v>
      </c>
      <c r="AN16" s="18">
        <v>2.17041</v>
      </c>
      <c r="AO16" s="18">
        <v>2.2073</v>
      </c>
      <c r="AP16" s="18">
        <v>2.24464</v>
      </c>
      <c r="AQ16" s="19">
        <v>2.2823699999999998</v>
      </c>
    </row>
    <row r="17" spans="1:43" x14ac:dyDescent="0.2">
      <c r="A17" s="16">
        <v>80</v>
      </c>
      <c r="B17" s="18">
        <v>1.6114299999999999</v>
      </c>
      <c r="C17" s="18">
        <v>1.58592</v>
      </c>
      <c r="D17" s="18">
        <v>1.5600099999999999</v>
      </c>
      <c r="E17" s="18">
        <v>1.5337000000000001</v>
      </c>
      <c r="F17" s="18">
        <v>1.5070300000000001</v>
      </c>
      <c r="G17" s="18">
        <v>1.4799899999999999</v>
      </c>
      <c r="H17" s="18">
        <v>1.45262</v>
      </c>
      <c r="I17" s="18">
        <v>1.4249499999999999</v>
      </c>
      <c r="J17" s="18">
        <v>1.3969800000000001</v>
      </c>
      <c r="K17" s="18">
        <v>1.36873</v>
      </c>
      <c r="L17" s="18">
        <v>1.3402400000000001</v>
      </c>
      <c r="M17" s="18">
        <v>1.31151</v>
      </c>
      <c r="N17" s="18">
        <v>1.2825899999999999</v>
      </c>
      <c r="O17" s="18">
        <v>1.2534799999999999</v>
      </c>
      <c r="P17" s="18">
        <v>1.2242200000000001</v>
      </c>
      <c r="Q17" s="18">
        <v>1.1948099999999999</v>
      </c>
      <c r="R17" s="18">
        <v>1.1652899999999999</v>
      </c>
      <c r="S17" s="18">
        <v>1.13568</v>
      </c>
      <c r="T17" s="18">
        <v>1.1060000000000001</v>
      </c>
      <c r="U17" s="19">
        <v>1.0762799999999999</v>
      </c>
      <c r="W17" s="16">
        <v>80</v>
      </c>
      <c r="X17" s="18">
        <v>1.6619699999999999</v>
      </c>
      <c r="Y17" s="18">
        <v>1.6882299999999999</v>
      </c>
      <c r="Z17" s="18">
        <v>1.71526</v>
      </c>
      <c r="AA17" s="18">
        <v>1.7430399999999999</v>
      </c>
      <c r="AB17" s="18">
        <v>1.77156</v>
      </c>
      <c r="AC17" s="18">
        <v>1.8007899999999999</v>
      </c>
      <c r="AD17" s="18">
        <v>1.8291200000000001</v>
      </c>
      <c r="AE17" s="18">
        <v>1.8580399999999999</v>
      </c>
      <c r="AF17" s="18">
        <v>1.8875599999999999</v>
      </c>
      <c r="AG17" s="18">
        <v>1.9176800000000001</v>
      </c>
      <c r="AH17" s="18">
        <v>1.9483699999999999</v>
      </c>
      <c r="AI17" s="18">
        <v>1.9796199999999999</v>
      </c>
      <c r="AJ17" s="18">
        <v>2.0114000000000001</v>
      </c>
      <c r="AK17" s="18">
        <v>2.0436999999999999</v>
      </c>
      <c r="AL17" s="18">
        <v>2.0764900000000002</v>
      </c>
      <c r="AM17" s="18">
        <v>2.1097600000000001</v>
      </c>
      <c r="AN17" s="18">
        <v>2.1434799999999998</v>
      </c>
      <c r="AO17" s="18">
        <v>2.1776200000000001</v>
      </c>
      <c r="AP17" s="18">
        <v>2.21218</v>
      </c>
      <c r="AQ17" s="19">
        <v>2.2471199999999998</v>
      </c>
    </row>
    <row r="18" spans="1:43" x14ac:dyDescent="0.2">
      <c r="A18" s="16">
        <v>85</v>
      </c>
      <c r="B18" s="18">
        <v>1.6234999999999999</v>
      </c>
      <c r="C18" s="18">
        <v>1.5995200000000001</v>
      </c>
      <c r="D18" s="18">
        <v>1.5751599999999999</v>
      </c>
      <c r="E18" s="18">
        <v>1.5504500000000001</v>
      </c>
      <c r="F18" s="18">
        <v>1.5254000000000001</v>
      </c>
      <c r="G18" s="18">
        <v>1.50003</v>
      </c>
      <c r="H18" s="18">
        <v>1.47434</v>
      </c>
      <c r="I18" s="18">
        <v>1.4483699999999999</v>
      </c>
      <c r="J18" s="18">
        <v>1.4221200000000001</v>
      </c>
      <c r="K18" s="18">
        <v>1.3956200000000001</v>
      </c>
      <c r="L18" s="18">
        <v>1.3688899999999999</v>
      </c>
      <c r="M18" s="18">
        <v>1.3419399999999999</v>
      </c>
      <c r="N18" s="18">
        <v>1.31477</v>
      </c>
      <c r="O18" s="18">
        <v>1.2874399999999999</v>
      </c>
      <c r="P18" s="18">
        <v>1.25993</v>
      </c>
      <c r="Q18" s="18">
        <v>1.2322900000000001</v>
      </c>
      <c r="R18" s="18">
        <v>1.20451</v>
      </c>
      <c r="S18" s="18">
        <v>1.1766399999999999</v>
      </c>
      <c r="T18" s="18">
        <v>1.1486799999999999</v>
      </c>
      <c r="U18" s="19">
        <v>1.1206400000000001</v>
      </c>
      <c r="W18" s="16">
        <v>85</v>
      </c>
      <c r="X18" s="18">
        <v>1.6710499999999999</v>
      </c>
      <c r="Y18" s="18">
        <v>1.6956800000000001</v>
      </c>
      <c r="Z18" s="18">
        <v>1.7210000000000001</v>
      </c>
      <c r="AA18" s="18">
        <v>1.7469699999999999</v>
      </c>
      <c r="AB18" s="18">
        <v>1.7736099999999999</v>
      </c>
      <c r="AC18" s="18">
        <v>1.8008900000000001</v>
      </c>
      <c r="AD18" s="18">
        <v>1.82768</v>
      </c>
      <c r="AE18" s="18">
        <v>1.8546899999999999</v>
      </c>
      <c r="AF18" s="18">
        <v>1.8822300000000001</v>
      </c>
      <c r="AG18" s="18">
        <v>1.91032</v>
      </c>
      <c r="AH18" s="18">
        <v>1.93892</v>
      </c>
      <c r="AI18" s="18">
        <v>1.9680200000000001</v>
      </c>
      <c r="AJ18" s="18">
        <v>1.9976</v>
      </c>
      <c r="AK18" s="18">
        <v>2.02766</v>
      </c>
      <c r="AL18" s="18">
        <v>2.05816</v>
      </c>
      <c r="AM18" s="18">
        <v>2.0891000000000002</v>
      </c>
      <c r="AN18" s="18">
        <v>2.12046</v>
      </c>
      <c r="AO18" s="18">
        <v>2.1522100000000002</v>
      </c>
      <c r="AP18" s="18">
        <v>2.1843400000000002</v>
      </c>
      <c r="AQ18" s="19">
        <v>2.2168299999999999</v>
      </c>
    </row>
    <row r="19" spans="1:43" x14ac:dyDescent="0.2">
      <c r="A19" s="16">
        <v>90</v>
      </c>
      <c r="B19" s="18">
        <v>1.6345400000000001</v>
      </c>
      <c r="C19" s="18">
        <v>1.6119000000000001</v>
      </c>
      <c r="D19" s="18">
        <v>1.58893</v>
      </c>
      <c r="E19" s="18">
        <v>1.5656399999999999</v>
      </c>
      <c r="F19" s="18">
        <v>1.5420199999999999</v>
      </c>
      <c r="G19" s="18">
        <v>1.5181199999999999</v>
      </c>
      <c r="H19" s="18">
        <v>1.49393</v>
      </c>
      <c r="I19" s="18">
        <v>1.4694700000000001</v>
      </c>
      <c r="J19" s="18">
        <v>1.44476</v>
      </c>
      <c r="K19" s="18">
        <v>1.4198200000000001</v>
      </c>
      <c r="L19" s="18">
        <v>1.3946400000000001</v>
      </c>
      <c r="M19" s="18">
        <v>1.3692599999999999</v>
      </c>
      <c r="N19" s="18">
        <v>1.34368</v>
      </c>
      <c r="O19" s="18">
        <v>1.31792</v>
      </c>
      <c r="P19" s="18">
        <v>1.292</v>
      </c>
      <c r="Q19" s="18">
        <v>1.2659400000000001</v>
      </c>
      <c r="R19" s="18">
        <v>1.2397400000000001</v>
      </c>
      <c r="S19" s="18">
        <v>1.2134400000000001</v>
      </c>
      <c r="T19" s="18">
        <v>1.18703</v>
      </c>
      <c r="U19" s="19">
        <v>1.1605300000000001</v>
      </c>
      <c r="W19" s="16">
        <v>90</v>
      </c>
      <c r="X19" s="18">
        <v>1.6794199999999999</v>
      </c>
      <c r="Y19" s="18">
        <v>1.70262</v>
      </c>
      <c r="Z19" s="18">
        <v>1.7264200000000001</v>
      </c>
      <c r="AA19" s="18">
        <v>1.75082</v>
      </c>
      <c r="AB19" s="18">
        <v>1.7758</v>
      </c>
      <c r="AC19" s="18">
        <v>1.80135</v>
      </c>
      <c r="AD19" s="18">
        <v>1.8267500000000001</v>
      </c>
      <c r="AE19" s="18">
        <v>1.85209</v>
      </c>
      <c r="AF19" s="18">
        <v>1.87791</v>
      </c>
      <c r="AG19" s="18">
        <v>1.90421</v>
      </c>
      <c r="AH19" s="18">
        <v>1.9309700000000001</v>
      </c>
      <c r="AI19" s="18">
        <v>1.9581999999999999</v>
      </c>
      <c r="AJ19" s="18">
        <v>1.98586</v>
      </c>
      <c r="AK19" s="18">
        <v>2.0139399999999998</v>
      </c>
      <c r="AL19" s="18">
        <v>2.04244</v>
      </c>
      <c r="AM19" s="18">
        <v>2.0713400000000002</v>
      </c>
      <c r="AN19" s="18">
        <v>2.1006200000000002</v>
      </c>
      <c r="AO19" s="18">
        <v>2.1302699999999999</v>
      </c>
      <c r="AP19" s="18">
        <v>2.1602700000000001</v>
      </c>
      <c r="AQ19" s="19">
        <v>2.1906099999999999</v>
      </c>
    </row>
    <row r="20" spans="1:43" x14ac:dyDescent="0.2">
      <c r="A20" s="16">
        <v>95</v>
      </c>
      <c r="B20" s="18">
        <v>1.64469</v>
      </c>
      <c r="C20" s="18">
        <v>1.6232500000000001</v>
      </c>
      <c r="D20" s="18">
        <v>1.6015200000000001</v>
      </c>
      <c r="E20" s="18">
        <v>1.57948</v>
      </c>
      <c r="F20" s="18">
        <v>1.55715</v>
      </c>
      <c r="G20" s="18">
        <v>1.5345599999999999</v>
      </c>
      <c r="H20" s="18">
        <v>1.5117100000000001</v>
      </c>
      <c r="I20" s="18">
        <v>1.48861</v>
      </c>
      <c r="J20" s="18">
        <v>1.4652700000000001</v>
      </c>
      <c r="K20" s="18">
        <v>1.44171</v>
      </c>
      <c r="L20" s="18">
        <v>1.4179299999999999</v>
      </c>
      <c r="M20" s="18">
        <v>1.39395</v>
      </c>
      <c r="N20" s="18">
        <v>1.3697999999999999</v>
      </c>
      <c r="O20" s="18">
        <v>1.3454600000000001</v>
      </c>
      <c r="P20" s="18">
        <v>1.3209599999999999</v>
      </c>
      <c r="Q20" s="18">
        <v>1.2963199999999999</v>
      </c>
      <c r="R20" s="18">
        <v>1.27155</v>
      </c>
      <c r="S20" s="18">
        <v>1.2466600000000001</v>
      </c>
      <c r="T20" s="18">
        <v>1.22166</v>
      </c>
      <c r="U20" s="19">
        <v>1.1965699999999999</v>
      </c>
      <c r="W20" s="16">
        <v>95</v>
      </c>
      <c r="X20" s="18">
        <v>1.6871700000000001</v>
      </c>
      <c r="Y20" s="18">
        <v>1.7091000000000001</v>
      </c>
      <c r="Z20" s="18">
        <v>1.73156</v>
      </c>
      <c r="AA20" s="18">
        <v>1.7545500000000001</v>
      </c>
      <c r="AB20" s="18">
        <v>1.77807</v>
      </c>
      <c r="AC20" s="18">
        <v>1.8021</v>
      </c>
      <c r="AD20" s="18">
        <v>1.8262499999999999</v>
      </c>
      <c r="AE20" s="18">
        <v>1.8501000000000001</v>
      </c>
      <c r="AF20" s="18">
        <v>1.87439</v>
      </c>
      <c r="AG20" s="18">
        <v>1.8991100000000001</v>
      </c>
      <c r="AH20" s="18">
        <v>1.9242600000000001</v>
      </c>
      <c r="AI20" s="18">
        <v>1.9498200000000001</v>
      </c>
      <c r="AJ20" s="18">
        <v>1.9757800000000001</v>
      </c>
      <c r="AK20" s="18">
        <v>2.0021300000000002</v>
      </c>
      <c r="AL20" s="18">
        <v>2.0288599999999999</v>
      </c>
      <c r="AM20" s="18">
        <v>2.0559599999999998</v>
      </c>
      <c r="AN20" s="18">
        <v>2.0834100000000002</v>
      </c>
      <c r="AO20" s="18">
        <v>2.1112000000000002</v>
      </c>
      <c r="AP20" s="18">
        <v>2.13931</v>
      </c>
      <c r="AQ20" s="19">
        <v>2.1677399999999998</v>
      </c>
    </row>
    <row r="21" spans="1:43" x14ac:dyDescent="0.2">
      <c r="A21" s="16">
        <v>100</v>
      </c>
      <c r="B21" s="18">
        <v>1.65404</v>
      </c>
      <c r="C21" s="18">
        <v>1.6336900000000001</v>
      </c>
      <c r="D21" s="18">
        <v>1.6130599999999999</v>
      </c>
      <c r="E21" s="18">
        <v>1.59216</v>
      </c>
      <c r="F21" s="18">
        <v>1.571</v>
      </c>
      <c r="G21" s="18">
        <v>1.54958</v>
      </c>
      <c r="H21" s="18">
        <v>1.52793</v>
      </c>
      <c r="I21" s="18">
        <v>1.50604</v>
      </c>
      <c r="J21" s="18">
        <v>1.48394</v>
      </c>
      <c r="K21" s="18">
        <v>1.4616199999999999</v>
      </c>
      <c r="L21" s="18">
        <v>1.4391</v>
      </c>
      <c r="M21" s="18">
        <v>1.41639</v>
      </c>
      <c r="N21" s="18">
        <v>1.3935</v>
      </c>
      <c r="O21" s="18">
        <v>1.3704499999999999</v>
      </c>
      <c r="P21" s="18">
        <v>1.34724</v>
      </c>
      <c r="Q21" s="18">
        <v>1.3239000000000001</v>
      </c>
      <c r="R21" s="18">
        <v>1.3004100000000001</v>
      </c>
      <c r="S21" s="18">
        <v>1.2767999999999999</v>
      </c>
      <c r="T21" s="18">
        <v>1.2531000000000001</v>
      </c>
      <c r="U21" s="19">
        <v>1.2292799999999999</v>
      </c>
      <c r="W21" s="16">
        <v>100</v>
      </c>
      <c r="X21" s="18">
        <v>1.6943900000000001</v>
      </c>
      <c r="Y21" s="18">
        <v>1.7151700000000001</v>
      </c>
      <c r="Z21" s="18">
        <v>1.7364299999999999</v>
      </c>
      <c r="AA21" s="18">
        <v>1.7581800000000001</v>
      </c>
      <c r="AB21" s="18">
        <v>1.7803899999999999</v>
      </c>
      <c r="AC21" s="18">
        <v>1.8030600000000001</v>
      </c>
      <c r="AD21" s="18">
        <v>1.8260700000000001</v>
      </c>
      <c r="AE21" s="18">
        <v>1.84859</v>
      </c>
      <c r="AF21" s="18">
        <v>1.8715200000000001</v>
      </c>
      <c r="AG21" s="18">
        <v>1.8948400000000001</v>
      </c>
      <c r="AH21" s="18">
        <v>1.91855</v>
      </c>
      <c r="AI21" s="18">
        <v>1.9426300000000001</v>
      </c>
      <c r="AJ21" s="18">
        <v>1.96709</v>
      </c>
      <c r="AK21" s="18">
        <v>1.9919</v>
      </c>
      <c r="AL21" s="18">
        <v>2.0170599999999999</v>
      </c>
      <c r="AM21" s="18">
        <v>2.0425499999999999</v>
      </c>
      <c r="AN21" s="18">
        <v>2.0683600000000002</v>
      </c>
      <c r="AO21" s="18">
        <v>2.0945</v>
      </c>
      <c r="AP21" s="18">
        <v>2.1209500000000001</v>
      </c>
      <c r="AQ21" s="19">
        <v>2.1476799999999998</v>
      </c>
    </row>
    <row r="22" spans="1:43" x14ac:dyDescent="0.2">
      <c r="A22" s="16">
        <v>105</v>
      </c>
      <c r="B22" s="18">
        <v>1.6627099999999999</v>
      </c>
      <c r="C22" s="18">
        <v>1.64334</v>
      </c>
      <c r="D22" s="18">
        <v>1.62371</v>
      </c>
      <c r="E22" s="18">
        <v>1.6038300000000001</v>
      </c>
      <c r="F22" s="18">
        <v>1.58372</v>
      </c>
      <c r="G22" s="18">
        <v>1.5633600000000001</v>
      </c>
      <c r="H22" s="18">
        <v>1.5427900000000001</v>
      </c>
      <c r="I22" s="18">
        <v>1.522</v>
      </c>
      <c r="J22" s="18">
        <v>1.50101</v>
      </c>
      <c r="K22" s="18">
        <v>1.4798100000000001</v>
      </c>
      <c r="L22" s="18">
        <v>1.4584299999999999</v>
      </c>
      <c r="M22" s="18">
        <v>1.4368700000000001</v>
      </c>
      <c r="N22" s="18">
        <v>1.4151400000000001</v>
      </c>
      <c r="O22" s="18">
        <v>1.3932500000000001</v>
      </c>
      <c r="P22" s="18">
        <v>1.3712</v>
      </c>
      <c r="Q22" s="18">
        <v>1.34903</v>
      </c>
      <c r="R22" s="18">
        <v>1.3267199999999999</v>
      </c>
      <c r="S22" s="18">
        <v>1.3042800000000001</v>
      </c>
      <c r="T22" s="18">
        <v>1.2817400000000001</v>
      </c>
      <c r="U22" s="19">
        <v>1.2591000000000001</v>
      </c>
      <c r="W22" s="16">
        <v>105</v>
      </c>
      <c r="X22" s="18">
        <v>1.7011099999999999</v>
      </c>
      <c r="Y22" s="18">
        <v>1.7208699999999999</v>
      </c>
      <c r="Z22" s="18">
        <v>1.7410600000000001</v>
      </c>
      <c r="AA22" s="18">
        <v>1.7616799999999999</v>
      </c>
      <c r="AB22" s="18">
        <v>1.7827299999999999</v>
      </c>
      <c r="AC22" s="18">
        <v>1.80419</v>
      </c>
      <c r="AD22" s="18">
        <v>1.82606</v>
      </c>
      <c r="AE22" s="18">
        <v>1.8474900000000001</v>
      </c>
      <c r="AF22" s="18">
        <v>1.8691899999999999</v>
      </c>
      <c r="AG22" s="18">
        <v>1.8912599999999999</v>
      </c>
      <c r="AH22" s="18">
        <v>1.91368</v>
      </c>
      <c r="AI22" s="18">
        <v>1.9364399999999999</v>
      </c>
      <c r="AJ22" s="18">
        <v>1.9595400000000001</v>
      </c>
      <c r="AK22" s="18">
        <v>1.98298</v>
      </c>
      <c r="AL22" s="18">
        <v>2.0067200000000001</v>
      </c>
      <c r="AM22" s="18">
        <v>2.0307900000000001</v>
      </c>
      <c r="AN22" s="18">
        <v>2.0551499999999998</v>
      </c>
      <c r="AO22" s="18">
        <v>2.0798100000000002</v>
      </c>
      <c r="AP22" s="18">
        <v>2.1047500000000001</v>
      </c>
      <c r="AQ22" s="19">
        <v>2.1299700000000001</v>
      </c>
    </row>
    <row r="23" spans="1:43" x14ac:dyDescent="0.2">
      <c r="A23" s="16">
        <v>110</v>
      </c>
      <c r="B23" s="18">
        <v>1.67076</v>
      </c>
      <c r="C23" s="18">
        <v>1.65228</v>
      </c>
      <c r="D23" s="18">
        <v>1.63357</v>
      </c>
      <c r="E23" s="18">
        <v>1.6146199999999999</v>
      </c>
      <c r="F23" s="18">
        <v>1.59545</v>
      </c>
      <c r="G23" s="18">
        <v>1.57606</v>
      </c>
      <c r="H23" s="18">
        <v>1.55647</v>
      </c>
      <c r="I23" s="18">
        <v>1.53667</v>
      </c>
      <c r="J23" s="18">
        <v>1.51668</v>
      </c>
      <c r="K23" s="18">
        <v>1.49651</v>
      </c>
      <c r="L23" s="18">
        <v>1.47617</v>
      </c>
      <c r="M23" s="18">
        <v>1.45564</v>
      </c>
      <c r="N23" s="18">
        <v>1.43496</v>
      </c>
      <c r="O23" s="18">
        <v>1.41412</v>
      </c>
      <c r="P23" s="18">
        <v>1.3931500000000001</v>
      </c>
      <c r="Q23" s="18">
        <v>1.3720300000000001</v>
      </c>
      <c r="R23" s="18">
        <v>1.3507899999999999</v>
      </c>
      <c r="S23" s="18">
        <v>1.3294299999999999</v>
      </c>
      <c r="T23" s="18">
        <v>1.30796</v>
      </c>
      <c r="U23" s="19">
        <v>1.2863899999999999</v>
      </c>
      <c r="W23" s="16">
        <v>110</v>
      </c>
      <c r="X23" s="18">
        <v>1.7074100000000001</v>
      </c>
      <c r="Y23" s="18">
        <v>1.7262299999999999</v>
      </c>
      <c r="Z23" s="18">
        <v>1.7454499999999999</v>
      </c>
      <c r="AA23" s="18">
        <v>1.7650600000000001</v>
      </c>
      <c r="AB23" s="18">
        <v>1.7850600000000001</v>
      </c>
      <c r="AC23" s="18">
        <v>1.8054300000000001</v>
      </c>
      <c r="AD23" s="18">
        <v>1.8261799999999999</v>
      </c>
      <c r="AE23" s="18">
        <v>1.8466899999999999</v>
      </c>
      <c r="AF23" s="18">
        <v>1.8673</v>
      </c>
      <c r="AG23" s="18">
        <v>1.8882399999999999</v>
      </c>
      <c r="AH23" s="18">
        <v>1.9095</v>
      </c>
      <c r="AI23" s="18">
        <v>1.9310799999999999</v>
      </c>
      <c r="AJ23" s="18">
        <v>1.9529700000000001</v>
      </c>
      <c r="AK23" s="18">
        <v>1.97516</v>
      </c>
      <c r="AL23" s="18">
        <v>1.9976499999999999</v>
      </c>
      <c r="AM23" s="18">
        <v>2.0204200000000001</v>
      </c>
      <c r="AN23" s="18">
        <v>2.0434800000000002</v>
      </c>
      <c r="AO23" s="18">
        <v>2.0668099999999998</v>
      </c>
      <c r="AP23" s="18">
        <v>2.0903999999999998</v>
      </c>
      <c r="AQ23" s="19">
        <v>2.1142599999999998</v>
      </c>
    </row>
    <row r="24" spans="1:43" x14ac:dyDescent="0.2">
      <c r="A24" s="16">
        <v>115</v>
      </c>
      <c r="B24" s="18">
        <v>1.67828</v>
      </c>
      <c r="C24" s="18">
        <v>1.6606099999999999</v>
      </c>
      <c r="D24" s="18">
        <v>1.64272</v>
      </c>
      <c r="E24" s="18">
        <v>1.62462</v>
      </c>
      <c r="F24" s="18">
        <v>1.60632</v>
      </c>
      <c r="G24" s="18">
        <v>1.5878099999999999</v>
      </c>
      <c r="H24" s="18">
        <v>1.56911</v>
      </c>
      <c r="I24" s="18">
        <v>1.5502199999999999</v>
      </c>
      <c r="J24" s="18">
        <v>1.53115</v>
      </c>
      <c r="K24" s="18">
        <v>1.5119</v>
      </c>
      <c r="L24" s="18">
        <v>1.4924999999999999</v>
      </c>
      <c r="M24" s="18">
        <v>1.4729300000000001</v>
      </c>
      <c r="N24" s="18">
        <v>1.4532</v>
      </c>
      <c r="O24" s="18">
        <v>1.43333</v>
      </c>
      <c r="P24" s="18">
        <v>1.4133199999999999</v>
      </c>
      <c r="Q24" s="18">
        <v>1.3931800000000001</v>
      </c>
      <c r="R24" s="18">
        <v>1.3729100000000001</v>
      </c>
      <c r="S24" s="18">
        <v>1.3525400000000001</v>
      </c>
      <c r="T24" s="18">
        <v>1.33205</v>
      </c>
      <c r="U24" s="19">
        <v>1.3114600000000001</v>
      </c>
      <c r="W24" s="16">
        <v>115</v>
      </c>
      <c r="X24" s="18">
        <v>1.71333</v>
      </c>
      <c r="Y24" s="18">
        <v>1.73129</v>
      </c>
      <c r="Z24" s="18">
        <v>1.74963</v>
      </c>
      <c r="AA24" s="18">
        <v>1.7683199999999999</v>
      </c>
      <c r="AB24" s="18">
        <v>1.7873699999999999</v>
      </c>
      <c r="AC24" s="18">
        <v>1.8067599999999999</v>
      </c>
      <c r="AD24" s="18">
        <v>1.8265</v>
      </c>
      <c r="AE24" s="18">
        <v>1.84616</v>
      </c>
      <c r="AF24" s="18">
        <v>1.8657699999999999</v>
      </c>
      <c r="AG24" s="18">
        <v>1.8856900000000001</v>
      </c>
      <c r="AH24" s="18">
        <v>1.90591</v>
      </c>
      <c r="AI24" s="18">
        <v>1.92641</v>
      </c>
      <c r="AJ24" s="18">
        <v>1.9472100000000001</v>
      </c>
      <c r="AK24" s="18">
        <v>1.96828</v>
      </c>
      <c r="AL24" s="18">
        <v>1.98963</v>
      </c>
      <c r="AM24" s="18">
        <v>2.0112399999999999</v>
      </c>
      <c r="AN24" s="18">
        <v>2.0331199999999998</v>
      </c>
      <c r="AO24" s="18">
        <v>2.05525</v>
      </c>
      <c r="AP24" s="18">
        <v>2.0776300000000001</v>
      </c>
      <c r="AQ24" s="19">
        <v>2.1002399999999999</v>
      </c>
    </row>
    <row r="25" spans="1:43" x14ac:dyDescent="0.2">
      <c r="A25" s="16">
        <v>120</v>
      </c>
      <c r="B25" s="18">
        <v>1.6853100000000001</v>
      </c>
      <c r="C25" s="18">
        <v>1.66839</v>
      </c>
      <c r="D25" s="18">
        <v>1.65126</v>
      </c>
      <c r="E25" s="18">
        <v>1.6339399999999999</v>
      </c>
      <c r="F25" s="18">
        <v>1.61642</v>
      </c>
      <c r="G25" s="18">
        <v>1.5987199999999999</v>
      </c>
      <c r="H25" s="18">
        <v>1.58083</v>
      </c>
      <c r="I25" s="18">
        <v>1.5627599999999999</v>
      </c>
      <c r="J25" s="18">
        <v>1.54454</v>
      </c>
      <c r="K25" s="18">
        <v>1.5261499999999999</v>
      </c>
      <c r="L25" s="18">
        <v>1.50759</v>
      </c>
      <c r="M25" s="18">
        <v>1.48889</v>
      </c>
      <c r="N25" s="18">
        <v>1.47004</v>
      </c>
      <c r="O25" s="18">
        <v>1.45106</v>
      </c>
      <c r="P25" s="18">
        <v>1.4319299999999999</v>
      </c>
      <c r="Q25" s="18">
        <v>1.41269</v>
      </c>
      <c r="R25" s="18">
        <v>1.3933199999999999</v>
      </c>
      <c r="S25" s="18">
        <v>1.37385</v>
      </c>
      <c r="T25" s="18">
        <v>1.35425</v>
      </c>
      <c r="U25" s="19">
        <v>1.33457</v>
      </c>
      <c r="W25" s="16">
        <v>120</v>
      </c>
      <c r="X25" s="18">
        <v>1.71889</v>
      </c>
      <c r="Y25" s="18">
        <v>1.7360800000000001</v>
      </c>
      <c r="Z25" s="18">
        <v>1.7536099999999999</v>
      </c>
      <c r="AA25" s="18">
        <v>1.77146</v>
      </c>
      <c r="AB25" s="18">
        <v>1.7896399999999999</v>
      </c>
      <c r="AC25" s="18">
        <v>1.8081499999999999</v>
      </c>
      <c r="AD25" s="18">
        <v>1.8269599999999999</v>
      </c>
      <c r="AE25" s="18">
        <v>1.8458399999999999</v>
      </c>
      <c r="AF25" s="18">
        <v>1.8645499999999999</v>
      </c>
      <c r="AG25" s="18">
        <v>1.88354</v>
      </c>
      <c r="AH25" s="18">
        <v>1.9028099999999999</v>
      </c>
      <c r="AI25" s="18">
        <v>1.9223399999999999</v>
      </c>
      <c r="AJ25" s="18">
        <v>1.94215</v>
      </c>
      <c r="AK25" s="18">
        <v>1.96221</v>
      </c>
      <c r="AL25" s="18">
        <v>1.9825200000000001</v>
      </c>
      <c r="AM25" s="18">
        <v>2.0030800000000002</v>
      </c>
      <c r="AN25" s="18">
        <v>2.0238800000000001</v>
      </c>
      <c r="AO25" s="18">
        <v>2.0449299999999999</v>
      </c>
      <c r="AP25" s="18">
        <v>2.0661999999999998</v>
      </c>
      <c r="AQ25" s="19">
        <v>2.0876999999999999</v>
      </c>
    </row>
    <row r="26" spans="1:43" x14ac:dyDescent="0.2">
      <c r="A26" s="16">
        <v>125</v>
      </c>
      <c r="B26" s="18">
        <v>1.69191</v>
      </c>
      <c r="C26" s="18">
        <v>1.67567</v>
      </c>
      <c r="D26" s="18">
        <v>1.65924</v>
      </c>
      <c r="E26" s="18">
        <v>1.64263</v>
      </c>
      <c r="F26" s="18">
        <v>1.62584</v>
      </c>
      <c r="G26" s="18">
        <v>1.60887</v>
      </c>
      <c r="H26" s="18">
        <v>1.5917300000000001</v>
      </c>
      <c r="I26" s="18">
        <v>1.57443</v>
      </c>
      <c r="J26" s="18">
        <v>1.55697</v>
      </c>
      <c r="K26" s="18">
        <v>1.5393600000000001</v>
      </c>
      <c r="L26" s="18">
        <v>1.5216000000000001</v>
      </c>
      <c r="M26" s="18">
        <v>1.50369</v>
      </c>
      <c r="N26" s="18">
        <v>1.4856499999999999</v>
      </c>
      <c r="O26" s="18">
        <v>1.4674700000000001</v>
      </c>
      <c r="P26" s="18">
        <v>1.44916</v>
      </c>
      <c r="Q26" s="18">
        <v>1.4307399999999999</v>
      </c>
      <c r="R26" s="18">
        <v>1.4121999999999999</v>
      </c>
      <c r="S26" s="18">
        <v>1.3935500000000001</v>
      </c>
      <c r="T26" s="18">
        <v>1.3748</v>
      </c>
      <c r="U26" s="19">
        <v>1.35595</v>
      </c>
      <c r="W26" s="16">
        <v>125</v>
      </c>
      <c r="X26" s="18">
        <v>1.7241299999999999</v>
      </c>
      <c r="Y26" s="18">
        <v>1.74061</v>
      </c>
      <c r="Z26" s="18">
        <v>1.7574000000000001</v>
      </c>
      <c r="AA26" s="18">
        <v>1.7745</v>
      </c>
      <c r="AB26" s="18">
        <v>1.79189</v>
      </c>
      <c r="AC26" s="18">
        <v>1.80958</v>
      </c>
      <c r="AD26" s="18">
        <v>1.82755</v>
      </c>
      <c r="AE26" s="18">
        <v>1.84571</v>
      </c>
      <c r="AF26" s="18">
        <v>1.8635900000000001</v>
      </c>
      <c r="AG26" s="18">
        <v>1.8817299999999999</v>
      </c>
      <c r="AH26" s="18">
        <v>1.9001300000000001</v>
      </c>
      <c r="AI26" s="18">
        <v>1.9187799999999999</v>
      </c>
      <c r="AJ26" s="18">
        <v>1.9376800000000001</v>
      </c>
      <c r="AK26" s="18">
        <v>1.95682</v>
      </c>
      <c r="AL26" s="18">
        <v>1.9761899999999999</v>
      </c>
      <c r="AM26" s="18">
        <v>1.99579</v>
      </c>
      <c r="AN26" s="18">
        <v>2.0156200000000002</v>
      </c>
      <c r="AO26" s="18">
        <v>2.0356800000000002</v>
      </c>
      <c r="AP26" s="18">
        <v>2.0559400000000001</v>
      </c>
      <c r="AQ26" s="19">
        <v>2.0764200000000002</v>
      </c>
    </row>
    <row r="27" spans="1:43" x14ac:dyDescent="0.2">
      <c r="A27" s="16">
        <v>130</v>
      </c>
      <c r="B27" s="18">
        <v>1.69811</v>
      </c>
      <c r="C27" s="18">
        <v>1.6825000000000001</v>
      </c>
      <c r="D27" s="18">
        <v>1.66672</v>
      </c>
      <c r="E27" s="18">
        <v>1.65076</v>
      </c>
      <c r="F27" s="18">
        <v>1.6346400000000001</v>
      </c>
      <c r="G27" s="18">
        <v>1.61836</v>
      </c>
      <c r="H27" s="18">
        <v>1.6019099999999999</v>
      </c>
      <c r="I27" s="18">
        <v>1.58531</v>
      </c>
      <c r="J27" s="18">
        <v>1.56856</v>
      </c>
      <c r="K27" s="18">
        <v>1.55166</v>
      </c>
      <c r="L27" s="18">
        <v>1.5346200000000001</v>
      </c>
      <c r="M27" s="18">
        <v>1.51745</v>
      </c>
      <c r="N27" s="18">
        <v>1.5001500000000001</v>
      </c>
      <c r="O27" s="18">
        <v>1.48272</v>
      </c>
      <c r="P27" s="18">
        <v>1.46516</v>
      </c>
      <c r="Q27" s="18">
        <v>1.4475</v>
      </c>
      <c r="R27" s="18">
        <v>1.4297200000000001</v>
      </c>
      <c r="S27" s="18">
        <v>1.41184</v>
      </c>
      <c r="T27" s="18">
        <v>1.3938600000000001</v>
      </c>
      <c r="U27" s="19">
        <v>1.3757699999999999</v>
      </c>
      <c r="W27" s="16">
        <v>130</v>
      </c>
      <c r="X27" s="18">
        <v>1.72909</v>
      </c>
      <c r="Y27" s="18">
        <v>1.74492</v>
      </c>
      <c r="Z27" s="18">
        <v>1.7610300000000001</v>
      </c>
      <c r="AA27" s="18">
        <v>1.7774300000000001</v>
      </c>
      <c r="AB27" s="18">
        <v>1.79409</v>
      </c>
      <c r="AC27" s="18">
        <v>1.8110299999999999</v>
      </c>
      <c r="AD27" s="18">
        <v>1.82823</v>
      </c>
      <c r="AE27" s="18">
        <v>1.8456900000000001</v>
      </c>
      <c r="AF27" s="18">
        <v>1.8628499999999999</v>
      </c>
      <c r="AG27" s="18">
        <v>1.8802099999999999</v>
      </c>
      <c r="AH27" s="18">
        <v>1.8978200000000001</v>
      </c>
      <c r="AI27" s="18">
        <v>1.9156500000000001</v>
      </c>
      <c r="AJ27" s="18">
        <v>1.9337200000000001</v>
      </c>
      <c r="AK27" s="18">
        <v>1.95201</v>
      </c>
      <c r="AL27" s="18">
        <v>1.9705299999999999</v>
      </c>
      <c r="AM27" s="18">
        <v>1.98925</v>
      </c>
      <c r="AN27" s="18">
        <v>2.0082</v>
      </c>
      <c r="AO27" s="18">
        <v>2.0273400000000001</v>
      </c>
      <c r="AP27" s="18">
        <v>2.0466899999999999</v>
      </c>
      <c r="AQ27" s="19">
        <v>2.06623</v>
      </c>
    </row>
    <row r="28" spans="1:43" x14ac:dyDescent="0.2">
      <c r="A28" s="16">
        <v>135</v>
      </c>
      <c r="B28" s="18">
        <v>1.70397</v>
      </c>
      <c r="C28" s="18">
        <v>1.6889400000000001</v>
      </c>
      <c r="D28" s="18">
        <v>1.6737500000000001</v>
      </c>
      <c r="E28" s="18">
        <v>1.6584000000000001</v>
      </c>
      <c r="F28" s="18">
        <v>1.6429</v>
      </c>
      <c r="G28" s="18">
        <v>1.62723</v>
      </c>
      <c r="H28" s="18">
        <v>1.6114200000000001</v>
      </c>
      <c r="I28" s="18">
        <v>1.5954699999999999</v>
      </c>
      <c r="J28" s="18">
        <v>1.5793699999999999</v>
      </c>
      <c r="K28" s="18">
        <v>1.56315</v>
      </c>
      <c r="L28" s="18">
        <v>1.54677</v>
      </c>
      <c r="M28" s="18">
        <v>1.5302800000000001</v>
      </c>
      <c r="N28" s="18">
        <v>1.5136700000000001</v>
      </c>
      <c r="O28" s="18">
        <v>1.49692</v>
      </c>
      <c r="P28" s="18">
        <v>1.48007</v>
      </c>
      <c r="Q28" s="18">
        <v>1.4631000000000001</v>
      </c>
      <c r="R28" s="18">
        <v>1.44604</v>
      </c>
      <c r="S28" s="18">
        <v>1.42885</v>
      </c>
      <c r="T28" s="18">
        <v>1.4115800000000001</v>
      </c>
      <c r="U28" s="19">
        <v>1.39422</v>
      </c>
      <c r="W28" s="16">
        <v>135</v>
      </c>
      <c r="X28" s="18">
        <v>1.7337899999999999</v>
      </c>
      <c r="Y28" s="18">
        <v>1.74902</v>
      </c>
      <c r="Z28" s="18">
        <v>1.7645</v>
      </c>
      <c r="AA28" s="18">
        <v>1.78024</v>
      </c>
      <c r="AB28" s="18">
        <v>1.7962400000000001</v>
      </c>
      <c r="AC28" s="18">
        <v>1.8125</v>
      </c>
      <c r="AD28" s="18">
        <v>1.8289899999999999</v>
      </c>
      <c r="AE28" s="18">
        <v>1.8457300000000001</v>
      </c>
      <c r="AF28" s="18">
        <v>1.8622799999999999</v>
      </c>
      <c r="AG28" s="18">
        <v>1.87893</v>
      </c>
      <c r="AH28" s="18">
        <v>1.89581</v>
      </c>
      <c r="AI28" s="18">
        <v>1.9129100000000001</v>
      </c>
      <c r="AJ28" s="18">
        <v>1.93022</v>
      </c>
      <c r="AK28" s="18">
        <v>1.94773</v>
      </c>
      <c r="AL28" s="18">
        <v>1.9654499999999999</v>
      </c>
      <c r="AM28" s="18">
        <v>1.9833700000000001</v>
      </c>
      <c r="AN28" s="18">
        <v>2.0015000000000001</v>
      </c>
      <c r="AO28" s="18">
        <v>2.0198100000000001</v>
      </c>
      <c r="AP28" s="18">
        <v>2.0383200000000001</v>
      </c>
      <c r="AQ28" s="19">
        <v>2.05701</v>
      </c>
    </row>
    <row r="29" spans="1:43" x14ac:dyDescent="0.2">
      <c r="A29" s="16">
        <v>140</v>
      </c>
      <c r="B29" s="18">
        <v>1.7095</v>
      </c>
      <c r="C29" s="18">
        <v>1.6950099999999999</v>
      </c>
      <c r="D29" s="18">
        <v>1.68038</v>
      </c>
      <c r="E29" s="18">
        <v>1.6655899999999999</v>
      </c>
      <c r="F29" s="18">
        <v>1.65066</v>
      </c>
      <c r="G29" s="18">
        <v>1.63557</v>
      </c>
      <c r="H29" s="18">
        <v>1.62036</v>
      </c>
      <c r="I29" s="18">
        <v>1.605</v>
      </c>
      <c r="J29" s="18">
        <v>1.58951</v>
      </c>
      <c r="K29" s="18">
        <v>1.57389</v>
      </c>
      <c r="L29" s="18">
        <v>1.5581499999999999</v>
      </c>
      <c r="M29" s="18">
        <v>1.5422800000000001</v>
      </c>
      <c r="N29" s="18">
        <v>1.5262899999999999</v>
      </c>
      <c r="O29" s="18">
        <v>1.5102</v>
      </c>
      <c r="P29" s="18">
        <v>1.4939899999999999</v>
      </c>
      <c r="Q29" s="18">
        <v>1.47767</v>
      </c>
      <c r="R29" s="18">
        <v>1.4612499999999999</v>
      </c>
      <c r="S29" s="18">
        <v>1.4447300000000001</v>
      </c>
      <c r="T29" s="18">
        <v>1.4281299999999999</v>
      </c>
      <c r="U29" s="19">
        <v>1.41143</v>
      </c>
      <c r="W29" s="16">
        <v>140</v>
      </c>
      <c r="X29" s="18">
        <v>1.73824</v>
      </c>
      <c r="Y29" s="18">
        <v>1.75291</v>
      </c>
      <c r="Z29" s="18">
        <v>1.7678199999999999</v>
      </c>
      <c r="AA29" s="18">
        <v>1.7829699999999999</v>
      </c>
      <c r="AB29" s="18">
        <v>1.79836</v>
      </c>
      <c r="AC29" s="18">
        <v>1.8139700000000001</v>
      </c>
      <c r="AD29" s="18">
        <v>1.8298099999999999</v>
      </c>
      <c r="AE29" s="18">
        <v>1.84589</v>
      </c>
      <c r="AF29" s="18">
        <v>1.86188</v>
      </c>
      <c r="AG29" s="18">
        <v>1.8778699999999999</v>
      </c>
      <c r="AH29" s="18">
        <v>1.89408</v>
      </c>
      <c r="AI29" s="18">
        <v>1.91048</v>
      </c>
      <c r="AJ29" s="18">
        <v>1.92709</v>
      </c>
      <c r="AK29" s="18">
        <v>1.9438899999999999</v>
      </c>
      <c r="AL29" s="18">
        <v>1.96089</v>
      </c>
      <c r="AM29" s="18">
        <v>1.9780800000000001</v>
      </c>
      <c r="AN29" s="18">
        <v>1.9954400000000001</v>
      </c>
      <c r="AO29" s="18">
        <v>2.0129899999999998</v>
      </c>
      <c r="AP29" s="18">
        <v>2.0307300000000001</v>
      </c>
      <c r="AQ29" s="19">
        <v>2.0486399999999998</v>
      </c>
    </row>
    <row r="30" spans="1:43" x14ac:dyDescent="0.2">
      <c r="A30" s="16">
        <v>145</v>
      </c>
      <c r="B30" s="18">
        <v>1.7147300000000001</v>
      </c>
      <c r="C30" s="18">
        <v>1.70075</v>
      </c>
      <c r="D30" s="18">
        <v>1.6866300000000001</v>
      </c>
      <c r="E30" s="18">
        <v>1.6723600000000001</v>
      </c>
      <c r="F30" s="18">
        <v>1.6579600000000001</v>
      </c>
      <c r="G30" s="18">
        <v>1.6434299999999999</v>
      </c>
      <c r="H30" s="18">
        <v>1.6287499999999999</v>
      </c>
      <c r="I30" s="18">
        <v>1.61395</v>
      </c>
      <c r="J30" s="18">
        <v>1.5990200000000001</v>
      </c>
      <c r="K30" s="18">
        <v>1.5839799999999999</v>
      </c>
      <c r="L30" s="18">
        <v>1.56881</v>
      </c>
      <c r="M30" s="18">
        <v>1.55352</v>
      </c>
      <c r="N30" s="18">
        <v>1.53813</v>
      </c>
      <c r="O30" s="18">
        <v>1.5226299999999999</v>
      </c>
      <c r="P30" s="18">
        <v>1.50702</v>
      </c>
      <c r="Q30" s="18">
        <v>1.4913099999999999</v>
      </c>
      <c r="R30" s="18">
        <v>1.4755</v>
      </c>
      <c r="S30" s="18">
        <v>1.4595899999999999</v>
      </c>
      <c r="T30" s="18">
        <v>1.4435899999999999</v>
      </c>
      <c r="U30" s="19">
        <v>1.4275100000000001</v>
      </c>
      <c r="W30" s="16">
        <v>145</v>
      </c>
      <c r="X30" s="18">
        <v>1.74247</v>
      </c>
      <c r="Y30" s="18">
        <v>1.7566299999999999</v>
      </c>
      <c r="Z30" s="18">
        <v>1.7709999999999999</v>
      </c>
      <c r="AA30" s="18">
        <v>1.78559</v>
      </c>
      <c r="AB30" s="18">
        <v>1.8004</v>
      </c>
      <c r="AC30" s="18">
        <v>1.8154399999999999</v>
      </c>
      <c r="AD30" s="18">
        <v>1.8306899999999999</v>
      </c>
      <c r="AE30" s="18">
        <v>1.84615</v>
      </c>
      <c r="AF30" s="18">
        <v>1.8615999999999999</v>
      </c>
      <c r="AG30" s="18">
        <v>1.8769899999999999</v>
      </c>
      <c r="AH30" s="18">
        <v>1.8925700000000001</v>
      </c>
      <c r="AI30" s="18">
        <v>1.9083399999999999</v>
      </c>
      <c r="AJ30" s="18">
        <v>1.9242999999999999</v>
      </c>
      <c r="AK30" s="18">
        <v>1.9404399999999999</v>
      </c>
      <c r="AL30" s="18">
        <v>1.9567699999999999</v>
      </c>
      <c r="AM30" s="18">
        <v>1.9732700000000001</v>
      </c>
      <c r="AN30" s="18">
        <v>1.9899500000000001</v>
      </c>
      <c r="AO30" s="18">
        <v>2.0068000000000001</v>
      </c>
      <c r="AP30" s="18">
        <v>2.0238200000000002</v>
      </c>
      <c r="AQ30" s="19">
        <v>2.0409999999999999</v>
      </c>
    </row>
    <row r="31" spans="1:43" x14ac:dyDescent="0.2">
      <c r="A31" s="16">
        <v>150</v>
      </c>
      <c r="B31" s="18">
        <v>1.7197</v>
      </c>
      <c r="C31" s="18">
        <v>1.7061900000000001</v>
      </c>
      <c r="D31" s="18">
        <v>1.69255</v>
      </c>
      <c r="E31" s="18">
        <v>1.6787700000000001</v>
      </c>
      <c r="F31" s="18">
        <v>1.66486</v>
      </c>
      <c r="G31" s="18">
        <v>1.65082</v>
      </c>
      <c r="H31" s="18">
        <v>1.63666</v>
      </c>
      <c r="I31" s="18">
        <v>1.6223799999999999</v>
      </c>
      <c r="J31" s="18">
        <v>1.60799</v>
      </c>
      <c r="K31" s="18">
        <v>1.5934600000000001</v>
      </c>
      <c r="L31" s="18">
        <v>1.57883</v>
      </c>
      <c r="M31" s="18">
        <v>1.56409</v>
      </c>
      <c r="N31" s="18">
        <v>1.54925</v>
      </c>
      <c r="O31" s="18">
        <v>1.5343</v>
      </c>
      <c r="P31" s="18">
        <v>1.51925</v>
      </c>
      <c r="Q31" s="18">
        <v>1.5041</v>
      </c>
      <c r="R31" s="18">
        <v>1.48885</v>
      </c>
      <c r="S31" s="18">
        <v>1.4735199999999999</v>
      </c>
      <c r="T31" s="18">
        <v>1.4580900000000001</v>
      </c>
      <c r="U31" s="19">
        <v>1.44259</v>
      </c>
      <c r="W31" s="16">
        <v>150</v>
      </c>
      <c r="X31" s="18">
        <v>1.7465200000000001</v>
      </c>
      <c r="Y31" s="18">
        <v>1.7601800000000001</v>
      </c>
      <c r="Z31" s="18">
        <v>1.77406</v>
      </c>
      <c r="AA31" s="18">
        <v>1.7881400000000001</v>
      </c>
      <c r="AB31" s="18">
        <v>1.8024199999999999</v>
      </c>
      <c r="AC31" s="18">
        <v>1.8169</v>
      </c>
      <c r="AD31" s="18">
        <v>1.8315900000000001</v>
      </c>
      <c r="AE31" s="18">
        <v>1.8464799999999999</v>
      </c>
      <c r="AF31" s="18">
        <v>1.86144</v>
      </c>
      <c r="AG31" s="18">
        <v>1.8762700000000001</v>
      </c>
      <c r="AH31" s="18">
        <v>1.89127</v>
      </c>
      <c r="AI31" s="18">
        <v>1.90645</v>
      </c>
      <c r="AJ31" s="18">
        <v>1.9218200000000001</v>
      </c>
      <c r="AK31" s="18">
        <v>1.9373499999999999</v>
      </c>
      <c r="AL31" s="18">
        <v>1.95305</v>
      </c>
      <c r="AM31" s="18">
        <v>1.96892</v>
      </c>
      <c r="AN31" s="18">
        <v>1.9849600000000001</v>
      </c>
      <c r="AO31" s="18">
        <v>2.00116</v>
      </c>
      <c r="AP31" s="18">
        <v>2.0175100000000001</v>
      </c>
      <c r="AQ31" s="19">
        <v>2.0340199999999999</v>
      </c>
    </row>
    <row r="32" spans="1:43" x14ac:dyDescent="0.2">
      <c r="A32" s="16">
        <v>155</v>
      </c>
      <c r="B32" s="18">
        <v>1.7244200000000001</v>
      </c>
      <c r="C32" s="18">
        <v>1.7113499999999999</v>
      </c>
      <c r="D32" s="18">
        <v>1.69815</v>
      </c>
      <c r="E32" s="18">
        <v>1.68483</v>
      </c>
      <c r="F32" s="18">
        <v>1.6713899999999999</v>
      </c>
      <c r="G32" s="18">
        <v>1.6578200000000001</v>
      </c>
      <c r="H32" s="18">
        <v>1.6441300000000001</v>
      </c>
      <c r="I32" s="18">
        <v>1.6303399999999999</v>
      </c>
      <c r="J32" s="18">
        <v>1.61643</v>
      </c>
      <c r="K32" s="18">
        <v>1.6024099999999999</v>
      </c>
      <c r="L32" s="18">
        <v>1.5882700000000001</v>
      </c>
      <c r="M32" s="18">
        <v>1.5740400000000001</v>
      </c>
      <c r="N32" s="18">
        <v>1.5597099999999999</v>
      </c>
      <c r="O32" s="18">
        <v>1.5452699999999999</v>
      </c>
      <c r="P32" s="18">
        <v>1.53074</v>
      </c>
      <c r="Q32" s="18">
        <v>1.5161199999999999</v>
      </c>
      <c r="R32" s="18">
        <v>1.50139</v>
      </c>
      <c r="S32" s="18">
        <v>1.4865900000000001</v>
      </c>
      <c r="T32" s="18">
        <v>1.4717100000000001</v>
      </c>
      <c r="U32" s="19">
        <v>1.4567399999999999</v>
      </c>
      <c r="W32" s="16">
        <v>155</v>
      </c>
      <c r="X32" s="18">
        <v>1.7503599999999999</v>
      </c>
      <c r="Y32" s="18">
        <v>1.7635799999999999</v>
      </c>
      <c r="Z32" s="18">
        <v>1.77698</v>
      </c>
      <c r="AA32" s="18">
        <v>1.7905800000000001</v>
      </c>
      <c r="AB32" s="18">
        <v>1.80437</v>
      </c>
      <c r="AC32" s="18">
        <v>1.81836</v>
      </c>
      <c r="AD32" s="18">
        <v>1.83253</v>
      </c>
      <c r="AE32" s="18">
        <v>1.8468800000000001</v>
      </c>
      <c r="AF32" s="18">
        <v>1.86138</v>
      </c>
      <c r="AG32" s="18">
        <v>1.87568</v>
      </c>
      <c r="AH32" s="18">
        <v>1.89015</v>
      </c>
      <c r="AI32" s="18">
        <v>1.9047799999999999</v>
      </c>
      <c r="AJ32" s="18">
        <v>1.9195899999999999</v>
      </c>
      <c r="AK32" s="18">
        <v>1.93455</v>
      </c>
      <c r="AL32" s="18">
        <v>1.9496800000000001</v>
      </c>
      <c r="AM32" s="18">
        <v>1.9649700000000001</v>
      </c>
      <c r="AN32" s="18">
        <v>1.9803999999999999</v>
      </c>
      <c r="AO32" s="18">
        <v>1.996</v>
      </c>
      <c r="AP32" s="18">
        <v>2.0117400000000001</v>
      </c>
      <c r="AQ32" s="19">
        <v>2.0276299999999998</v>
      </c>
    </row>
    <row r="33" spans="1:43" x14ac:dyDescent="0.2">
      <c r="A33" s="16">
        <v>160</v>
      </c>
      <c r="B33" s="18">
        <v>1.7289000000000001</v>
      </c>
      <c r="C33" s="18">
        <v>1.7162500000000001</v>
      </c>
      <c r="D33" s="18">
        <v>1.7034800000000001</v>
      </c>
      <c r="E33" s="18">
        <v>1.69058</v>
      </c>
      <c r="F33" s="18">
        <v>1.6775599999999999</v>
      </c>
      <c r="G33" s="18">
        <v>1.6644399999999999</v>
      </c>
      <c r="H33" s="18">
        <v>1.6512100000000001</v>
      </c>
      <c r="I33" s="18">
        <v>1.6378600000000001</v>
      </c>
      <c r="J33" s="18">
        <v>1.6244099999999999</v>
      </c>
      <c r="K33" s="18">
        <v>1.61084</v>
      </c>
      <c r="L33" s="18">
        <v>1.59718</v>
      </c>
      <c r="M33" s="18">
        <v>1.5834299999999999</v>
      </c>
      <c r="N33" s="18">
        <v>1.5695699999999999</v>
      </c>
      <c r="O33" s="18">
        <v>1.55562</v>
      </c>
      <c r="P33" s="18">
        <v>1.54158</v>
      </c>
      <c r="Q33" s="18">
        <v>1.5274399999999999</v>
      </c>
      <c r="R33" s="18">
        <v>1.51322</v>
      </c>
      <c r="S33" s="18">
        <v>1.49892</v>
      </c>
      <c r="T33" s="18">
        <v>1.4845200000000001</v>
      </c>
      <c r="U33" s="19">
        <v>1.4700599999999999</v>
      </c>
      <c r="W33" s="16">
        <v>160</v>
      </c>
      <c r="X33" s="18">
        <v>1.7540500000000001</v>
      </c>
      <c r="Y33" s="18">
        <v>1.7668299999999999</v>
      </c>
      <c r="Z33" s="18">
        <v>1.7798</v>
      </c>
      <c r="AA33" s="18">
        <v>1.7929600000000001</v>
      </c>
      <c r="AB33" s="18">
        <v>1.80629</v>
      </c>
      <c r="AC33" s="18">
        <v>1.8198000000000001</v>
      </c>
      <c r="AD33" s="18">
        <v>1.83348</v>
      </c>
      <c r="AE33" s="18">
        <v>1.84734</v>
      </c>
      <c r="AF33" s="18">
        <v>1.86138</v>
      </c>
      <c r="AG33" s="18">
        <v>1.8752</v>
      </c>
      <c r="AH33" s="18">
        <v>1.8891800000000001</v>
      </c>
      <c r="AI33" s="18">
        <v>1.9033100000000001</v>
      </c>
      <c r="AJ33" s="18">
        <v>1.9175899999999999</v>
      </c>
      <c r="AK33" s="18">
        <v>1.93204</v>
      </c>
      <c r="AL33" s="18">
        <v>1.94662</v>
      </c>
      <c r="AM33" s="18">
        <v>1.96136</v>
      </c>
      <c r="AN33" s="18">
        <v>1.97624</v>
      </c>
      <c r="AO33" s="18">
        <v>1.9912700000000001</v>
      </c>
      <c r="AP33" s="18">
        <v>2.00644</v>
      </c>
      <c r="AQ33" s="19">
        <v>2.0217499999999999</v>
      </c>
    </row>
    <row r="34" spans="1:43" x14ac:dyDescent="0.2">
      <c r="A34" s="16">
        <v>165</v>
      </c>
      <c r="B34" s="18">
        <v>1.73319</v>
      </c>
      <c r="C34" s="18">
        <v>1.72092</v>
      </c>
      <c r="D34" s="18">
        <v>1.7085399999999999</v>
      </c>
      <c r="E34" s="18">
        <v>1.69604</v>
      </c>
      <c r="F34" s="18">
        <v>1.68344</v>
      </c>
      <c r="G34" s="18">
        <v>1.67073</v>
      </c>
      <c r="H34" s="18">
        <v>1.65791</v>
      </c>
      <c r="I34" s="18">
        <v>1.6449800000000001</v>
      </c>
      <c r="J34" s="18">
        <v>1.63195</v>
      </c>
      <c r="K34" s="18">
        <v>1.61883</v>
      </c>
      <c r="L34" s="18">
        <v>1.60561</v>
      </c>
      <c r="M34" s="18">
        <v>1.5923</v>
      </c>
      <c r="N34" s="18">
        <v>1.5788899999999999</v>
      </c>
      <c r="O34" s="18">
        <v>1.5653900000000001</v>
      </c>
      <c r="P34" s="18">
        <v>1.5518000000000001</v>
      </c>
      <c r="Q34" s="18">
        <v>1.53813</v>
      </c>
      <c r="R34" s="18">
        <v>1.52437</v>
      </c>
      <c r="S34" s="18">
        <v>1.5105299999999999</v>
      </c>
      <c r="T34" s="18">
        <v>1.49661</v>
      </c>
      <c r="U34" s="19">
        <v>1.48262</v>
      </c>
      <c r="W34" s="16">
        <v>165</v>
      </c>
      <c r="X34" s="18">
        <v>1.75756</v>
      </c>
      <c r="Y34" s="18">
        <v>1.7699499999999999</v>
      </c>
      <c r="Z34" s="18">
        <v>1.78251</v>
      </c>
      <c r="AA34" s="18">
        <v>1.79525</v>
      </c>
      <c r="AB34" s="18">
        <v>1.8081499999999999</v>
      </c>
      <c r="AC34" s="18">
        <v>1.8212200000000001</v>
      </c>
      <c r="AD34" s="18">
        <v>1.8344499999999999</v>
      </c>
      <c r="AE34" s="18">
        <v>1.84785</v>
      </c>
      <c r="AF34" s="18">
        <v>1.86141</v>
      </c>
      <c r="AG34" s="18">
        <v>1.8748400000000001</v>
      </c>
      <c r="AH34" s="18">
        <v>1.88835</v>
      </c>
      <c r="AI34" s="18">
        <v>1.9019999999999999</v>
      </c>
      <c r="AJ34" s="18">
        <v>1.91581</v>
      </c>
      <c r="AK34" s="18">
        <v>1.9297500000000001</v>
      </c>
      <c r="AL34" s="18">
        <v>1.9438299999999999</v>
      </c>
      <c r="AM34" s="18">
        <v>1.9580599999999999</v>
      </c>
      <c r="AN34" s="18">
        <v>1.97244</v>
      </c>
      <c r="AO34" s="18">
        <v>1.9869399999999999</v>
      </c>
      <c r="AP34" s="18">
        <v>2.0015800000000001</v>
      </c>
      <c r="AQ34" s="19">
        <v>2.0163500000000001</v>
      </c>
    </row>
    <row r="35" spans="1:43" x14ac:dyDescent="0.2">
      <c r="A35" s="16">
        <v>170</v>
      </c>
      <c r="B35" s="18">
        <v>1.7372799999999999</v>
      </c>
      <c r="C35" s="18">
        <v>1.7253700000000001</v>
      </c>
      <c r="D35" s="18">
        <v>1.71336</v>
      </c>
      <c r="E35" s="18">
        <v>1.7012400000000001</v>
      </c>
      <c r="F35" s="18">
        <v>1.68902</v>
      </c>
      <c r="G35" s="18">
        <v>1.67669</v>
      </c>
      <c r="H35" s="18">
        <v>1.6642699999999999</v>
      </c>
      <c r="I35" s="18">
        <v>1.65174</v>
      </c>
      <c r="J35" s="18">
        <v>1.6391199999999999</v>
      </c>
      <c r="K35" s="18">
        <v>1.6264099999999999</v>
      </c>
      <c r="L35" s="18">
        <v>1.6135900000000001</v>
      </c>
      <c r="M35" s="18">
        <v>1.6006899999999999</v>
      </c>
      <c r="N35" s="18">
        <v>1.5876999999999999</v>
      </c>
      <c r="O35" s="18">
        <v>1.57464</v>
      </c>
      <c r="P35" s="18">
        <v>1.5614699999999999</v>
      </c>
      <c r="Q35" s="18">
        <v>1.54823</v>
      </c>
      <c r="R35" s="18">
        <v>1.53491</v>
      </c>
      <c r="S35" s="18">
        <v>1.5215099999999999</v>
      </c>
      <c r="T35" s="18">
        <v>1.50803</v>
      </c>
      <c r="U35" s="19">
        <v>1.4944900000000001</v>
      </c>
      <c r="W35" s="16">
        <v>170</v>
      </c>
      <c r="X35" s="18">
        <v>1.7609300000000001</v>
      </c>
      <c r="Y35" s="18">
        <v>1.77295</v>
      </c>
      <c r="Z35" s="18">
        <v>1.78512</v>
      </c>
      <c r="AA35" s="18">
        <v>1.7974699999999999</v>
      </c>
      <c r="AB35" s="18">
        <v>1.8099700000000001</v>
      </c>
      <c r="AC35" s="18">
        <v>1.8226199999999999</v>
      </c>
      <c r="AD35" s="18">
        <v>1.8354299999999999</v>
      </c>
      <c r="AE35" s="18">
        <v>1.84839</v>
      </c>
      <c r="AF35" s="18">
        <v>1.86151</v>
      </c>
      <c r="AG35" s="18">
        <v>1.87456</v>
      </c>
      <c r="AH35" s="18">
        <v>1.88764</v>
      </c>
      <c r="AI35" s="18">
        <v>1.9008499999999999</v>
      </c>
      <c r="AJ35" s="18">
        <v>1.9141900000000001</v>
      </c>
      <c r="AK35" s="18">
        <v>1.9276800000000001</v>
      </c>
      <c r="AL35" s="18">
        <v>1.9413</v>
      </c>
      <c r="AM35" s="18">
        <v>1.95506</v>
      </c>
      <c r="AN35" s="18">
        <v>1.9689399999999999</v>
      </c>
      <c r="AO35" s="18">
        <v>1.9829600000000001</v>
      </c>
      <c r="AP35" s="18">
        <v>1.9971000000000001</v>
      </c>
      <c r="AQ35" s="19">
        <v>2.0113599999999998</v>
      </c>
    </row>
    <row r="36" spans="1:43" x14ac:dyDescent="0.2">
      <c r="A36" s="16">
        <v>175</v>
      </c>
      <c r="B36" s="18">
        <v>1.74119</v>
      </c>
      <c r="C36" s="18">
        <v>1.72963</v>
      </c>
      <c r="D36" s="18">
        <v>1.7179599999999999</v>
      </c>
      <c r="E36" s="18">
        <v>1.7061999999999999</v>
      </c>
      <c r="F36" s="18">
        <v>1.6943299999999999</v>
      </c>
      <c r="G36" s="18">
        <v>1.6823699999999999</v>
      </c>
      <c r="H36" s="18">
        <v>1.67031</v>
      </c>
      <c r="I36" s="18">
        <v>1.6581699999999999</v>
      </c>
      <c r="J36" s="18">
        <v>1.6459299999999999</v>
      </c>
      <c r="K36" s="18">
        <v>1.6335900000000001</v>
      </c>
      <c r="L36" s="18">
        <v>1.62117</v>
      </c>
      <c r="M36" s="18">
        <v>1.60867</v>
      </c>
      <c r="N36" s="18">
        <v>1.5960700000000001</v>
      </c>
      <c r="O36" s="18">
        <v>1.5833900000000001</v>
      </c>
      <c r="P36" s="18">
        <v>1.57064</v>
      </c>
      <c r="Q36" s="18">
        <v>1.5578000000000001</v>
      </c>
      <c r="R36" s="18">
        <v>1.5448900000000001</v>
      </c>
      <c r="S36" s="18">
        <v>1.5319</v>
      </c>
      <c r="T36" s="18">
        <v>1.51885</v>
      </c>
      <c r="U36" s="19">
        <v>1.5057199999999999</v>
      </c>
      <c r="W36" s="16">
        <v>175</v>
      </c>
      <c r="X36" s="18">
        <v>1.76416</v>
      </c>
      <c r="Y36" s="18">
        <v>1.77583</v>
      </c>
      <c r="Z36" s="18">
        <v>1.78765</v>
      </c>
      <c r="AA36" s="18">
        <v>1.7996099999999999</v>
      </c>
      <c r="AB36" s="18">
        <v>1.8117399999999999</v>
      </c>
      <c r="AC36" s="18">
        <v>1.8240000000000001</v>
      </c>
      <c r="AD36" s="18">
        <v>1.8364100000000001</v>
      </c>
      <c r="AE36" s="18">
        <v>1.8489800000000001</v>
      </c>
      <c r="AF36" s="18">
        <v>1.86168</v>
      </c>
      <c r="AG36" s="18">
        <v>1.8743700000000001</v>
      </c>
      <c r="AH36" s="18">
        <v>1.88703</v>
      </c>
      <c r="AI36" s="18">
        <v>1.8998200000000001</v>
      </c>
      <c r="AJ36" s="18">
        <v>1.91275</v>
      </c>
      <c r="AK36" s="18">
        <v>1.9258</v>
      </c>
      <c r="AL36" s="18">
        <v>1.93899</v>
      </c>
      <c r="AM36" s="18">
        <v>1.9522900000000001</v>
      </c>
      <c r="AN36" s="18">
        <v>1.96573</v>
      </c>
      <c r="AO36" s="18">
        <v>1.9792799999999999</v>
      </c>
      <c r="AP36" s="18">
        <v>1.9929600000000001</v>
      </c>
      <c r="AQ36" s="19">
        <v>2.0067499999999998</v>
      </c>
    </row>
    <row r="37" spans="1:43" x14ac:dyDescent="0.2">
      <c r="A37" s="16">
        <v>180</v>
      </c>
      <c r="B37" s="18">
        <v>1.7449300000000001</v>
      </c>
      <c r="C37" s="18">
        <v>1.73369</v>
      </c>
      <c r="D37" s="18">
        <v>1.7223599999999999</v>
      </c>
      <c r="E37" s="18">
        <v>1.71092</v>
      </c>
      <c r="F37" s="18">
        <v>1.6994</v>
      </c>
      <c r="G37" s="18">
        <v>1.6877899999999999</v>
      </c>
      <c r="H37" s="18">
        <v>1.67608</v>
      </c>
      <c r="I37" s="18">
        <v>1.66428</v>
      </c>
      <c r="J37" s="18">
        <v>1.65239</v>
      </c>
      <c r="K37" s="18">
        <v>1.6404300000000001</v>
      </c>
      <c r="L37" s="18">
        <v>1.6283700000000001</v>
      </c>
      <c r="M37" s="18">
        <v>1.6162300000000001</v>
      </c>
      <c r="N37" s="18">
        <v>1.6040099999999999</v>
      </c>
      <c r="O37" s="18">
        <v>1.59171</v>
      </c>
      <c r="P37" s="18">
        <v>1.57934</v>
      </c>
      <c r="Q37" s="18">
        <v>1.5668800000000001</v>
      </c>
      <c r="R37" s="18">
        <v>1.55436</v>
      </c>
      <c r="S37" s="18">
        <v>1.54176</v>
      </c>
      <c r="T37" s="18">
        <v>1.5290999999999999</v>
      </c>
      <c r="U37" s="19">
        <v>1.5163599999999999</v>
      </c>
      <c r="W37" s="16">
        <v>180</v>
      </c>
      <c r="X37" s="18">
        <v>1.7672600000000001</v>
      </c>
      <c r="Y37" s="18">
        <v>1.7786</v>
      </c>
      <c r="Z37" s="18">
        <v>1.7900700000000001</v>
      </c>
      <c r="AA37" s="18">
        <v>1.8017000000000001</v>
      </c>
      <c r="AB37" s="18">
        <v>1.8134600000000001</v>
      </c>
      <c r="AC37" s="18">
        <v>1.8253600000000001</v>
      </c>
      <c r="AD37" s="18">
        <v>1.8373999999999999</v>
      </c>
      <c r="AE37" s="18">
        <v>1.8495900000000001</v>
      </c>
      <c r="AF37" s="18">
        <v>1.8619000000000001</v>
      </c>
      <c r="AG37" s="18">
        <v>1.87425</v>
      </c>
      <c r="AH37" s="18">
        <v>1.88652</v>
      </c>
      <c r="AI37" s="18">
        <v>1.8989199999999999</v>
      </c>
      <c r="AJ37" s="18">
        <v>1.9114500000000001</v>
      </c>
      <c r="AK37" s="18">
        <v>1.9240999999999999</v>
      </c>
      <c r="AL37" s="18">
        <v>1.9368700000000001</v>
      </c>
      <c r="AM37" s="18">
        <v>1.9497599999999999</v>
      </c>
      <c r="AN37" s="18">
        <v>1.9627600000000001</v>
      </c>
      <c r="AO37" s="18">
        <v>1.9758800000000001</v>
      </c>
      <c r="AP37" s="18">
        <v>1.98912</v>
      </c>
      <c r="AQ37" s="19">
        <v>2.0024799999999998</v>
      </c>
    </row>
    <row r="38" spans="1:43" x14ac:dyDescent="0.2">
      <c r="A38" s="16">
        <v>185</v>
      </c>
      <c r="B38" s="18">
        <v>1.74851</v>
      </c>
      <c r="C38" s="18">
        <v>1.73759</v>
      </c>
      <c r="D38" s="18">
        <v>1.7265600000000001</v>
      </c>
      <c r="E38" s="18">
        <v>1.7154499999999999</v>
      </c>
      <c r="F38" s="18">
        <v>1.70424</v>
      </c>
      <c r="G38" s="18">
        <v>1.69295</v>
      </c>
      <c r="H38" s="18">
        <v>1.68157</v>
      </c>
      <c r="I38" s="18">
        <v>1.6700999999999999</v>
      </c>
      <c r="J38" s="18">
        <v>1.65856</v>
      </c>
      <c r="K38" s="18">
        <v>1.64693</v>
      </c>
      <c r="L38" s="18">
        <v>1.6352199999999999</v>
      </c>
      <c r="M38" s="18">
        <v>1.6234299999999999</v>
      </c>
      <c r="N38" s="18">
        <v>1.6115600000000001</v>
      </c>
      <c r="O38" s="18">
        <v>1.59962</v>
      </c>
      <c r="P38" s="18">
        <v>1.5875999999999999</v>
      </c>
      <c r="Q38" s="18">
        <v>1.57551</v>
      </c>
      <c r="R38" s="18">
        <v>1.56335</v>
      </c>
      <c r="S38" s="18">
        <v>1.5511200000000001</v>
      </c>
      <c r="T38" s="18">
        <v>1.5388200000000001</v>
      </c>
      <c r="U38" s="19">
        <v>1.5264599999999999</v>
      </c>
      <c r="W38" s="16">
        <v>185</v>
      </c>
      <c r="X38" s="18">
        <v>1.77024</v>
      </c>
      <c r="Y38" s="18">
        <v>1.7812699999999999</v>
      </c>
      <c r="Z38" s="18">
        <v>1.7924199999999999</v>
      </c>
      <c r="AA38" s="18">
        <v>1.8037099999999999</v>
      </c>
      <c r="AB38" s="18">
        <v>1.81514</v>
      </c>
      <c r="AC38" s="18">
        <v>1.8267</v>
      </c>
      <c r="AD38" s="18">
        <v>1.8383799999999999</v>
      </c>
      <c r="AE38" s="18">
        <v>1.8502099999999999</v>
      </c>
      <c r="AF38" s="18">
        <v>1.86215</v>
      </c>
      <c r="AG38" s="18">
        <v>1.87419</v>
      </c>
      <c r="AH38" s="18">
        <v>1.8861000000000001</v>
      </c>
      <c r="AI38" s="18">
        <v>1.8981300000000001</v>
      </c>
      <c r="AJ38" s="18">
        <v>1.91028</v>
      </c>
      <c r="AK38" s="18">
        <v>1.92255</v>
      </c>
      <c r="AL38" s="18">
        <v>1.93493</v>
      </c>
      <c r="AM38" s="18">
        <v>1.94743</v>
      </c>
      <c r="AN38" s="18">
        <v>1.9600299999999999</v>
      </c>
      <c r="AO38" s="18">
        <v>1.97275</v>
      </c>
      <c r="AP38" s="18">
        <v>1.9855799999999999</v>
      </c>
      <c r="AQ38" s="19">
        <v>1.9985200000000001</v>
      </c>
    </row>
    <row r="39" spans="1:43" x14ac:dyDescent="0.2">
      <c r="A39" s="16">
        <v>190</v>
      </c>
      <c r="B39" s="18">
        <v>1.75196</v>
      </c>
      <c r="C39" s="18">
        <v>1.74132</v>
      </c>
      <c r="D39" s="18">
        <v>1.7305900000000001</v>
      </c>
      <c r="E39" s="18">
        <v>1.71977</v>
      </c>
      <c r="F39" s="18">
        <v>1.7088699999999999</v>
      </c>
      <c r="G39" s="18">
        <v>1.6978899999999999</v>
      </c>
      <c r="H39" s="18">
        <v>1.68682</v>
      </c>
      <c r="I39" s="18">
        <v>1.67567</v>
      </c>
      <c r="J39" s="18">
        <v>1.6644399999999999</v>
      </c>
      <c r="K39" s="18">
        <v>1.65313</v>
      </c>
      <c r="L39" s="18">
        <v>1.64175</v>
      </c>
      <c r="M39" s="18">
        <v>1.63028</v>
      </c>
      <c r="N39" s="18">
        <v>1.6187499999999999</v>
      </c>
      <c r="O39" s="18">
        <v>1.60714</v>
      </c>
      <c r="P39" s="18">
        <v>1.5954699999999999</v>
      </c>
      <c r="Q39" s="18">
        <v>1.58372</v>
      </c>
      <c r="R39" s="18">
        <v>1.5719000000000001</v>
      </c>
      <c r="S39" s="18">
        <v>1.5600099999999999</v>
      </c>
      <c r="T39" s="18">
        <v>1.5480700000000001</v>
      </c>
      <c r="U39" s="19">
        <v>1.5360499999999999</v>
      </c>
      <c r="W39" s="16">
        <v>190</v>
      </c>
      <c r="X39" s="18">
        <v>1.77311</v>
      </c>
      <c r="Y39" s="18">
        <v>1.78383</v>
      </c>
      <c r="Z39" s="18">
        <v>1.7946800000000001</v>
      </c>
      <c r="AA39" s="18">
        <v>1.8056700000000001</v>
      </c>
      <c r="AB39" s="18">
        <v>1.8167800000000001</v>
      </c>
      <c r="AC39" s="18">
        <v>1.8280099999999999</v>
      </c>
      <c r="AD39" s="18">
        <v>1.8393699999999999</v>
      </c>
      <c r="AE39" s="18">
        <v>1.8508599999999999</v>
      </c>
      <c r="AF39" s="18">
        <v>1.86246</v>
      </c>
      <c r="AG39" s="18">
        <v>1.8741699999999999</v>
      </c>
      <c r="AH39" s="18">
        <v>1.88575</v>
      </c>
      <c r="AI39" s="18">
        <v>1.8974299999999999</v>
      </c>
      <c r="AJ39" s="18">
        <v>1.90923</v>
      </c>
      <c r="AK39" s="18">
        <v>1.9211400000000001</v>
      </c>
      <c r="AL39" s="18">
        <v>1.9331499999999999</v>
      </c>
      <c r="AM39" s="18">
        <v>1.94529</v>
      </c>
      <c r="AN39" s="18">
        <v>1.9575199999999999</v>
      </c>
      <c r="AO39" s="18">
        <v>1.9698500000000001</v>
      </c>
      <c r="AP39" s="18">
        <v>1.9823</v>
      </c>
      <c r="AQ39" s="19">
        <v>1.9948399999999999</v>
      </c>
    </row>
    <row r="40" spans="1:43" x14ac:dyDescent="0.2">
      <c r="A40" s="16">
        <v>195</v>
      </c>
      <c r="B40" s="18">
        <v>1.75526</v>
      </c>
      <c r="C40" s="18">
        <v>1.7448999999999999</v>
      </c>
      <c r="D40" s="18">
        <v>1.73445</v>
      </c>
      <c r="E40" s="18">
        <v>1.7239199999999999</v>
      </c>
      <c r="F40" s="18">
        <v>1.7133</v>
      </c>
      <c r="G40" s="18">
        <v>1.70261</v>
      </c>
      <c r="H40" s="18">
        <v>1.6918299999999999</v>
      </c>
      <c r="I40" s="18">
        <v>1.68099</v>
      </c>
      <c r="J40" s="18">
        <v>1.67005</v>
      </c>
      <c r="K40" s="18">
        <v>1.6590499999999999</v>
      </c>
      <c r="L40" s="18">
        <v>1.64798</v>
      </c>
      <c r="M40" s="18">
        <v>1.63683</v>
      </c>
      <c r="N40" s="18">
        <v>1.62561</v>
      </c>
      <c r="O40" s="18">
        <v>1.61432</v>
      </c>
      <c r="P40" s="18">
        <v>1.6029599999999999</v>
      </c>
      <c r="Q40" s="18">
        <v>1.59154</v>
      </c>
      <c r="R40" s="18">
        <v>1.58005</v>
      </c>
      <c r="S40" s="18">
        <v>1.5684899999999999</v>
      </c>
      <c r="T40" s="18">
        <v>1.55687</v>
      </c>
      <c r="U40" s="19">
        <v>1.5451999999999999</v>
      </c>
      <c r="W40" s="16">
        <v>195</v>
      </c>
      <c r="X40" s="18">
        <v>1.77586</v>
      </c>
      <c r="Y40" s="18">
        <v>1.7863199999999999</v>
      </c>
      <c r="Z40" s="18">
        <v>1.79688</v>
      </c>
      <c r="AA40" s="18">
        <v>1.8075699999999999</v>
      </c>
      <c r="AB40" s="18">
        <v>1.8183800000000001</v>
      </c>
      <c r="AC40" s="18">
        <v>1.8292999999999999</v>
      </c>
      <c r="AD40" s="18">
        <v>1.8403499999999999</v>
      </c>
      <c r="AE40" s="18">
        <v>1.85151</v>
      </c>
      <c r="AF40" s="18">
        <v>1.8627899999999999</v>
      </c>
      <c r="AG40" s="18">
        <v>1.87418</v>
      </c>
      <c r="AH40" s="18">
        <v>1.88547</v>
      </c>
      <c r="AI40" s="18">
        <v>1.89683</v>
      </c>
      <c r="AJ40" s="18">
        <v>1.90828</v>
      </c>
      <c r="AK40" s="18">
        <v>1.9198500000000001</v>
      </c>
      <c r="AL40" s="18">
        <v>1.9315199999999999</v>
      </c>
      <c r="AM40" s="18">
        <v>1.9433</v>
      </c>
      <c r="AN40" s="18">
        <v>1.9551799999999999</v>
      </c>
      <c r="AO40" s="18">
        <v>1.96716</v>
      </c>
      <c r="AP40" s="18">
        <v>1.97923</v>
      </c>
      <c r="AQ40" s="19">
        <v>1.9914099999999999</v>
      </c>
    </row>
    <row r="41" spans="1:43" x14ac:dyDescent="0.2">
      <c r="A41" s="16">
        <v>200</v>
      </c>
      <c r="B41" s="18">
        <v>1.75844</v>
      </c>
      <c r="C41" s="18">
        <v>1.7483299999999999</v>
      </c>
      <c r="D41" s="18">
        <v>1.7381500000000001</v>
      </c>
      <c r="E41" s="18">
        <v>1.7278899999999999</v>
      </c>
      <c r="F41" s="18">
        <v>1.7175499999999999</v>
      </c>
      <c r="G41" s="18">
        <v>1.70713</v>
      </c>
      <c r="H41" s="18">
        <v>1.6966300000000001</v>
      </c>
      <c r="I41" s="18">
        <v>1.68607</v>
      </c>
      <c r="J41" s="18">
        <v>1.67543</v>
      </c>
      <c r="K41" s="18">
        <v>1.6647099999999999</v>
      </c>
      <c r="L41" s="18">
        <v>1.65394</v>
      </c>
      <c r="M41" s="18">
        <v>1.6430800000000001</v>
      </c>
      <c r="N41" s="18">
        <v>1.6321600000000001</v>
      </c>
      <c r="O41" s="18">
        <v>1.62117</v>
      </c>
      <c r="P41" s="18">
        <v>1.6101099999999999</v>
      </c>
      <c r="Q41" s="18">
        <v>1.599</v>
      </c>
      <c r="R41" s="18">
        <v>1.5878099999999999</v>
      </c>
      <c r="S41" s="18">
        <v>1.57657</v>
      </c>
      <c r="T41" s="18">
        <v>1.5652699999999999</v>
      </c>
      <c r="U41" s="19">
        <v>1.5539000000000001</v>
      </c>
      <c r="W41" s="16">
        <v>200</v>
      </c>
      <c r="X41" s="18">
        <v>1.7785200000000001</v>
      </c>
      <c r="Y41" s="18">
        <v>1.78871</v>
      </c>
      <c r="Z41" s="18">
        <v>1.79901</v>
      </c>
      <c r="AA41" s="18">
        <v>1.80942</v>
      </c>
      <c r="AB41" s="18">
        <v>1.8199399999999999</v>
      </c>
      <c r="AC41" s="18">
        <v>1.83057</v>
      </c>
      <c r="AD41" s="18">
        <v>1.8413299999999999</v>
      </c>
      <c r="AE41" s="18">
        <v>1.85219</v>
      </c>
      <c r="AF41" s="18">
        <v>1.8631599999999999</v>
      </c>
      <c r="AG41" s="18">
        <v>1.8742300000000001</v>
      </c>
      <c r="AH41" s="18">
        <v>1.88541</v>
      </c>
      <c r="AI41" s="18">
        <v>1.8967099999999999</v>
      </c>
      <c r="AJ41" s="18">
        <v>1.9080999999999999</v>
      </c>
      <c r="AK41" s="18">
        <v>1.91961</v>
      </c>
      <c r="AL41" s="18">
        <v>1.9312199999999999</v>
      </c>
      <c r="AM41" s="18">
        <v>1.94292</v>
      </c>
      <c r="AN41" s="18">
        <v>1.9547300000000001</v>
      </c>
      <c r="AO41" s="18">
        <v>1.96665</v>
      </c>
      <c r="AP41" s="18">
        <v>1.97865</v>
      </c>
      <c r="AQ41" s="19">
        <v>1.99075</v>
      </c>
    </row>
    <row r="42" spans="1:43" x14ac:dyDescent="0.2">
      <c r="A42" s="16">
        <v>210</v>
      </c>
      <c r="B42" s="18">
        <v>1.7644500000000001</v>
      </c>
      <c r="C42" s="18">
        <v>1.7548299999999999</v>
      </c>
      <c r="D42" s="18">
        <v>1.7451300000000001</v>
      </c>
      <c r="E42" s="18">
        <v>1.7353700000000001</v>
      </c>
      <c r="F42" s="18">
        <v>1.7255400000000001</v>
      </c>
      <c r="G42" s="18">
        <v>1.71563</v>
      </c>
      <c r="H42" s="18">
        <v>1.70566</v>
      </c>
      <c r="I42" s="18">
        <v>1.6956100000000001</v>
      </c>
      <c r="J42" s="18">
        <v>1.6855</v>
      </c>
      <c r="K42" s="18">
        <v>1.6753199999999999</v>
      </c>
      <c r="L42" s="18">
        <v>1.6650799999999999</v>
      </c>
      <c r="M42" s="18">
        <v>1.6547799999999999</v>
      </c>
      <c r="N42" s="18">
        <v>1.6444099999999999</v>
      </c>
      <c r="O42" s="18">
        <v>1.63398</v>
      </c>
      <c r="P42" s="18">
        <v>1.62348</v>
      </c>
      <c r="Q42" s="18">
        <v>1.61293</v>
      </c>
      <c r="R42" s="18">
        <v>1.60232</v>
      </c>
      <c r="S42" s="18">
        <v>1.59165</v>
      </c>
      <c r="T42" s="18">
        <v>1.58094</v>
      </c>
      <c r="U42" s="19">
        <v>1.5701499999999999</v>
      </c>
      <c r="W42" s="16">
        <v>210</v>
      </c>
      <c r="X42" s="18">
        <v>1.7835799999999999</v>
      </c>
      <c r="Y42" s="18">
        <v>1.7932600000000001</v>
      </c>
      <c r="Z42" s="18">
        <v>1.80305</v>
      </c>
      <c r="AA42" s="18">
        <v>1.8129500000000001</v>
      </c>
      <c r="AB42" s="18">
        <v>1.82294</v>
      </c>
      <c r="AC42" s="18">
        <v>1.8330500000000001</v>
      </c>
      <c r="AD42" s="18">
        <v>1.8432500000000001</v>
      </c>
      <c r="AE42" s="18">
        <v>1.85355</v>
      </c>
      <c r="AF42" s="18">
        <v>1.8639399999999999</v>
      </c>
      <c r="AG42" s="18">
        <v>1.8744499999999999</v>
      </c>
      <c r="AH42" s="18">
        <v>1.8850499999999999</v>
      </c>
      <c r="AI42" s="18">
        <v>1.89574</v>
      </c>
      <c r="AJ42" s="18">
        <v>1.9065300000000001</v>
      </c>
      <c r="AK42" s="18">
        <v>1.9174199999999999</v>
      </c>
      <c r="AL42" s="18">
        <v>1.92839</v>
      </c>
      <c r="AM42" s="18">
        <v>1.93947</v>
      </c>
      <c r="AN42" s="18">
        <v>1.9506300000000001</v>
      </c>
      <c r="AO42" s="18">
        <v>1.9618800000000001</v>
      </c>
      <c r="AP42" s="18">
        <v>1.97323</v>
      </c>
      <c r="AQ42" s="19">
        <v>1.9846699999999999</v>
      </c>
    </row>
    <row r="43" spans="1:43" x14ac:dyDescent="0.2">
      <c r="A43" s="16">
        <v>220</v>
      </c>
      <c r="B43" s="18">
        <v>1.77003</v>
      </c>
      <c r="C43" s="18">
        <v>1.7608600000000001</v>
      </c>
      <c r="D43" s="18">
        <v>1.7516099999999999</v>
      </c>
      <c r="E43" s="18">
        <v>1.7422899999999999</v>
      </c>
      <c r="F43" s="18">
        <v>1.73292</v>
      </c>
      <c r="G43" s="18">
        <v>1.7234799999999999</v>
      </c>
      <c r="H43" s="18">
        <v>1.7139800000000001</v>
      </c>
      <c r="I43" s="18">
        <v>1.70441</v>
      </c>
      <c r="J43" s="18">
        <v>1.6947700000000001</v>
      </c>
      <c r="K43" s="18">
        <v>1.68509</v>
      </c>
      <c r="L43" s="18">
        <v>1.67533</v>
      </c>
      <c r="M43" s="18">
        <v>1.6655199999999999</v>
      </c>
      <c r="N43" s="18">
        <v>1.6556599999999999</v>
      </c>
      <c r="O43" s="18">
        <v>1.6457299999999999</v>
      </c>
      <c r="P43" s="18">
        <v>1.63575</v>
      </c>
      <c r="Q43" s="18">
        <v>1.62571</v>
      </c>
      <c r="R43" s="18">
        <v>1.6156200000000001</v>
      </c>
      <c r="S43" s="18">
        <v>1.60547</v>
      </c>
      <c r="T43" s="18">
        <v>1.59527</v>
      </c>
      <c r="U43" s="19">
        <v>1.5850299999999999</v>
      </c>
      <c r="W43" s="16">
        <v>220</v>
      </c>
      <c r="X43" s="18">
        <v>1.7882899999999999</v>
      </c>
      <c r="Y43" s="18">
        <v>1.7975300000000001</v>
      </c>
      <c r="Z43" s="18">
        <v>1.8068599999999999</v>
      </c>
      <c r="AA43" s="18">
        <v>1.8162799999999999</v>
      </c>
      <c r="AB43" s="18">
        <v>1.8258099999999999</v>
      </c>
      <c r="AC43" s="18">
        <v>1.8354299999999999</v>
      </c>
      <c r="AD43" s="18">
        <v>1.8451299999999999</v>
      </c>
      <c r="AE43" s="18">
        <v>1.8549199999999999</v>
      </c>
      <c r="AF43" s="18">
        <v>1.8648199999999999</v>
      </c>
      <c r="AG43" s="18">
        <v>1.87479</v>
      </c>
      <c r="AH43" s="18">
        <v>1.88486</v>
      </c>
      <c r="AI43" s="18">
        <v>1.8950199999999999</v>
      </c>
      <c r="AJ43" s="18">
        <v>1.90526</v>
      </c>
      <c r="AK43" s="18">
        <v>1.9155899999999999</v>
      </c>
      <c r="AL43" s="18">
        <v>1.92601</v>
      </c>
      <c r="AM43" s="18">
        <v>1.93651</v>
      </c>
      <c r="AN43" s="18">
        <v>1.9471000000000001</v>
      </c>
      <c r="AO43" s="18">
        <v>1.9577599999999999</v>
      </c>
      <c r="AP43" s="18">
        <v>1.96852</v>
      </c>
      <c r="AQ43" s="19">
        <v>1.9793499999999999</v>
      </c>
    </row>
    <row r="44" spans="1:43" x14ac:dyDescent="0.2">
      <c r="A44" s="16">
        <v>230</v>
      </c>
      <c r="B44" s="18">
        <v>1.77525</v>
      </c>
      <c r="C44" s="18">
        <v>1.76647</v>
      </c>
      <c r="D44" s="18">
        <v>1.75763</v>
      </c>
      <c r="E44" s="18">
        <v>1.7487299999999999</v>
      </c>
      <c r="F44" s="18">
        <v>1.73977</v>
      </c>
      <c r="G44" s="18">
        <v>1.73075</v>
      </c>
      <c r="H44" s="18">
        <v>1.7216800000000001</v>
      </c>
      <c r="I44" s="18">
        <v>1.71254</v>
      </c>
      <c r="J44" s="18">
        <v>1.7033499999999999</v>
      </c>
      <c r="K44" s="18">
        <v>1.6940999999999999</v>
      </c>
      <c r="L44" s="18">
        <v>1.68479</v>
      </c>
      <c r="M44" s="18">
        <v>1.67544</v>
      </c>
      <c r="N44" s="18">
        <v>1.6660200000000001</v>
      </c>
      <c r="O44" s="18">
        <v>1.65655</v>
      </c>
      <c r="P44" s="18">
        <v>1.64703</v>
      </c>
      <c r="Q44" s="18">
        <v>1.6374599999999999</v>
      </c>
      <c r="R44" s="18">
        <v>1.62784</v>
      </c>
      <c r="S44" s="18">
        <v>1.61816</v>
      </c>
      <c r="T44" s="18">
        <v>1.6084400000000001</v>
      </c>
      <c r="U44" s="19">
        <v>1.5986800000000001</v>
      </c>
      <c r="W44" s="16">
        <v>230</v>
      </c>
      <c r="X44" s="18">
        <v>1.7927</v>
      </c>
      <c r="Y44" s="18">
        <v>1.8015399999999999</v>
      </c>
      <c r="Z44" s="18">
        <v>1.8104499999999999</v>
      </c>
      <c r="AA44" s="18">
        <v>1.81945</v>
      </c>
      <c r="AB44" s="18">
        <v>1.8285400000000001</v>
      </c>
      <c r="AC44" s="18">
        <v>1.83771</v>
      </c>
      <c r="AD44" s="18">
        <v>1.84697</v>
      </c>
      <c r="AE44" s="18">
        <v>1.85632</v>
      </c>
      <c r="AF44" s="18">
        <v>1.86574</v>
      </c>
      <c r="AG44" s="18">
        <v>1.87524</v>
      </c>
      <c r="AH44" s="18">
        <v>1.88483</v>
      </c>
      <c r="AI44" s="18">
        <v>1.8945000000000001</v>
      </c>
      <c r="AJ44" s="18">
        <v>1.9042399999999999</v>
      </c>
      <c r="AK44" s="18">
        <v>1.9140699999999999</v>
      </c>
      <c r="AL44" s="18">
        <v>1.92398</v>
      </c>
      <c r="AM44" s="18">
        <v>1.93397</v>
      </c>
      <c r="AN44" s="18">
        <v>1.9440299999999999</v>
      </c>
      <c r="AO44" s="18">
        <v>1.95417</v>
      </c>
      <c r="AP44" s="18">
        <v>1.9643900000000001</v>
      </c>
      <c r="AQ44" s="19">
        <v>1.9746699999999999</v>
      </c>
    </row>
    <row r="45" spans="1:43" x14ac:dyDescent="0.2">
      <c r="A45" s="16">
        <v>240</v>
      </c>
      <c r="B45" s="18">
        <v>1.7801199999999999</v>
      </c>
      <c r="C45" s="18">
        <v>1.7717099999999999</v>
      </c>
      <c r="D45" s="18">
        <v>1.76325</v>
      </c>
      <c r="E45" s="18">
        <v>1.7547299999999999</v>
      </c>
      <c r="F45" s="18">
        <v>1.7461599999999999</v>
      </c>
      <c r="G45" s="18">
        <v>1.73752</v>
      </c>
      <c r="H45" s="18">
        <v>1.7288300000000001</v>
      </c>
      <c r="I45" s="18">
        <v>1.7200899999999999</v>
      </c>
      <c r="J45" s="18">
        <v>1.71129</v>
      </c>
      <c r="K45" s="18">
        <v>1.70245</v>
      </c>
      <c r="L45" s="18">
        <v>1.69356</v>
      </c>
      <c r="M45" s="18">
        <v>1.6846000000000001</v>
      </c>
      <c r="N45" s="18">
        <v>1.67561</v>
      </c>
      <c r="O45" s="18">
        <v>1.66656</v>
      </c>
      <c r="P45" s="18">
        <v>1.6574599999999999</v>
      </c>
      <c r="Q45" s="18">
        <v>1.64832</v>
      </c>
      <c r="R45" s="18">
        <v>1.63913</v>
      </c>
      <c r="S45" s="18">
        <v>1.62988</v>
      </c>
      <c r="T45" s="18">
        <v>1.6206</v>
      </c>
      <c r="U45" s="19">
        <v>1.61128</v>
      </c>
      <c r="W45" s="16">
        <v>240</v>
      </c>
      <c r="X45" s="18">
        <v>1.7968500000000001</v>
      </c>
      <c r="Y45" s="18">
        <v>1.8052999999999999</v>
      </c>
      <c r="Z45" s="18">
        <v>1.8138399999999999</v>
      </c>
      <c r="AA45" s="18">
        <v>1.82246</v>
      </c>
      <c r="AB45" s="18">
        <v>1.8311500000000001</v>
      </c>
      <c r="AC45" s="18">
        <v>1.83992</v>
      </c>
      <c r="AD45" s="18">
        <v>1.84876</v>
      </c>
      <c r="AE45" s="18">
        <v>1.8576900000000001</v>
      </c>
      <c r="AF45" s="18">
        <v>1.86669</v>
      </c>
      <c r="AG45" s="18">
        <v>1.8757600000000001</v>
      </c>
      <c r="AH45" s="18">
        <v>1.8849199999999999</v>
      </c>
      <c r="AI45" s="18">
        <v>1.89415</v>
      </c>
      <c r="AJ45" s="18">
        <v>1.9034500000000001</v>
      </c>
      <c r="AK45" s="18">
        <v>1.91282</v>
      </c>
      <c r="AL45" s="18">
        <v>1.9222600000000001</v>
      </c>
      <c r="AM45" s="18">
        <v>1.9317800000000001</v>
      </c>
      <c r="AN45" s="18">
        <v>1.94137</v>
      </c>
      <c r="AO45" s="18">
        <v>1.95102</v>
      </c>
      <c r="AP45" s="18">
        <v>1.96075</v>
      </c>
      <c r="AQ45" s="19">
        <v>1.97055</v>
      </c>
    </row>
    <row r="46" spans="1:43" x14ac:dyDescent="0.2">
      <c r="A46" s="16">
        <v>250</v>
      </c>
      <c r="B46" s="18">
        <v>1.7846900000000001</v>
      </c>
      <c r="C46" s="18">
        <v>1.7766200000000001</v>
      </c>
      <c r="D46" s="18">
        <v>1.76851</v>
      </c>
      <c r="E46" s="18">
        <v>1.76033</v>
      </c>
      <c r="F46" s="18">
        <v>1.7521100000000001</v>
      </c>
      <c r="G46" s="18">
        <v>1.74383</v>
      </c>
      <c r="H46" s="18">
        <v>1.7355</v>
      </c>
      <c r="I46" s="18">
        <v>1.7271300000000001</v>
      </c>
      <c r="J46" s="18">
        <v>1.7186999999999999</v>
      </c>
      <c r="K46" s="18">
        <v>1.7102200000000001</v>
      </c>
      <c r="L46" s="18">
        <v>1.7017</v>
      </c>
      <c r="M46" s="18">
        <v>1.69312</v>
      </c>
      <c r="N46" s="18">
        <v>1.68451</v>
      </c>
      <c r="O46" s="18">
        <v>1.67584</v>
      </c>
      <c r="P46" s="18">
        <v>1.6671400000000001</v>
      </c>
      <c r="Q46" s="18">
        <v>1.65838</v>
      </c>
      <c r="R46" s="18">
        <v>1.6495899999999999</v>
      </c>
      <c r="S46" s="18">
        <v>1.6407400000000001</v>
      </c>
      <c r="T46" s="18">
        <v>1.6318600000000001</v>
      </c>
      <c r="U46" s="19">
        <v>1.62293</v>
      </c>
      <c r="W46" s="16">
        <v>250</v>
      </c>
      <c r="X46" s="18">
        <v>1.8007500000000001</v>
      </c>
      <c r="Y46" s="18">
        <v>1.80887</v>
      </c>
      <c r="Z46" s="18">
        <v>1.8170599999999999</v>
      </c>
      <c r="AA46" s="18">
        <v>1.82531</v>
      </c>
      <c r="AB46" s="18">
        <v>1.8336399999999999</v>
      </c>
      <c r="AC46" s="18">
        <v>1.8420399999999999</v>
      </c>
      <c r="AD46" s="18">
        <v>1.8505100000000001</v>
      </c>
      <c r="AE46" s="18">
        <v>1.8590599999999999</v>
      </c>
      <c r="AF46" s="18">
        <v>1.86768</v>
      </c>
      <c r="AG46" s="18">
        <v>1.87636</v>
      </c>
      <c r="AH46" s="18">
        <v>1.8851100000000001</v>
      </c>
      <c r="AI46" s="18">
        <v>1.8939299999999999</v>
      </c>
      <c r="AJ46" s="18">
        <v>1.90282</v>
      </c>
      <c r="AK46" s="18">
        <v>1.91178</v>
      </c>
      <c r="AL46" s="18">
        <v>1.9208000000000001</v>
      </c>
      <c r="AM46" s="18">
        <v>1.9298900000000001</v>
      </c>
      <c r="AN46" s="18">
        <v>1.9390400000000001</v>
      </c>
      <c r="AO46" s="18">
        <v>1.9482699999999999</v>
      </c>
      <c r="AP46" s="18">
        <v>1.9575499999999999</v>
      </c>
      <c r="AQ46" s="19">
        <v>1.9669000000000001</v>
      </c>
    </row>
    <row r="47" spans="1:43" x14ac:dyDescent="0.2">
      <c r="A47" s="16">
        <v>260</v>
      </c>
      <c r="B47" s="18">
        <v>1.7889999999999999</v>
      </c>
      <c r="C47" s="18">
        <v>1.78125</v>
      </c>
      <c r="D47" s="18">
        <v>1.7734399999999999</v>
      </c>
      <c r="E47" s="18">
        <v>1.7655799999999999</v>
      </c>
      <c r="F47" s="18">
        <v>1.7576799999999999</v>
      </c>
      <c r="G47" s="18">
        <v>1.74973</v>
      </c>
      <c r="H47" s="18">
        <v>1.74173</v>
      </c>
      <c r="I47" s="18">
        <v>1.73369</v>
      </c>
      <c r="J47" s="18">
        <v>1.7256100000000001</v>
      </c>
      <c r="K47" s="18">
        <v>1.7174700000000001</v>
      </c>
      <c r="L47" s="18">
        <v>1.7092799999999999</v>
      </c>
      <c r="M47" s="18">
        <v>1.7010700000000001</v>
      </c>
      <c r="N47" s="18">
        <v>1.6928000000000001</v>
      </c>
      <c r="O47" s="18">
        <v>1.68449</v>
      </c>
      <c r="P47" s="18">
        <v>1.6761299999999999</v>
      </c>
      <c r="Q47" s="18">
        <v>1.66774</v>
      </c>
      <c r="R47" s="18">
        <v>1.6593</v>
      </c>
      <c r="S47" s="18">
        <v>1.65082</v>
      </c>
      <c r="T47" s="18">
        <v>1.6423099999999999</v>
      </c>
      <c r="U47" s="19">
        <v>1.63375</v>
      </c>
      <c r="W47" s="16">
        <v>260</v>
      </c>
      <c r="X47" s="18">
        <v>1.80444</v>
      </c>
      <c r="Y47" s="18">
        <v>1.81223</v>
      </c>
      <c r="Z47" s="18">
        <v>1.8201000000000001</v>
      </c>
      <c r="AA47" s="18">
        <v>1.82803</v>
      </c>
      <c r="AB47" s="18">
        <v>1.8360300000000001</v>
      </c>
      <c r="AC47" s="18">
        <v>1.84409</v>
      </c>
      <c r="AD47" s="18">
        <v>1.85222</v>
      </c>
      <c r="AE47" s="18">
        <v>1.8604099999999999</v>
      </c>
      <c r="AF47" s="18">
        <v>1.8686700000000001</v>
      </c>
      <c r="AG47" s="18">
        <v>1.8769899999999999</v>
      </c>
      <c r="AH47" s="18">
        <v>1.8853800000000001</v>
      </c>
      <c r="AI47" s="18">
        <v>1.8938299999999999</v>
      </c>
      <c r="AJ47" s="18">
        <v>1.9023399999999999</v>
      </c>
      <c r="AK47" s="18">
        <v>1.91092</v>
      </c>
      <c r="AL47" s="18">
        <v>1.9195599999999999</v>
      </c>
      <c r="AM47" s="18">
        <v>1.9282600000000001</v>
      </c>
      <c r="AN47" s="18">
        <v>1.93702</v>
      </c>
      <c r="AO47" s="18">
        <v>1.9458299999999999</v>
      </c>
      <c r="AP47" s="18">
        <v>1.9547099999999999</v>
      </c>
      <c r="AQ47" s="19">
        <v>1.96366</v>
      </c>
    </row>
    <row r="48" spans="1:43" x14ac:dyDescent="0.2">
      <c r="A48" s="16">
        <v>270</v>
      </c>
      <c r="B48" s="18">
        <v>1.7930600000000001</v>
      </c>
      <c r="C48" s="18">
        <v>1.7856000000000001</v>
      </c>
      <c r="D48" s="18">
        <v>1.7780800000000001</v>
      </c>
      <c r="E48" s="18">
        <v>1.7705200000000001</v>
      </c>
      <c r="F48" s="18">
        <v>1.76292</v>
      </c>
      <c r="G48" s="18">
        <v>1.75528</v>
      </c>
      <c r="H48" s="18">
        <v>1.7475799999999999</v>
      </c>
      <c r="I48" s="18">
        <v>1.7398400000000001</v>
      </c>
      <c r="J48" s="18">
        <v>1.73207</v>
      </c>
      <c r="K48" s="18">
        <v>1.7242500000000001</v>
      </c>
      <c r="L48" s="18">
        <v>1.71638</v>
      </c>
      <c r="M48" s="18">
        <v>1.7084900000000001</v>
      </c>
      <c r="N48" s="18">
        <v>1.7005399999999999</v>
      </c>
      <c r="O48" s="18">
        <v>1.6925600000000001</v>
      </c>
      <c r="P48" s="18">
        <v>1.6845300000000001</v>
      </c>
      <c r="Q48" s="18">
        <v>1.6764699999999999</v>
      </c>
      <c r="R48" s="18">
        <v>1.6683600000000001</v>
      </c>
      <c r="S48" s="18">
        <v>1.66022</v>
      </c>
      <c r="T48" s="18">
        <v>1.65204</v>
      </c>
      <c r="U48" s="19">
        <v>1.6438200000000001</v>
      </c>
      <c r="W48" s="16">
        <v>270</v>
      </c>
      <c r="X48" s="18">
        <v>1.80792</v>
      </c>
      <c r="Y48" s="18">
        <v>1.8154300000000001</v>
      </c>
      <c r="Z48" s="18">
        <v>1.823</v>
      </c>
      <c r="AA48" s="18">
        <v>1.8306199999999999</v>
      </c>
      <c r="AB48" s="18">
        <v>1.8383100000000001</v>
      </c>
      <c r="AC48" s="18">
        <v>1.84606</v>
      </c>
      <c r="AD48" s="18">
        <v>1.8538699999999999</v>
      </c>
      <c r="AE48" s="18">
        <v>1.86174</v>
      </c>
      <c r="AF48" s="18">
        <v>1.8696699999999999</v>
      </c>
      <c r="AG48" s="18">
        <v>1.87767</v>
      </c>
      <c r="AH48" s="18">
        <v>1.8857200000000001</v>
      </c>
      <c r="AI48" s="18">
        <v>1.8938200000000001</v>
      </c>
      <c r="AJ48" s="18">
        <v>1.9019999999999999</v>
      </c>
      <c r="AK48" s="18">
        <v>1.9102300000000001</v>
      </c>
      <c r="AL48" s="18">
        <v>1.9185099999999999</v>
      </c>
      <c r="AM48" s="18">
        <v>1.9268400000000001</v>
      </c>
      <c r="AN48" s="18">
        <v>1.9352400000000001</v>
      </c>
      <c r="AO48" s="18">
        <v>1.9436899999999999</v>
      </c>
      <c r="AP48" s="18">
        <v>1.9521999999999999</v>
      </c>
      <c r="AQ48" s="19">
        <v>1.9607699999999999</v>
      </c>
    </row>
    <row r="49" spans="1:43" x14ac:dyDescent="0.2">
      <c r="A49" s="16">
        <v>280</v>
      </c>
      <c r="B49" s="18">
        <v>1.7968999999999999</v>
      </c>
      <c r="C49" s="18">
        <v>1.7897000000000001</v>
      </c>
      <c r="D49" s="18">
        <v>1.7824500000000001</v>
      </c>
      <c r="E49" s="18">
        <v>1.7751699999999999</v>
      </c>
      <c r="F49" s="18">
        <v>1.7678400000000001</v>
      </c>
      <c r="G49" s="18">
        <v>1.76048</v>
      </c>
      <c r="H49" s="18">
        <v>1.7530699999999999</v>
      </c>
      <c r="I49" s="18">
        <v>1.74563</v>
      </c>
      <c r="J49" s="18">
        <v>1.73814</v>
      </c>
      <c r="K49" s="18">
        <v>1.73061</v>
      </c>
      <c r="L49" s="18">
        <v>1.7230399999999999</v>
      </c>
      <c r="M49" s="18">
        <v>1.71543</v>
      </c>
      <c r="N49" s="18">
        <v>1.7077800000000001</v>
      </c>
      <c r="O49" s="18">
        <v>1.70011</v>
      </c>
      <c r="P49" s="18">
        <v>1.69238</v>
      </c>
      <c r="Q49" s="18">
        <v>1.6846300000000001</v>
      </c>
      <c r="R49" s="18">
        <v>1.67682</v>
      </c>
      <c r="S49" s="18">
        <v>1.669</v>
      </c>
      <c r="T49" s="18">
        <v>1.66113</v>
      </c>
      <c r="U49" s="19">
        <v>1.65323</v>
      </c>
      <c r="W49" s="16">
        <v>280</v>
      </c>
      <c r="X49" s="18">
        <v>1.8112299999999999</v>
      </c>
      <c r="Y49" s="18">
        <v>1.81846</v>
      </c>
      <c r="Z49" s="18">
        <v>1.82575</v>
      </c>
      <c r="AA49" s="18">
        <v>1.8330900000000001</v>
      </c>
      <c r="AB49" s="18">
        <v>1.8405100000000001</v>
      </c>
      <c r="AC49" s="18">
        <v>1.8479699999999999</v>
      </c>
      <c r="AD49" s="18">
        <v>1.8554900000000001</v>
      </c>
      <c r="AE49" s="18">
        <v>1.8630500000000001</v>
      </c>
      <c r="AF49" s="18">
        <v>1.8706799999999999</v>
      </c>
      <c r="AG49" s="18">
        <v>1.8783700000000001</v>
      </c>
      <c r="AH49" s="18">
        <v>1.88611</v>
      </c>
      <c r="AI49" s="18">
        <v>1.8938999999999999</v>
      </c>
      <c r="AJ49" s="18">
        <v>1.9017500000000001</v>
      </c>
      <c r="AK49" s="18">
        <v>1.9096500000000001</v>
      </c>
      <c r="AL49" s="18">
        <v>1.91761</v>
      </c>
      <c r="AM49" s="18">
        <v>1.9256200000000001</v>
      </c>
      <c r="AN49" s="18">
        <v>1.9336800000000001</v>
      </c>
      <c r="AO49" s="18">
        <v>1.9418</v>
      </c>
      <c r="AP49" s="18">
        <v>1.9499599999999999</v>
      </c>
      <c r="AQ49" s="19">
        <v>1.9581900000000001</v>
      </c>
    </row>
    <row r="50" spans="1:43" x14ac:dyDescent="0.2">
      <c r="A50" s="16">
        <v>290</v>
      </c>
      <c r="B50" s="18">
        <v>1.80053</v>
      </c>
      <c r="C50" s="18">
        <v>1.79358</v>
      </c>
      <c r="D50" s="18">
        <v>1.7866</v>
      </c>
      <c r="E50" s="18">
        <v>1.77956</v>
      </c>
      <c r="F50" s="18">
        <v>1.7725</v>
      </c>
      <c r="G50" s="18">
        <v>1.76539</v>
      </c>
      <c r="H50" s="18">
        <v>1.7582500000000001</v>
      </c>
      <c r="I50" s="18">
        <v>1.7510600000000001</v>
      </c>
      <c r="J50" s="18">
        <v>1.7438400000000001</v>
      </c>
      <c r="K50" s="18">
        <v>1.7365900000000001</v>
      </c>
      <c r="L50" s="18">
        <v>1.72929</v>
      </c>
      <c r="M50" s="18">
        <v>1.7219599999999999</v>
      </c>
      <c r="N50" s="18">
        <v>1.7145900000000001</v>
      </c>
      <c r="O50" s="18">
        <v>1.7071799999999999</v>
      </c>
      <c r="P50" s="18">
        <v>1.6997500000000001</v>
      </c>
      <c r="Q50" s="18">
        <v>1.6922699999999999</v>
      </c>
      <c r="R50" s="18">
        <v>1.6847700000000001</v>
      </c>
      <c r="S50" s="18">
        <v>1.6772199999999999</v>
      </c>
      <c r="T50" s="18">
        <v>1.66964</v>
      </c>
      <c r="U50" s="19">
        <v>1.66204</v>
      </c>
      <c r="W50" s="16">
        <v>290</v>
      </c>
      <c r="X50" s="18">
        <v>1.81436</v>
      </c>
      <c r="Y50" s="18">
        <v>1.82134</v>
      </c>
      <c r="Z50" s="18">
        <v>1.8283799999999999</v>
      </c>
      <c r="AA50" s="18">
        <v>1.8354600000000001</v>
      </c>
      <c r="AB50" s="18">
        <v>1.8426100000000001</v>
      </c>
      <c r="AC50" s="18">
        <v>1.8498000000000001</v>
      </c>
      <c r="AD50" s="18">
        <v>1.85704</v>
      </c>
      <c r="AE50" s="18">
        <v>1.8643400000000001</v>
      </c>
      <c r="AF50" s="18">
        <v>1.8716900000000001</v>
      </c>
      <c r="AG50" s="18">
        <v>1.8790899999999999</v>
      </c>
      <c r="AH50" s="18">
        <v>1.8865499999999999</v>
      </c>
      <c r="AI50" s="18">
        <v>1.89405</v>
      </c>
      <c r="AJ50" s="18">
        <v>1.90161</v>
      </c>
      <c r="AK50" s="18">
        <v>1.9092100000000001</v>
      </c>
      <c r="AL50" s="18">
        <v>1.91686</v>
      </c>
      <c r="AM50" s="18">
        <v>1.92456</v>
      </c>
      <c r="AN50" s="18">
        <v>1.93232</v>
      </c>
      <c r="AO50" s="18">
        <v>1.9401200000000001</v>
      </c>
      <c r="AP50" s="18">
        <v>1.94798</v>
      </c>
      <c r="AQ50" s="19">
        <v>1.95587</v>
      </c>
    </row>
    <row r="51" spans="1:43" x14ac:dyDescent="0.2">
      <c r="A51" s="16">
        <v>300</v>
      </c>
      <c r="B51" s="18">
        <v>1.8039799999999999</v>
      </c>
      <c r="C51" s="18">
        <v>1.7972600000000001</v>
      </c>
      <c r="D51" s="18">
        <v>1.79051</v>
      </c>
      <c r="E51" s="18">
        <v>1.7837099999999999</v>
      </c>
      <c r="F51" s="18">
        <v>1.7768900000000001</v>
      </c>
      <c r="G51" s="18">
        <v>1.77003</v>
      </c>
      <c r="H51" s="18">
        <v>1.7631300000000001</v>
      </c>
      <c r="I51" s="18">
        <v>1.7561899999999999</v>
      </c>
      <c r="J51" s="18">
        <v>1.7492099999999999</v>
      </c>
      <c r="K51" s="18">
        <v>1.7422200000000001</v>
      </c>
      <c r="L51" s="18">
        <v>1.7351799999999999</v>
      </c>
      <c r="M51" s="18">
        <v>1.7281</v>
      </c>
      <c r="N51" s="18">
        <v>1.72099</v>
      </c>
      <c r="O51" s="18">
        <v>1.7138500000000001</v>
      </c>
      <c r="P51" s="18">
        <v>1.7066699999999999</v>
      </c>
      <c r="Q51" s="18">
        <v>1.69946</v>
      </c>
      <c r="R51" s="18">
        <v>1.69221</v>
      </c>
      <c r="S51" s="18">
        <v>1.6849400000000001</v>
      </c>
      <c r="T51" s="18">
        <v>1.67764</v>
      </c>
      <c r="U51" s="19">
        <v>1.6702999999999999</v>
      </c>
      <c r="W51" s="16">
        <v>300</v>
      </c>
      <c r="X51" s="18">
        <v>1.81735</v>
      </c>
      <c r="Y51" s="18">
        <v>1.8241000000000001</v>
      </c>
      <c r="Z51" s="18">
        <v>1.8308800000000001</v>
      </c>
      <c r="AA51" s="18">
        <v>1.8377300000000001</v>
      </c>
      <c r="AB51" s="18">
        <v>1.84463</v>
      </c>
      <c r="AC51" s="18">
        <v>1.8515699999999999</v>
      </c>
      <c r="AD51" s="18">
        <v>1.85856</v>
      </c>
      <c r="AE51" s="18">
        <v>1.8655999999999999</v>
      </c>
      <c r="AF51" s="18">
        <v>1.87269</v>
      </c>
      <c r="AG51" s="18">
        <v>1.8798299999999999</v>
      </c>
      <c r="AH51" s="18">
        <v>1.8870199999999999</v>
      </c>
      <c r="AI51" s="18">
        <v>1.89425</v>
      </c>
      <c r="AJ51" s="18">
        <v>1.9015200000000001</v>
      </c>
      <c r="AK51" s="18">
        <v>1.9088499999999999</v>
      </c>
      <c r="AL51" s="18">
        <v>1.9162300000000001</v>
      </c>
      <c r="AM51" s="18">
        <v>1.9236500000000001</v>
      </c>
      <c r="AN51" s="18">
        <v>1.9311100000000001</v>
      </c>
      <c r="AO51" s="18">
        <v>1.9386300000000001</v>
      </c>
      <c r="AP51" s="18">
        <v>1.9461900000000001</v>
      </c>
      <c r="AQ51" s="19">
        <v>1.9537899999999999</v>
      </c>
    </row>
    <row r="52" spans="1:43" x14ac:dyDescent="0.2">
      <c r="A52" s="16">
        <v>310</v>
      </c>
      <c r="B52" s="18">
        <v>1.80725</v>
      </c>
      <c r="C52" s="18">
        <v>1.8007599999999999</v>
      </c>
      <c r="D52" s="18">
        <v>1.7942199999999999</v>
      </c>
      <c r="E52" s="18">
        <v>1.78766</v>
      </c>
      <c r="F52" s="18">
        <v>1.78105</v>
      </c>
      <c r="G52" s="18">
        <v>1.77441</v>
      </c>
      <c r="H52" s="18">
        <v>1.7677400000000001</v>
      </c>
      <c r="I52" s="18">
        <v>1.7610399999999999</v>
      </c>
      <c r="J52" s="18">
        <v>1.7543</v>
      </c>
      <c r="K52" s="18">
        <v>1.74753</v>
      </c>
      <c r="L52" s="18">
        <v>1.74072</v>
      </c>
      <c r="M52" s="18">
        <v>1.7338899999999999</v>
      </c>
      <c r="N52" s="18">
        <v>1.7270300000000001</v>
      </c>
      <c r="O52" s="18">
        <v>1.7201200000000001</v>
      </c>
      <c r="P52" s="18">
        <v>1.71319</v>
      </c>
      <c r="Q52" s="18">
        <v>1.7062200000000001</v>
      </c>
      <c r="R52" s="18">
        <v>1.69923</v>
      </c>
      <c r="S52" s="18">
        <v>1.69221</v>
      </c>
      <c r="T52" s="18">
        <v>1.68516</v>
      </c>
      <c r="U52" s="19">
        <v>1.67807</v>
      </c>
      <c r="W52" s="16">
        <v>310</v>
      </c>
      <c r="X52" s="18">
        <v>1.82019</v>
      </c>
      <c r="Y52" s="18">
        <v>1.8267199999999999</v>
      </c>
      <c r="Z52" s="18">
        <v>1.8332900000000001</v>
      </c>
      <c r="AA52" s="18">
        <v>1.8399099999999999</v>
      </c>
      <c r="AB52" s="18">
        <v>1.84657</v>
      </c>
      <c r="AC52" s="18">
        <v>1.85328</v>
      </c>
      <c r="AD52" s="18">
        <v>1.8600300000000001</v>
      </c>
      <c r="AE52" s="18">
        <v>1.86683</v>
      </c>
      <c r="AF52" s="18">
        <v>1.87368</v>
      </c>
      <c r="AG52" s="18">
        <v>1.8805799999999999</v>
      </c>
      <c r="AH52" s="18">
        <v>1.88751</v>
      </c>
      <c r="AI52" s="18">
        <v>1.89449</v>
      </c>
      <c r="AJ52" s="18">
        <v>1.9015200000000001</v>
      </c>
      <c r="AK52" s="18">
        <v>1.90859</v>
      </c>
      <c r="AL52" s="18">
        <v>1.91571</v>
      </c>
      <c r="AM52" s="18">
        <v>1.92286</v>
      </c>
      <c r="AN52" s="18">
        <v>1.9300600000000001</v>
      </c>
      <c r="AO52" s="18">
        <v>1.9373100000000001</v>
      </c>
      <c r="AP52" s="18">
        <v>1.94459</v>
      </c>
      <c r="AQ52" s="19">
        <v>1.9519200000000001</v>
      </c>
    </row>
    <row r="53" spans="1:43" x14ac:dyDescent="0.2">
      <c r="A53" s="16">
        <v>320</v>
      </c>
      <c r="B53" s="18">
        <v>1.81037</v>
      </c>
      <c r="C53" s="18">
        <v>1.8040799999999999</v>
      </c>
      <c r="D53" s="18">
        <v>1.79775</v>
      </c>
      <c r="E53" s="18">
        <v>1.79139</v>
      </c>
      <c r="F53" s="18">
        <v>1.7849999999999999</v>
      </c>
      <c r="G53" s="18">
        <v>1.77857</v>
      </c>
      <c r="H53" s="18">
        <v>1.7721100000000001</v>
      </c>
      <c r="I53" s="18">
        <v>1.76563</v>
      </c>
      <c r="J53" s="18">
        <v>1.75911</v>
      </c>
      <c r="K53" s="18">
        <v>1.7525599999999999</v>
      </c>
      <c r="L53" s="18">
        <v>1.7459800000000001</v>
      </c>
      <c r="M53" s="18">
        <v>1.7393700000000001</v>
      </c>
      <c r="N53" s="18">
        <v>1.73272</v>
      </c>
      <c r="O53" s="18">
        <v>1.7260500000000001</v>
      </c>
      <c r="P53" s="18">
        <v>1.7193499999999999</v>
      </c>
      <c r="Q53" s="18">
        <v>1.71262</v>
      </c>
      <c r="R53" s="18">
        <v>1.7058500000000001</v>
      </c>
      <c r="S53" s="18">
        <v>1.69906</v>
      </c>
      <c r="T53" s="18">
        <v>1.69225</v>
      </c>
      <c r="U53" s="19">
        <v>1.6854</v>
      </c>
      <c r="W53" s="16">
        <v>320</v>
      </c>
      <c r="X53" s="18">
        <v>1.82291</v>
      </c>
      <c r="Y53" s="18">
        <v>1.8292200000000001</v>
      </c>
      <c r="Z53" s="18">
        <v>1.8355900000000001</v>
      </c>
      <c r="AA53" s="18">
        <v>1.84199</v>
      </c>
      <c r="AB53" s="18">
        <v>1.8484400000000001</v>
      </c>
      <c r="AC53" s="18">
        <v>1.85494</v>
      </c>
      <c r="AD53" s="18">
        <v>1.86147</v>
      </c>
      <c r="AE53" s="18">
        <v>1.8680399999999999</v>
      </c>
      <c r="AF53" s="18">
        <v>1.87466</v>
      </c>
      <c r="AG53" s="18">
        <v>1.8813299999999999</v>
      </c>
      <c r="AH53" s="18">
        <v>1.8880399999999999</v>
      </c>
      <c r="AI53" s="18">
        <v>1.8947799999999999</v>
      </c>
      <c r="AJ53" s="18">
        <v>1.9015599999999999</v>
      </c>
      <c r="AK53" s="18">
        <v>1.9084000000000001</v>
      </c>
      <c r="AL53" s="18">
        <v>1.91527</v>
      </c>
      <c r="AM53" s="18">
        <v>1.92218</v>
      </c>
      <c r="AN53" s="18">
        <v>1.92913</v>
      </c>
      <c r="AO53" s="18">
        <v>1.9361299999999999</v>
      </c>
      <c r="AP53" s="18">
        <v>1.94316</v>
      </c>
      <c r="AQ53" s="19">
        <v>1.95024</v>
      </c>
    </row>
    <row r="54" spans="1:43" x14ac:dyDescent="0.2">
      <c r="A54" s="16">
        <v>330</v>
      </c>
      <c r="B54" s="18">
        <v>1.81335</v>
      </c>
      <c r="C54" s="18">
        <v>1.80724</v>
      </c>
      <c r="D54" s="18">
        <v>1.80111</v>
      </c>
      <c r="E54" s="18">
        <v>1.79495</v>
      </c>
      <c r="F54" s="18">
        <v>1.7887599999999999</v>
      </c>
      <c r="G54" s="18">
        <v>1.7825200000000001</v>
      </c>
      <c r="H54" s="18">
        <v>1.77627</v>
      </c>
      <c r="I54" s="18">
        <v>1.76999</v>
      </c>
      <c r="J54" s="18">
        <v>1.7636700000000001</v>
      </c>
      <c r="K54" s="18">
        <v>1.7573300000000001</v>
      </c>
      <c r="L54" s="18">
        <v>1.75095</v>
      </c>
      <c r="M54" s="18">
        <v>1.74455</v>
      </c>
      <c r="N54" s="18">
        <v>1.7381200000000001</v>
      </c>
      <c r="O54" s="18">
        <v>1.7316499999999999</v>
      </c>
      <c r="P54" s="18">
        <v>1.7251700000000001</v>
      </c>
      <c r="Q54" s="18">
        <v>1.71865</v>
      </c>
      <c r="R54" s="18">
        <v>1.7121</v>
      </c>
      <c r="S54" s="18">
        <v>1.7055400000000001</v>
      </c>
      <c r="T54" s="18">
        <v>1.6989300000000001</v>
      </c>
      <c r="U54" s="19">
        <v>1.69231</v>
      </c>
      <c r="W54" s="16">
        <v>330</v>
      </c>
      <c r="X54" s="18">
        <v>1.8254999999999999</v>
      </c>
      <c r="Y54" s="18">
        <v>1.83162</v>
      </c>
      <c r="Z54" s="18">
        <v>1.83779</v>
      </c>
      <c r="AA54" s="18">
        <v>1.8440000000000001</v>
      </c>
      <c r="AB54" s="18">
        <v>1.8502400000000001</v>
      </c>
      <c r="AC54" s="18">
        <v>1.85653</v>
      </c>
      <c r="AD54" s="18">
        <v>1.86286</v>
      </c>
      <c r="AE54" s="18">
        <v>1.8692299999999999</v>
      </c>
      <c r="AF54" s="18">
        <v>1.8756299999999999</v>
      </c>
      <c r="AG54" s="18">
        <v>1.88209</v>
      </c>
      <c r="AH54" s="18">
        <v>1.8885700000000001</v>
      </c>
      <c r="AI54" s="18">
        <v>1.8951</v>
      </c>
      <c r="AJ54" s="18">
        <v>1.90167</v>
      </c>
      <c r="AK54" s="18">
        <v>1.9082699999999999</v>
      </c>
      <c r="AL54" s="18">
        <v>1.91492</v>
      </c>
      <c r="AM54" s="18">
        <v>1.9215899999999999</v>
      </c>
      <c r="AN54" s="18">
        <v>1.92832</v>
      </c>
      <c r="AO54" s="18">
        <v>1.9350700000000001</v>
      </c>
      <c r="AP54" s="18">
        <v>1.94187</v>
      </c>
      <c r="AQ54" s="19">
        <v>1.9487000000000001</v>
      </c>
    </row>
    <row r="55" spans="1:43" x14ac:dyDescent="0.2">
      <c r="A55" s="16">
        <v>340</v>
      </c>
      <c r="B55" s="18">
        <v>1.8161799999999999</v>
      </c>
      <c r="C55" s="18">
        <v>1.81026</v>
      </c>
      <c r="D55" s="18">
        <v>1.8043199999999999</v>
      </c>
      <c r="E55" s="18">
        <v>1.79834</v>
      </c>
      <c r="F55" s="18">
        <v>1.79233</v>
      </c>
      <c r="G55" s="18">
        <v>1.7862899999999999</v>
      </c>
      <c r="H55" s="18">
        <v>1.7802199999999999</v>
      </c>
      <c r="I55" s="18">
        <v>1.77413</v>
      </c>
      <c r="J55" s="18">
        <v>1.768</v>
      </c>
      <c r="K55" s="18">
        <v>1.7618499999999999</v>
      </c>
      <c r="L55" s="18">
        <v>1.7556700000000001</v>
      </c>
      <c r="M55" s="18">
        <v>1.7494700000000001</v>
      </c>
      <c r="N55" s="18">
        <v>1.7432300000000001</v>
      </c>
      <c r="O55" s="18">
        <v>1.7369699999999999</v>
      </c>
      <c r="P55" s="18">
        <v>1.73068</v>
      </c>
      <c r="Q55" s="18">
        <v>1.72437</v>
      </c>
      <c r="R55" s="18">
        <v>1.7180299999999999</v>
      </c>
      <c r="S55" s="18">
        <v>1.71166</v>
      </c>
      <c r="T55" s="18">
        <v>1.7052700000000001</v>
      </c>
      <c r="U55" s="19">
        <v>1.69885</v>
      </c>
      <c r="W55" s="16">
        <v>340</v>
      </c>
      <c r="X55" s="18">
        <v>1.82799</v>
      </c>
      <c r="Y55" s="18">
        <v>1.83392</v>
      </c>
      <c r="Z55" s="18">
        <v>1.8399000000000001</v>
      </c>
      <c r="AA55" s="18">
        <v>1.84592</v>
      </c>
      <c r="AB55" s="18">
        <v>1.85198</v>
      </c>
      <c r="AC55" s="18">
        <v>1.85808</v>
      </c>
      <c r="AD55" s="18">
        <v>1.8642000000000001</v>
      </c>
      <c r="AE55" s="18">
        <v>1.8703799999999999</v>
      </c>
      <c r="AF55" s="18">
        <v>1.87659</v>
      </c>
      <c r="AG55" s="18">
        <v>1.8828400000000001</v>
      </c>
      <c r="AH55" s="18">
        <v>1.88913</v>
      </c>
      <c r="AI55" s="18">
        <v>1.8954500000000001</v>
      </c>
      <c r="AJ55" s="18">
        <v>1.9017999999999999</v>
      </c>
      <c r="AK55" s="18">
        <v>1.9081900000000001</v>
      </c>
      <c r="AL55" s="18">
        <v>1.9146300000000001</v>
      </c>
      <c r="AM55" s="18">
        <v>1.92109</v>
      </c>
      <c r="AN55" s="18">
        <v>1.9276</v>
      </c>
      <c r="AO55" s="18">
        <v>1.93414</v>
      </c>
      <c r="AP55" s="18">
        <v>1.94072</v>
      </c>
      <c r="AQ55" s="19">
        <v>1.9473199999999999</v>
      </c>
    </row>
    <row r="56" spans="1:43" x14ac:dyDescent="0.2">
      <c r="A56" s="16">
        <v>350</v>
      </c>
      <c r="B56" s="18">
        <v>1.8189</v>
      </c>
      <c r="C56" s="18">
        <v>1.81315</v>
      </c>
      <c r="D56" s="18">
        <v>1.8073699999999999</v>
      </c>
      <c r="E56" s="18">
        <v>1.8015699999999999</v>
      </c>
      <c r="F56" s="18">
        <v>1.79573</v>
      </c>
      <c r="G56" s="18">
        <v>1.7898700000000001</v>
      </c>
      <c r="H56" s="18">
        <v>1.7839799999999999</v>
      </c>
      <c r="I56" s="18">
        <v>1.77806</v>
      </c>
      <c r="J56" s="18">
        <v>1.7721100000000001</v>
      </c>
      <c r="K56" s="18">
        <v>1.7661500000000001</v>
      </c>
      <c r="L56" s="18">
        <v>1.7601500000000001</v>
      </c>
      <c r="M56" s="18">
        <v>1.75414</v>
      </c>
      <c r="N56" s="18">
        <v>1.7480800000000001</v>
      </c>
      <c r="O56" s="18">
        <v>1.7420100000000001</v>
      </c>
      <c r="P56" s="18">
        <v>1.7359199999999999</v>
      </c>
      <c r="Q56" s="18">
        <v>1.7297899999999999</v>
      </c>
      <c r="R56" s="18">
        <v>1.7236400000000001</v>
      </c>
      <c r="S56" s="18">
        <v>1.7174700000000001</v>
      </c>
      <c r="T56" s="18">
        <v>1.7112700000000001</v>
      </c>
      <c r="U56" s="19">
        <v>1.70505</v>
      </c>
      <c r="W56" s="16">
        <v>350</v>
      </c>
      <c r="X56" s="18">
        <v>1.83036</v>
      </c>
      <c r="Y56" s="18">
        <v>1.83613</v>
      </c>
      <c r="Z56" s="18">
        <v>1.8419300000000001</v>
      </c>
      <c r="AA56" s="18">
        <v>1.84778</v>
      </c>
      <c r="AB56" s="18">
        <v>1.8536600000000001</v>
      </c>
      <c r="AC56" s="18">
        <v>1.8595699999999999</v>
      </c>
      <c r="AD56" s="18">
        <v>1.8655299999999999</v>
      </c>
      <c r="AE56" s="18">
        <v>1.87151</v>
      </c>
      <c r="AF56" s="18">
        <v>1.8775299999999999</v>
      </c>
      <c r="AG56" s="18">
        <v>1.8835900000000001</v>
      </c>
      <c r="AH56" s="18">
        <v>1.8896900000000001</v>
      </c>
      <c r="AI56" s="18">
        <v>1.89581</v>
      </c>
      <c r="AJ56" s="18">
        <v>1.90198</v>
      </c>
      <c r="AK56" s="18">
        <v>1.90818</v>
      </c>
      <c r="AL56" s="18">
        <v>1.9144099999999999</v>
      </c>
      <c r="AM56" s="18">
        <v>1.9206799999999999</v>
      </c>
      <c r="AN56" s="18">
        <v>1.9269799999999999</v>
      </c>
      <c r="AO56" s="18">
        <v>1.9333100000000001</v>
      </c>
      <c r="AP56" s="18">
        <v>1.93967</v>
      </c>
      <c r="AQ56" s="19">
        <v>1.94608</v>
      </c>
    </row>
    <row r="57" spans="1:43" x14ac:dyDescent="0.2">
      <c r="A57" s="16">
        <v>360</v>
      </c>
      <c r="B57" s="18">
        <v>1.8214999999999999</v>
      </c>
      <c r="C57" s="18">
        <v>1.8159099999999999</v>
      </c>
      <c r="D57" s="18">
        <v>1.81029</v>
      </c>
      <c r="E57" s="18">
        <v>1.8046500000000001</v>
      </c>
      <c r="F57" s="18">
        <v>1.79898</v>
      </c>
      <c r="G57" s="18">
        <v>1.79328</v>
      </c>
      <c r="H57" s="18">
        <v>1.78756</v>
      </c>
      <c r="I57" s="18">
        <v>1.78182</v>
      </c>
      <c r="J57" s="18">
        <v>1.7760400000000001</v>
      </c>
      <c r="K57" s="18">
        <v>1.7702500000000001</v>
      </c>
      <c r="L57" s="18">
        <v>1.7644200000000001</v>
      </c>
      <c r="M57" s="18">
        <v>1.75858</v>
      </c>
      <c r="N57" s="18">
        <v>1.7526999999999999</v>
      </c>
      <c r="O57" s="18">
        <v>1.74681</v>
      </c>
      <c r="P57" s="18">
        <v>1.74089</v>
      </c>
      <c r="Q57" s="18">
        <v>1.7349399999999999</v>
      </c>
      <c r="R57" s="18">
        <v>1.72898</v>
      </c>
      <c r="S57" s="18">
        <v>1.72299</v>
      </c>
      <c r="T57" s="18">
        <v>1.7169700000000001</v>
      </c>
      <c r="U57" s="19">
        <v>1.7109399999999999</v>
      </c>
      <c r="W57" s="16">
        <v>360</v>
      </c>
      <c r="X57" s="18">
        <v>1.83264</v>
      </c>
      <c r="Y57" s="18">
        <v>1.8382499999999999</v>
      </c>
      <c r="Z57" s="18">
        <v>1.84389</v>
      </c>
      <c r="AA57" s="18">
        <v>1.8495699999999999</v>
      </c>
      <c r="AB57" s="18">
        <v>1.85527</v>
      </c>
      <c r="AC57" s="18">
        <v>1.8610199999999999</v>
      </c>
      <c r="AD57" s="18">
        <v>1.8668100000000001</v>
      </c>
      <c r="AE57" s="18">
        <v>1.8726100000000001</v>
      </c>
      <c r="AF57" s="18">
        <v>1.87846</v>
      </c>
      <c r="AG57" s="18">
        <v>1.8843399999999999</v>
      </c>
      <c r="AH57" s="18">
        <v>1.8902600000000001</v>
      </c>
      <c r="AI57" s="18">
        <v>1.8962000000000001</v>
      </c>
      <c r="AJ57" s="18">
        <v>1.90218</v>
      </c>
      <c r="AK57" s="18">
        <v>1.9081900000000001</v>
      </c>
      <c r="AL57" s="18">
        <v>1.9142399999999999</v>
      </c>
      <c r="AM57" s="18">
        <v>1.92032</v>
      </c>
      <c r="AN57" s="18">
        <v>1.9264300000000001</v>
      </c>
      <c r="AO57" s="18">
        <v>1.9325699999999999</v>
      </c>
      <c r="AP57" s="18">
        <v>1.9387399999999999</v>
      </c>
      <c r="AQ57" s="19">
        <v>1.9449399999999999</v>
      </c>
    </row>
    <row r="58" spans="1:43" x14ac:dyDescent="0.2">
      <c r="A58" s="16">
        <v>370</v>
      </c>
      <c r="B58" s="18">
        <v>1.82399</v>
      </c>
      <c r="C58" s="18">
        <v>1.8185500000000001</v>
      </c>
      <c r="D58" s="18">
        <v>1.8130900000000001</v>
      </c>
      <c r="E58" s="18">
        <v>1.8076000000000001</v>
      </c>
      <c r="F58" s="18">
        <v>1.80209</v>
      </c>
      <c r="G58" s="18">
        <v>1.7965500000000001</v>
      </c>
      <c r="H58" s="18">
        <v>1.79098</v>
      </c>
      <c r="I58" s="18">
        <v>1.7854000000000001</v>
      </c>
      <c r="J58" s="18">
        <v>1.7797799999999999</v>
      </c>
      <c r="K58" s="18">
        <v>1.7741499999999999</v>
      </c>
      <c r="L58" s="18">
        <v>1.7684899999999999</v>
      </c>
      <c r="M58" s="18">
        <v>1.76281</v>
      </c>
      <c r="N58" s="18">
        <v>1.7571099999999999</v>
      </c>
      <c r="O58" s="18">
        <v>1.7513700000000001</v>
      </c>
      <c r="P58" s="18">
        <v>1.7456199999999999</v>
      </c>
      <c r="Q58" s="18">
        <v>1.7398499999999999</v>
      </c>
      <c r="R58" s="18">
        <v>1.7340599999999999</v>
      </c>
      <c r="S58" s="18">
        <v>1.72824</v>
      </c>
      <c r="T58" s="18">
        <v>1.7223999999999999</v>
      </c>
      <c r="U58" s="19">
        <v>1.7165299999999999</v>
      </c>
      <c r="W58" s="16">
        <v>370</v>
      </c>
      <c r="X58" s="18">
        <v>1.83483</v>
      </c>
      <c r="Y58" s="18">
        <v>1.84029</v>
      </c>
      <c r="Z58" s="18">
        <v>1.8457699999999999</v>
      </c>
      <c r="AA58" s="18">
        <v>1.8512900000000001</v>
      </c>
      <c r="AB58" s="18">
        <v>1.8568499999999999</v>
      </c>
      <c r="AC58" s="18">
        <v>1.86242</v>
      </c>
      <c r="AD58" s="18">
        <v>1.86805</v>
      </c>
      <c r="AE58" s="18">
        <v>1.8736900000000001</v>
      </c>
      <c r="AF58" s="18">
        <v>1.8793800000000001</v>
      </c>
      <c r="AG58" s="18">
        <v>1.8850899999999999</v>
      </c>
      <c r="AH58" s="18">
        <v>1.89083</v>
      </c>
      <c r="AI58" s="18">
        <v>1.8966000000000001</v>
      </c>
      <c r="AJ58" s="18">
        <v>1.9024099999999999</v>
      </c>
      <c r="AK58" s="18">
        <v>1.90825</v>
      </c>
      <c r="AL58" s="18">
        <v>1.91412</v>
      </c>
      <c r="AM58" s="18">
        <v>1.9200200000000001</v>
      </c>
      <c r="AN58" s="18">
        <v>1.9259500000000001</v>
      </c>
      <c r="AO58" s="18">
        <v>1.93191</v>
      </c>
      <c r="AP58" s="18">
        <v>1.9378899999999999</v>
      </c>
      <c r="AQ58" s="19">
        <v>1.9439200000000001</v>
      </c>
    </row>
    <row r="59" spans="1:43" x14ac:dyDescent="0.2">
      <c r="A59" s="16">
        <v>380</v>
      </c>
      <c r="B59" s="18">
        <v>1.82639</v>
      </c>
      <c r="C59" s="18">
        <v>1.8210900000000001</v>
      </c>
      <c r="D59" s="18">
        <v>1.8157700000000001</v>
      </c>
      <c r="E59" s="18">
        <v>1.81043</v>
      </c>
      <c r="F59" s="18">
        <v>1.8050600000000001</v>
      </c>
      <c r="G59" s="18">
        <v>1.7996700000000001</v>
      </c>
      <c r="H59" s="18">
        <v>1.79426</v>
      </c>
      <c r="I59" s="18">
        <v>1.7888299999999999</v>
      </c>
      <c r="J59" s="18">
        <v>1.7833600000000001</v>
      </c>
      <c r="K59" s="18">
        <v>1.7778799999999999</v>
      </c>
      <c r="L59" s="18">
        <v>1.7723800000000001</v>
      </c>
      <c r="M59" s="18">
        <v>1.76685</v>
      </c>
      <c r="N59" s="18">
        <v>1.7613000000000001</v>
      </c>
      <c r="O59" s="18">
        <v>1.75573</v>
      </c>
      <c r="P59" s="18">
        <v>1.75014</v>
      </c>
      <c r="Q59" s="18">
        <v>1.7445200000000001</v>
      </c>
      <c r="R59" s="18">
        <v>1.73889</v>
      </c>
      <c r="S59" s="18">
        <v>1.73323</v>
      </c>
      <c r="T59" s="18">
        <v>1.7275499999999999</v>
      </c>
      <c r="U59" s="19">
        <v>1.7218599999999999</v>
      </c>
      <c r="W59" s="16">
        <v>380</v>
      </c>
      <c r="X59" s="18">
        <v>1.83694</v>
      </c>
      <c r="Y59" s="18">
        <v>1.8422499999999999</v>
      </c>
      <c r="Z59" s="18">
        <v>1.84758</v>
      </c>
      <c r="AA59" s="18">
        <v>1.8529599999999999</v>
      </c>
      <c r="AB59" s="18">
        <v>1.85836</v>
      </c>
      <c r="AC59" s="18">
        <v>1.8637900000000001</v>
      </c>
      <c r="AD59" s="18">
        <v>1.8692500000000001</v>
      </c>
      <c r="AE59" s="18">
        <v>1.8747499999999999</v>
      </c>
      <c r="AF59" s="18">
        <v>1.8802700000000001</v>
      </c>
      <c r="AG59" s="18">
        <v>1.8858200000000001</v>
      </c>
      <c r="AH59" s="18">
        <v>1.89141</v>
      </c>
      <c r="AI59" s="18">
        <v>1.8970199999999999</v>
      </c>
      <c r="AJ59" s="18">
        <v>1.90266</v>
      </c>
      <c r="AK59" s="18">
        <v>1.9083399999999999</v>
      </c>
      <c r="AL59" s="18">
        <v>1.91404</v>
      </c>
      <c r="AM59" s="18">
        <v>1.91977</v>
      </c>
      <c r="AN59" s="18">
        <v>1.92553</v>
      </c>
      <c r="AO59" s="18">
        <v>1.9313199999999999</v>
      </c>
      <c r="AP59" s="18">
        <v>1.9371400000000001</v>
      </c>
      <c r="AQ59" s="19">
        <v>1.9429799999999999</v>
      </c>
    </row>
    <row r="60" spans="1:43" x14ac:dyDescent="0.2">
      <c r="A60" s="16">
        <v>390</v>
      </c>
      <c r="B60" s="18">
        <v>1.8286800000000001</v>
      </c>
      <c r="C60" s="18">
        <v>1.82352</v>
      </c>
      <c r="D60" s="18">
        <v>1.8183400000000001</v>
      </c>
      <c r="E60" s="18">
        <v>1.81314</v>
      </c>
      <c r="F60" s="18">
        <v>1.8079099999999999</v>
      </c>
      <c r="G60" s="18">
        <v>1.8026599999999999</v>
      </c>
      <c r="H60" s="18">
        <v>1.79739</v>
      </c>
      <c r="I60" s="18">
        <v>1.7921</v>
      </c>
      <c r="J60" s="18">
        <v>1.78678</v>
      </c>
      <c r="K60" s="18">
        <v>1.78145</v>
      </c>
      <c r="L60" s="18">
        <v>1.7760899999999999</v>
      </c>
      <c r="M60" s="18">
        <v>1.77071</v>
      </c>
      <c r="N60" s="18">
        <v>1.76532</v>
      </c>
      <c r="O60" s="18">
        <v>1.75989</v>
      </c>
      <c r="P60" s="18">
        <v>1.7544500000000001</v>
      </c>
      <c r="Q60" s="18">
        <v>1.74898</v>
      </c>
      <c r="R60" s="18">
        <v>1.7435099999999999</v>
      </c>
      <c r="S60" s="18">
        <v>1.738</v>
      </c>
      <c r="T60" s="18">
        <v>1.73248</v>
      </c>
      <c r="U60" s="19">
        <v>1.7269300000000001</v>
      </c>
      <c r="W60" s="16">
        <v>390</v>
      </c>
      <c r="X60" s="18">
        <v>1.8389599999999999</v>
      </c>
      <c r="Y60" s="18">
        <v>1.84413</v>
      </c>
      <c r="Z60" s="18">
        <v>1.8493299999999999</v>
      </c>
      <c r="AA60" s="18">
        <v>1.8545700000000001</v>
      </c>
      <c r="AB60" s="18">
        <v>1.85982</v>
      </c>
      <c r="AC60" s="18">
        <v>1.8651199999999999</v>
      </c>
      <c r="AD60" s="18">
        <v>1.87043</v>
      </c>
      <c r="AE60" s="18">
        <v>1.87578</v>
      </c>
      <c r="AF60" s="18">
        <v>1.8811500000000001</v>
      </c>
      <c r="AG60" s="18">
        <v>1.88656</v>
      </c>
      <c r="AH60" s="18">
        <v>1.8919999999999999</v>
      </c>
      <c r="AI60" s="18">
        <v>1.8974599999999999</v>
      </c>
      <c r="AJ60" s="18">
        <v>1.9029400000000001</v>
      </c>
      <c r="AK60" s="18">
        <v>1.90846</v>
      </c>
      <c r="AL60" s="18">
        <v>1.91401</v>
      </c>
      <c r="AM60" s="18">
        <v>1.91957</v>
      </c>
      <c r="AN60" s="18">
        <v>1.92517</v>
      </c>
      <c r="AO60" s="18">
        <v>1.9308000000000001</v>
      </c>
      <c r="AP60" s="18">
        <v>1.9364600000000001</v>
      </c>
      <c r="AQ60" s="19">
        <v>1.9421299999999999</v>
      </c>
    </row>
    <row r="61" spans="1:43" x14ac:dyDescent="0.2">
      <c r="A61" s="16">
        <v>400</v>
      </c>
      <c r="B61" s="18">
        <v>1.8308899999999999</v>
      </c>
      <c r="C61" s="18">
        <v>1.82586</v>
      </c>
      <c r="D61" s="18">
        <v>1.82081</v>
      </c>
      <c r="E61" s="18">
        <v>1.8157399999999999</v>
      </c>
      <c r="F61" s="18">
        <v>1.81064</v>
      </c>
      <c r="G61" s="18">
        <v>1.8055300000000001</v>
      </c>
      <c r="H61" s="18">
        <v>1.8003899999999999</v>
      </c>
      <c r="I61" s="18">
        <v>1.7952399999999999</v>
      </c>
      <c r="J61" s="18">
        <v>1.79006</v>
      </c>
      <c r="K61" s="18">
        <v>1.7848599999999999</v>
      </c>
      <c r="L61" s="18">
        <v>1.7796400000000001</v>
      </c>
      <c r="M61" s="18">
        <v>1.7744</v>
      </c>
      <c r="N61" s="18">
        <v>1.76915</v>
      </c>
      <c r="O61" s="18">
        <v>1.76387</v>
      </c>
      <c r="P61" s="18">
        <v>1.7585599999999999</v>
      </c>
      <c r="Q61" s="18">
        <v>1.7532399999999999</v>
      </c>
      <c r="R61" s="18">
        <v>1.7479100000000001</v>
      </c>
      <c r="S61" s="18">
        <v>1.74255</v>
      </c>
      <c r="T61" s="18">
        <v>1.7371700000000001</v>
      </c>
      <c r="U61" s="19">
        <v>1.73177</v>
      </c>
      <c r="W61" s="16">
        <v>400</v>
      </c>
      <c r="X61" s="18">
        <v>1.84091</v>
      </c>
      <c r="Y61" s="18">
        <v>1.84596</v>
      </c>
      <c r="Z61" s="18">
        <v>1.85103</v>
      </c>
      <c r="AA61" s="18">
        <v>1.85612</v>
      </c>
      <c r="AB61" s="18">
        <v>1.86124</v>
      </c>
      <c r="AC61" s="18">
        <v>1.8664000000000001</v>
      </c>
      <c r="AD61" s="18">
        <v>1.87158</v>
      </c>
      <c r="AE61" s="18">
        <v>1.8767799999999999</v>
      </c>
      <c r="AF61" s="18">
        <v>1.88202</v>
      </c>
      <c r="AG61" s="18">
        <v>1.8872800000000001</v>
      </c>
      <c r="AH61" s="18">
        <v>1.8925799999999999</v>
      </c>
      <c r="AI61" s="18">
        <v>1.8978900000000001</v>
      </c>
      <c r="AJ61" s="18">
        <v>1.90323</v>
      </c>
      <c r="AK61" s="18">
        <v>1.9086000000000001</v>
      </c>
      <c r="AL61" s="18">
        <v>1.9139999999999999</v>
      </c>
      <c r="AM61" s="18">
        <v>1.9194199999999999</v>
      </c>
      <c r="AN61" s="18">
        <v>1.92486</v>
      </c>
      <c r="AO61" s="18">
        <v>1.9303399999999999</v>
      </c>
      <c r="AP61" s="18">
        <v>1.93584</v>
      </c>
      <c r="AQ61" s="19">
        <v>1.94136</v>
      </c>
    </row>
    <row r="62" spans="1:43" x14ac:dyDescent="0.2">
      <c r="A62" s="16">
        <v>410</v>
      </c>
      <c r="B62" s="18">
        <v>1.83301</v>
      </c>
      <c r="C62" s="18">
        <v>1.8281099999999999</v>
      </c>
      <c r="D62" s="18">
        <v>1.82318</v>
      </c>
      <c r="E62" s="18">
        <v>1.8182400000000001</v>
      </c>
      <c r="F62" s="18">
        <v>1.8132699999999999</v>
      </c>
      <c r="G62" s="18">
        <v>1.8082800000000001</v>
      </c>
      <c r="H62" s="18">
        <v>1.8032699999999999</v>
      </c>
      <c r="I62" s="18">
        <v>1.7982499999999999</v>
      </c>
      <c r="J62" s="18">
        <v>1.7931999999999999</v>
      </c>
      <c r="K62" s="18">
        <v>1.7881400000000001</v>
      </c>
      <c r="L62" s="18">
        <v>1.78305</v>
      </c>
      <c r="M62" s="18">
        <v>1.7779400000000001</v>
      </c>
      <c r="N62" s="18">
        <v>1.77281</v>
      </c>
      <c r="O62" s="18">
        <v>1.7676700000000001</v>
      </c>
      <c r="P62" s="18">
        <v>1.7625</v>
      </c>
      <c r="Q62" s="18">
        <v>1.75732</v>
      </c>
      <c r="R62" s="18">
        <v>1.7521199999999999</v>
      </c>
      <c r="S62" s="18">
        <v>1.7468999999999999</v>
      </c>
      <c r="T62" s="18">
        <v>1.74166</v>
      </c>
      <c r="U62" s="19">
        <v>1.7363999999999999</v>
      </c>
      <c r="W62" s="16">
        <v>410</v>
      </c>
      <c r="X62" s="18">
        <v>1.8427899999999999</v>
      </c>
      <c r="Y62" s="18">
        <v>1.84771</v>
      </c>
      <c r="Z62" s="18">
        <v>1.8526499999999999</v>
      </c>
      <c r="AA62" s="18">
        <v>1.8576299999999999</v>
      </c>
      <c r="AB62" s="18">
        <v>1.86263</v>
      </c>
      <c r="AC62" s="18">
        <v>1.86765</v>
      </c>
      <c r="AD62" s="18">
        <v>1.87269</v>
      </c>
      <c r="AE62" s="18">
        <v>1.8777699999999999</v>
      </c>
      <c r="AF62" s="18">
        <v>1.88287</v>
      </c>
      <c r="AG62" s="18">
        <v>1.8879999999999999</v>
      </c>
      <c r="AH62" s="18">
        <v>1.8931500000000001</v>
      </c>
      <c r="AI62" s="18">
        <v>1.8983300000000001</v>
      </c>
      <c r="AJ62" s="18">
        <v>1.90354</v>
      </c>
      <c r="AK62" s="18">
        <v>1.9087700000000001</v>
      </c>
      <c r="AL62" s="18">
        <v>1.91401</v>
      </c>
      <c r="AM62" s="18">
        <v>1.9193</v>
      </c>
      <c r="AN62" s="18">
        <v>1.9246000000000001</v>
      </c>
      <c r="AO62" s="18">
        <v>1.9299299999999999</v>
      </c>
      <c r="AP62" s="18">
        <v>1.9352799999999999</v>
      </c>
      <c r="AQ62" s="19">
        <v>1.9406600000000001</v>
      </c>
    </row>
    <row r="63" spans="1:43" x14ac:dyDescent="0.2">
      <c r="A63" s="16">
        <v>420</v>
      </c>
      <c r="B63" s="18">
        <v>1.83507</v>
      </c>
      <c r="C63" s="18">
        <v>1.8302799999999999</v>
      </c>
      <c r="D63" s="18">
        <v>1.8254600000000001</v>
      </c>
      <c r="E63" s="18">
        <v>1.82064</v>
      </c>
      <c r="F63" s="18">
        <v>1.81579</v>
      </c>
      <c r="G63" s="18">
        <v>1.8109299999999999</v>
      </c>
      <c r="H63" s="18">
        <v>1.8060400000000001</v>
      </c>
      <c r="I63" s="18">
        <v>1.80114</v>
      </c>
      <c r="J63" s="18">
        <v>1.7962100000000001</v>
      </c>
      <c r="K63" s="18">
        <v>1.7912699999999999</v>
      </c>
      <c r="L63" s="18">
        <v>1.7863100000000001</v>
      </c>
      <c r="M63" s="18">
        <v>1.7813300000000001</v>
      </c>
      <c r="N63" s="18">
        <v>1.77633</v>
      </c>
      <c r="O63" s="18">
        <v>1.77132</v>
      </c>
      <c r="P63" s="18">
        <v>1.7662800000000001</v>
      </c>
      <c r="Q63" s="18">
        <v>1.76122</v>
      </c>
      <c r="R63" s="18">
        <v>1.7561500000000001</v>
      </c>
      <c r="S63" s="18">
        <v>1.7510699999999999</v>
      </c>
      <c r="T63" s="18">
        <v>1.74596</v>
      </c>
      <c r="U63" s="19">
        <v>1.7408300000000001</v>
      </c>
      <c r="W63" s="16">
        <v>420</v>
      </c>
      <c r="X63" s="18">
        <v>1.8446100000000001</v>
      </c>
      <c r="Y63" s="18">
        <v>1.84941</v>
      </c>
      <c r="Z63" s="18">
        <v>1.85423</v>
      </c>
      <c r="AA63" s="18">
        <v>1.8590800000000001</v>
      </c>
      <c r="AB63" s="18">
        <v>1.8639600000000001</v>
      </c>
      <c r="AC63" s="18">
        <v>1.86886</v>
      </c>
      <c r="AD63" s="18">
        <v>1.8737900000000001</v>
      </c>
      <c r="AE63" s="18">
        <v>1.8787400000000001</v>
      </c>
      <c r="AF63" s="18">
        <v>1.88371</v>
      </c>
      <c r="AG63" s="18">
        <v>1.8887100000000001</v>
      </c>
      <c r="AH63" s="18">
        <v>1.8937299999999999</v>
      </c>
      <c r="AI63" s="18">
        <v>1.8987799999999999</v>
      </c>
      <c r="AJ63" s="18">
        <v>1.90385</v>
      </c>
      <c r="AK63" s="18">
        <v>1.9089499999999999</v>
      </c>
      <c r="AL63" s="18">
        <v>1.9140699999999999</v>
      </c>
      <c r="AM63" s="18">
        <v>1.9192199999999999</v>
      </c>
      <c r="AN63" s="18">
        <v>1.92438</v>
      </c>
      <c r="AO63" s="18">
        <v>1.92957</v>
      </c>
      <c r="AP63" s="18">
        <v>1.9347799999999999</v>
      </c>
      <c r="AQ63" s="19">
        <v>1.9400299999999999</v>
      </c>
    </row>
    <row r="64" spans="1:43" x14ac:dyDescent="0.2">
      <c r="A64" s="16">
        <v>430</v>
      </c>
      <c r="B64" s="18">
        <v>1.83704</v>
      </c>
      <c r="C64" s="18">
        <v>1.83236</v>
      </c>
      <c r="D64" s="18">
        <v>1.8276699999999999</v>
      </c>
      <c r="E64" s="18">
        <v>1.8229599999999999</v>
      </c>
      <c r="F64" s="18">
        <v>1.81823</v>
      </c>
      <c r="G64" s="18">
        <v>1.81348</v>
      </c>
      <c r="H64" s="18">
        <v>1.80871</v>
      </c>
      <c r="I64" s="18">
        <v>1.80392</v>
      </c>
      <c r="J64" s="18">
        <v>1.79911</v>
      </c>
      <c r="K64" s="18">
        <v>1.7942899999999999</v>
      </c>
      <c r="L64" s="18">
        <v>1.7894399999999999</v>
      </c>
      <c r="M64" s="18">
        <v>1.7845800000000001</v>
      </c>
      <c r="N64" s="18">
        <v>1.7797099999999999</v>
      </c>
      <c r="O64" s="18">
        <v>1.77481</v>
      </c>
      <c r="P64" s="18">
        <v>1.7699</v>
      </c>
      <c r="Q64" s="18">
        <v>1.7649699999999999</v>
      </c>
      <c r="R64" s="18">
        <v>1.7600199999999999</v>
      </c>
      <c r="S64" s="18">
        <v>1.7550600000000001</v>
      </c>
      <c r="T64" s="18">
        <v>1.75007</v>
      </c>
      <c r="U64" s="19">
        <v>1.74508</v>
      </c>
      <c r="W64" s="16">
        <v>430</v>
      </c>
      <c r="X64" s="18">
        <v>1.84636</v>
      </c>
      <c r="Y64" s="18">
        <v>1.8510500000000001</v>
      </c>
      <c r="Z64" s="18">
        <v>1.8557600000000001</v>
      </c>
      <c r="AA64" s="18">
        <v>1.8605</v>
      </c>
      <c r="AB64" s="18">
        <v>1.8652500000000001</v>
      </c>
      <c r="AC64" s="18">
        <v>1.8700399999999999</v>
      </c>
      <c r="AD64" s="18">
        <v>1.8748400000000001</v>
      </c>
      <c r="AE64" s="18">
        <v>1.87967</v>
      </c>
      <c r="AF64" s="18">
        <v>1.88453</v>
      </c>
      <c r="AG64" s="18">
        <v>1.88941</v>
      </c>
      <c r="AH64" s="18">
        <v>1.8943099999999999</v>
      </c>
      <c r="AI64" s="18">
        <v>1.89923</v>
      </c>
      <c r="AJ64" s="18">
        <v>1.9041699999999999</v>
      </c>
      <c r="AK64" s="18">
        <v>1.9091499999999999</v>
      </c>
      <c r="AL64" s="18">
        <v>1.91414</v>
      </c>
      <c r="AM64" s="18">
        <v>1.9191499999999999</v>
      </c>
      <c r="AN64" s="18">
        <v>1.9241999999999999</v>
      </c>
      <c r="AO64" s="18">
        <v>1.9292499999999999</v>
      </c>
      <c r="AP64" s="18">
        <v>1.9343300000000001</v>
      </c>
      <c r="AQ64" s="19">
        <v>1.9394400000000001</v>
      </c>
    </row>
    <row r="65" spans="1:43" x14ac:dyDescent="0.2">
      <c r="A65" s="16">
        <v>440</v>
      </c>
      <c r="B65" s="18">
        <v>1.8389500000000001</v>
      </c>
      <c r="C65" s="18">
        <v>1.8343799999999999</v>
      </c>
      <c r="D65" s="18">
        <v>1.82979</v>
      </c>
      <c r="E65" s="18">
        <v>1.82518</v>
      </c>
      <c r="F65" s="18">
        <v>1.82056</v>
      </c>
      <c r="G65" s="18">
        <v>1.81592</v>
      </c>
      <c r="H65" s="18">
        <v>1.8112600000000001</v>
      </c>
      <c r="I65" s="18">
        <v>1.8065899999999999</v>
      </c>
      <c r="J65" s="18">
        <v>1.80189</v>
      </c>
      <c r="K65" s="18">
        <v>1.79718</v>
      </c>
      <c r="L65" s="18">
        <v>1.7924500000000001</v>
      </c>
      <c r="M65" s="18">
        <v>1.7877000000000001</v>
      </c>
      <c r="N65" s="18">
        <v>1.78295</v>
      </c>
      <c r="O65" s="18">
        <v>1.77817</v>
      </c>
      <c r="P65" s="18">
        <v>1.7733699999999999</v>
      </c>
      <c r="Q65" s="18">
        <v>1.7685599999999999</v>
      </c>
      <c r="R65" s="18">
        <v>1.76373</v>
      </c>
      <c r="S65" s="18">
        <v>1.75888</v>
      </c>
      <c r="T65" s="18">
        <v>1.75403</v>
      </c>
      <c r="U65" s="19">
        <v>1.7491399999999999</v>
      </c>
      <c r="W65" s="16">
        <v>440</v>
      </c>
      <c r="X65" s="18">
        <v>1.84805</v>
      </c>
      <c r="Y65" s="18">
        <v>1.8526400000000001</v>
      </c>
      <c r="Z65" s="18">
        <v>1.85724</v>
      </c>
      <c r="AA65" s="18">
        <v>1.8618699999999999</v>
      </c>
      <c r="AB65" s="18">
        <v>1.8665099999999999</v>
      </c>
      <c r="AC65" s="18">
        <v>1.8711899999999999</v>
      </c>
      <c r="AD65" s="18">
        <v>1.87588</v>
      </c>
      <c r="AE65" s="18">
        <v>1.8806</v>
      </c>
      <c r="AF65" s="18">
        <v>1.88533</v>
      </c>
      <c r="AG65" s="18">
        <v>1.8900999999999999</v>
      </c>
      <c r="AH65" s="18">
        <v>1.8948799999999999</v>
      </c>
      <c r="AI65" s="18">
        <v>1.89968</v>
      </c>
      <c r="AJ65" s="18">
        <v>1.9045099999999999</v>
      </c>
      <c r="AK65" s="18">
        <v>1.90937</v>
      </c>
      <c r="AL65" s="18">
        <v>1.9142399999999999</v>
      </c>
      <c r="AM65" s="18">
        <v>1.91913</v>
      </c>
      <c r="AN65" s="18">
        <v>1.92404</v>
      </c>
      <c r="AO65" s="18">
        <v>1.9289799999999999</v>
      </c>
      <c r="AP65" s="18">
        <v>1.9339299999999999</v>
      </c>
      <c r="AQ65" s="19">
        <v>1.9389099999999999</v>
      </c>
    </row>
    <row r="66" spans="1:43" x14ac:dyDescent="0.2">
      <c r="A66" s="16">
        <v>450</v>
      </c>
      <c r="B66" s="18">
        <v>1.8407899999999999</v>
      </c>
      <c r="C66" s="18">
        <v>1.83632</v>
      </c>
      <c r="D66" s="18">
        <v>1.8318399999999999</v>
      </c>
      <c r="E66" s="18">
        <v>1.82734</v>
      </c>
      <c r="F66" s="18">
        <v>1.8228200000000001</v>
      </c>
      <c r="G66" s="18">
        <v>1.8182799999999999</v>
      </c>
      <c r="H66" s="18">
        <v>1.8137300000000001</v>
      </c>
      <c r="I66" s="18">
        <v>1.8091600000000001</v>
      </c>
      <c r="J66" s="18">
        <v>1.80457</v>
      </c>
      <c r="K66" s="18">
        <v>1.7999700000000001</v>
      </c>
      <c r="L66" s="18">
        <v>1.79535</v>
      </c>
      <c r="M66" s="18">
        <v>1.79071</v>
      </c>
      <c r="N66" s="18">
        <v>1.78607</v>
      </c>
      <c r="O66" s="18">
        <v>1.78139</v>
      </c>
      <c r="P66" s="18">
        <v>1.77671</v>
      </c>
      <c r="Q66" s="18">
        <v>1.7720100000000001</v>
      </c>
      <c r="R66" s="18">
        <v>1.7673000000000001</v>
      </c>
      <c r="S66" s="18">
        <v>1.7625599999999999</v>
      </c>
      <c r="T66" s="18">
        <v>1.7578100000000001</v>
      </c>
      <c r="U66" s="19">
        <v>1.75305</v>
      </c>
      <c r="W66" s="16">
        <v>450</v>
      </c>
      <c r="X66" s="18">
        <v>1.8496999999999999</v>
      </c>
      <c r="Y66" s="18">
        <v>1.8541799999999999</v>
      </c>
      <c r="Z66" s="18">
        <v>1.85867</v>
      </c>
      <c r="AA66" s="18">
        <v>1.8632</v>
      </c>
      <c r="AB66" s="18">
        <v>1.86774</v>
      </c>
      <c r="AC66" s="18">
        <v>1.8723000000000001</v>
      </c>
      <c r="AD66" s="18">
        <v>1.8768800000000001</v>
      </c>
      <c r="AE66" s="18">
        <v>1.8815</v>
      </c>
      <c r="AF66" s="18">
        <v>1.88612</v>
      </c>
      <c r="AG66" s="18">
        <v>1.8907700000000001</v>
      </c>
      <c r="AH66" s="18">
        <v>1.8954500000000001</v>
      </c>
      <c r="AI66" s="18">
        <v>1.9001399999999999</v>
      </c>
      <c r="AJ66" s="18">
        <v>1.9048499999999999</v>
      </c>
      <c r="AK66" s="18">
        <v>1.9095899999999999</v>
      </c>
      <c r="AL66" s="18">
        <v>1.9143399999999999</v>
      </c>
      <c r="AM66" s="18">
        <v>1.9191199999999999</v>
      </c>
      <c r="AN66" s="18">
        <v>1.9239200000000001</v>
      </c>
      <c r="AO66" s="18">
        <v>1.9287399999999999</v>
      </c>
      <c r="AP66" s="18">
        <v>1.9335800000000001</v>
      </c>
      <c r="AQ66" s="19">
        <v>1.9384399999999999</v>
      </c>
    </row>
    <row r="67" spans="1:43" x14ac:dyDescent="0.2">
      <c r="A67" s="16">
        <v>460</v>
      </c>
      <c r="B67" s="18">
        <v>1.84257</v>
      </c>
      <c r="C67" s="18">
        <v>1.8382000000000001</v>
      </c>
      <c r="D67" s="18">
        <v>1.8338099999999999</v>
      </c>
      <c r="E67" s="18">
        <v>1.82941</v>
      </c>
      <c r="F67" s="18">
        <v>1.8249899999999999</v>
      </c>
      <c r="G67" s="18">
        <v>1.82056</v>
      </c>
      <c r="H67" s="18">
        <v>1.8161099999999999</v>
      </c>
      <c r="I67" s="18">
        <v>1.8116300000000001</v>
      </c>
      <c r="J67" s="18">
        <v>1.8071600000000001</v>
      </c>
      <c r="K67" s="18">
        <v>1.8026500000000001</v>
      </c>
      <c r="L67" s="18">
        <v>1.79813</v>
      </c>
      <c r="M67" s="18">
        <v>1.7936099999999999</v>
      </c>
      <c r="N67" s="18">
        <v>1.7890600000000001</v>
      </c>
      <c r="O67" s="18">
        <v>1.7845</v>
      </c>
      <c r="P67" s="18">
        <v>1.7799199999999999</v>
      </c>
      <c r="Q67" s="18">
        <v>1.77532</v>
      </c>
      <c r="R67" s="18">
        <v>1.7707200000000001</v>
      </c>
      <c r="S67" s="18">
        <v>1.7661</v>
      </c>
      <c r="T67" s="18">
        <v>1.76145</v>
      </c>
      <c r="U67" s="19">
        <v>1.7567999999999999</v>
      </c>
      <c r="W67" s="16">
        <v>460</v>
      </c>
      <c r="X67" s="18">
        <v>1.85128</v>
      </c>
      <c r="Y67" s="18">
        <v>1.8556699999999999</v>
      </c>
      <c r="Z67" s="18">
        <v>1.8600699999999999</v>
      </c>
      <c r="AA67" s="18">
        <v>1.86449</v>
      </c>
      <c r="AB67" s="18">
        <v>1.86893</v>
      </c>
      <c r="AC67" s="18">
        <v>1.8733900000000001</v>
      </c>
      <c r="AD67" s="18">
        <v>1.8778699999999999</v>
      </c>
      <c r="AE67" s="18">
        <v>1.8823799999999999</v>
      </c>
      <c r="AF67" s="18">
        <v>1.8869</v>
      </c>
      <c r="AG67" s="18">
        <v>1.89144</v>
      </c>
      <c r="AH67" s="18">
        <v>1.89601</v>
      </c>
      <c r="AI67" s="18">
        <v>1.9006000000000001</v>
      </c>
      <c r="AJ67" s="18">
        <v>1.9052</v>
      </c>
      <c r="AK67" s="18">
        <v>1.9098299999999999</v>
      </c>
      <c r="AL67" s="18">
        <v>1.9144699999999999</v>
      </c>
      <c r="AM67" s="18">
        <v>1.9191400000000001</v>
      </c>
      <c r="AN67" s="18">
        <v>1.9238200000000001</v>
      </c>
      <c r="AO67" s="18">
        <v>1.9285300000000001</v>
      </c>
      <c r="AP67" s="18">
        <v>1.9332499999999999</v>
      </c>
      <c r="AQ67" s="19">
        <v>1.9379999999999999</v>
      </c>
    </row>
    <row r="68" spans="1:43" x14ac:dyDescent="0.2">
      <c r="A68" s="16">
        <v>470</v>
      </c>
      <c r="B68" s="18">
        <v>1.84429</v>
      </c>
      <c r="C68" s="18">
        <v>1.84002</v>
      </c>
      <c r="D68" s="18">
        <v>1.83572</v>
      </c>
      <c r="E68" s="18">
        <v>1.83142</v>
      </c>
      <c r="F68" s="18">
        <v>1.8270900000000001</v>
      </c>
      <c r="G68" s="18">
        <v>1.8227500000000001</v>
      </c>
      <c r="H68" s="18">
        <v>1.8184</v>
      </c>
      <c r="I68" s="18">
        <v>1.81403</v>
      </c>
      <c r="J68" s="18">
        <v>1.8096399999999999</v>
      </c>
      <c r="K68" s="18">
        <v>1.80524</v>
      </c>
      <c r="L68" s="18">
        <v>1.8008299999999999</v>
      </c>
      <c r="M68" s="18">
        <v>1.7964</v>
      </c>
      <c r="N68" s="18">
        <v>1.7919499999999999</v>
      </c>
      <c r="O68" s="18">
        <v>1.78749</v>
      </c>
      <c r="P68" s="18">
        <v>1.78301</v>
      </c>
      <c r="Q68" s="18">
        <v>1.7785200000000001</v>
      </c>
      <c r="R68" s="18">
        <v>1.7740100000000001</v>
      </c>
      <c r="S68" s="18">
        <v>1.76949</v>
      </c>
      <c r="T68" s="18">
        <v>1.7649600000000001</v>
      </c>
      <c r="U68" s="19">
        <v>1.76041</v>
      </c>
      <c r="W68" s="16">
        <v>470</v>
      </c>
      <c r="X68" s="18">
        <v>1.8528199999999999</v>
      </c>
      <c r="Y68" s="18">
        <v>1.85711</v>
      </c>
      <c r="Z68" s="18">
        <v>1.86141</v>
      </c>
      <c r="AA68" s="18">
        <v>1.86574</v>
      </c>
      <c r="AB68" s="18">
        <v>1.87009</v>
      </c>
      <c r="AC68" s="18">
        <v>1.8744499999999999</v>
      </c>
      <c r="AD68" s="18">
        <v>1.87883</v>
      </c>
      <c r="AE68" s="18">
        <v>1.88324</v>
      </c>
      <c r="AF68" s="18">
        <v>1.88767</v>
      </c>
      <c r="AG68" s="18">
        <v>1.89211</v>
      </c>
      <c r="AH68" s="18">
        <v>1.8965700000000001</v>
      </c>
      <c r="AI68" s="18">
        <v>1.9010499999999999</v>
      </c>
      <c r="AJ68" s="18">
        <v>1.9055599999999999</v>
      </c>
      <c r="AK68" s="18">
        <v>1.91008</v>
      </c>
      <c r="AL68" s="18">
        <v>1.9146099999999999</v>
      </c>
      <c r="AM68" s="18">
        <v>1.9191800000000001</v>
      </c>
      <c r="AN68" s="18">
        <v>1.9237599999999999</v>
      </c>
      <c r="AO68" s="18">
        <v>1.92835</v>
      </c>
      <c r="AP68" s="18">
        <v>1.93296</v>
      </c>
      <c r="AQ68" s="19">
        <v>1.9376</v>
      </c>
    </row>
    <row r="69" spans="1:43" x14ac:dyDescent="0.2">
      <c r="A69" s="16">
        <v>480</v>
      </c>
      <c r="B69" s="18">
        <v>1.84596</v>
      </c>
      <c r="C69" s="18">
        <v>1.8417699999999999</v>
      </c>
      <c r="D69" s="18">
        <v>1.8375699999999999</v>
      </c>
      <c r="E69" s="18">
        <v>1.8333600000000001</v>
      </c>
      <c r="F69" s="18">
        <v>1.8291200000000001</v>
      </c>
      <c r="G69" s="18">
        <v>1.8248800000000001</v>
      </c>
      <c r="H69" s="18">
        <v>1.8206100000000001</v>
      </c>
      <c r="I69" s="18">
        <v>1.8163400000000001</v>
      </c>
      <c r="J69" s="18">
        <v>1.8120499999999999</v>
      </c>
      <c r="K69" s="18">
        <v>1.8077399999999999</v>
      </c>
      <c r="L69" s="18">
        <v>1.80341</v>
      </c>
      <c r="M69" s="18">
        <v>1.79908</v>
      </c>
      <c r="N69" s="18">
        <v>1.7947299999999999</v>
      </c>
      <c r="O69" s="18">
        <v>1.79036</v>
      </c>
      <c r="P69" s="18">
        <v>1.78599</v>
      </c>
      <c r="Q69" s="18">
        <v>1.78159</v>
      </c>
      <c r="R69" s="18">
        <v>1.77719</v>
      </c>
      <c r="S69" s="18">
        <v>1.7727599999999999</v>
      </c>
      <c r="T69" s="18">
        <v>1.76833</v>
      </c>
      <c r="U69" s="19">
        <v>1.7638799999999999</v>
      </c>
      <c r="W69" s="16">
        <v>480</v>
      </c>
      <c r="X69" s="18">
        <v>1.8543099999999999</v>
      </c>
      <c r="Y69" s="18">
        <v>1.8585100000000001</v>
      </c>
      <c r="Z69" s="18">
        <v>1.8627199999999999</v>
      </c>
      <c r="AA69" s="18">
        <v>1.8669500000000001</v>
      </c>
      <c r="AB69" s="18">
        <v>1.87121</v>
      </c>
      <c r="AC69" s="18">
        <v>1.87548</v>
      </c>
      <c r="AD69" s="18">
        <v>1.8797699999999999</v>
      </c>
      <c r="AE69" s="18">
        <v>1.88408</v>
      </c>
      <c r="AF69" s="18">
        <v>1.8884099999999999</v>
      </c>
      <c r="AG69" s="18">
        <v>1.89276</v>
      </c>
      <c r="AH69" s="18">
        <v>1.8971199999999999</v>
      </c>
      <c r="AI69" s="18">
        <v>1.90151</v>
      </c>
      <c r="AJ69" s="18">
        <v>1.90591</v>
      </c>
      <c r="AK69" s="18">
        <v>1.9103399999999999</v>
      </c>
      <c r="AL69" s="18">
        <v>1.9147700000000001</v>
      </c>
      <c r="AM69" s="18">
        <v>1.91923</v>
      </c>
      <c r="AN69" s="18">
        <v>1.92371</v>
      </c>
      <c r="AO69" s="18">
        <v>1.9281999999999999</v>
      </c>
      <c r="AP69" s="18">
        <v>1.9327099999999999</v>
      </c>
      <c r="AQ69" s="19">
        <v>1.9372499999999999</v>
      </c>
    </row>
    <row r="70" spans="1:43" x14ac:dyDescent="0.2">
      <c r="A70" s="16">
        <v>490</v>
      </c>
      <c r="B70" s="18">
        <v>1.84758</v>
      </c>
      <c r="C70" s="18">
        <v>1.84348</v>
      </c>
      <c r="D70" s="18">
        <v>1.8393699999999999</v>
      </c>
      <c r="E70" s="18">
        <v>1.8352299999999999</v>
      </c>
      <c r="F70" s="18">
        <v>1.8310900000000001</v>
      </c>
      <c r="G70" s="18">
        <v>1.8269299999999999</v>
      </c>
      <c r="H70" s="18">
        <v>1.8227500000000001</v>
      </c>
      <c r="I70" s="18">
        <v>1.81857</v>
      </c>
      <c r="J70" s="18">
        <v>1.81437</v>
      </c>
      <c r="K70" s="18">
        <v>1.8101499999999999</v>
      </c>
      <c r="L70" s="18">
        <v>1.80592</v>
      </c>
      <c r="M70" s="18">
        <v>1.8016700000000001</v>
      </c>
      <c r="N70" s="18">
        <v>1.79741</v>
      </c>
      <c r="O70" s="18">
        <v>1.79314</v>
      </c>
      <c r="P70" s="18">
        <v>1.7888500000000001</v>
      </c>
      <c r="Q70" s="18">
        <v>1.7845599999999999</v>
      </c>
      <c r="R70" s="18">
        <v>1.78024</v>
      </c>
      <c r="S70" s="18">
        <v>1.7759199999999999</v>
      </c>
      <c r="T70" s="18">
        <v>1.7715700000000001</v>
      </c>
      <c r="U70" s="19">
        <v>1.76722</v>
      </c>
      <c r="W70" s="16">
        <v>490</v>
      </c>
      <c r="X70" s="18">
        <v>1.8557600000000001</v>
      </c>
      <c r="Y70" s="18">
        <v>1.8598699999999999</v>
      </c>
      <c r="Z70" s="18">
        <v>1.86399</v>
      </c>
      <c r="AA70" s="18">
        <v>1.8681399999999999</v>
      </c>
      <c r="AB70" s="18">
        <v>1.8723099999999999</v>
      </c>
      <c r="AC70" s="18">
        <v>1.87649</v>
      </c>
      <c r="AD70" s="18">
        <v>1.88069</v>
      </c>
      <c r="AE70" s="18">
        <v>1.8849100000000001</v>
      </c>
      <c r="AF70" s="18">
        <v>1.8891500000000001</v>
      </c>
      <c r="AG70" s="18">
        <v>1.8934</v>
      </c>
      <c r="AH70" s="18">
        <v>1.89767</v>
      </c>
      <c r="AI70" s="18">
        <v>1.9019699999999999</v>
      </c>
      <c r="AJ70" s="18">
        <v>1.90628</v>
      </c>
      <c r="AK70" s="18">
        <v>1.91059</v>
      </c>
      <c r="AL70" s="18">
        <v>1.9149400000000001</v>
      </c>
      <c r="AM70" s="18">
        <v>1.9193</v>
      </c>
      <c r="AN70" s="18">
        <v>1.9236800000000001</v>
      </c>
      <c r="AO70" s="18">
        <v>1.92807</v>
      </c>
      <c r="AP70" s="18">
        <v>1.93249</v>
      </c>
      <c r="AQ70" s="19">
        <v>1.93692</v>
      </c>
    </row>
    <row r="71" spans="1:43" x14ac:dyDescent="0.2">
      <c r="A71" s="16">
        <v>500</v>
      </c>
      <c r="B71" s="18">
        <v>1.84914</v>
      </c>
      <c r="C71" s="18">
        <v>1.8451299999999999</v>
      </c>
      <c r="D71" s="18">
        <v>1.8411</v>
      </c>
      <c r="E71" s="18">
        <v>1.8370500000000001</v>
      </c>
      <c r="F71" s="18">
        <v>1.8329800000000001</v>
      </c>
      <c r="G71" s="18">
        <v>1.8289200000000001</v>
      </c>
      <c r="H71" s="18">
        <v>1.8248200000000001</v>
      </c>
      <c r="I71" s="18">
        <v>1.8207199999999999</v>
      </c>
      <c r="J71" s="18">
        <v>1.8166100000000001</v>
      </c>
      <c r="K71" s="18">
        <v>1.81247</v>
      </c>
      <c r="L71" s="18">
        <v>1.8083400000000001</v>
      </c>
      <c r="M71" s="18">
        <v>1.8041700000000001</v>
      </c>
      <c r="N71" s="18">
        <v>1.8000100000000001</v>
      </c>
      <c r="O71" s="18">
        <v>1.79582</v>
      </c>
      <c r="P71" s="18">
        <v>1.7916300000000001</v>
      </c>
      <c r="Q71" s="18">
        <v>1.78742</v>
      </c>
      <c r="R71" s="18">
        <v>1.7831900000000001</v>
      </c>
      <c r="S71" s="18">
        <v>1.7789600000000001</v>
      </c>
      <c r="T71" s="18">
        <v>1.77471</v>
      </c>
      <c r="U71" s="19">
        <v>1.77044</v>
      </c>
      <c r="W71" s="16">
        <v>500</v>
      </c>
      <c r="X71" s="18">
        <v>1.8571599999999999</v>
      </c>
      <c r="Y71" s="18">
        <v>1.8611899999999999</v>
      </c>
      <c r="Z71" s="18">
        <v>1.8652299999999999</v>
      </c>
      <c r="AA71" s="18">
        <v>1.8692899999999999</v>
      </c>
      <c r="AB71" s="18">
        <v>1.87337</v>
      </c>
      <c r="AC71" s="18">
        <v>1.87747</v>
      </c>
      <c r="AD71" s="18">
        <v>1.88158</v>
      </c>
      <c r="AE71" s="18">
        <v>1.8857200000000001</v>
      </c>
      <c r="AF71" s="18">
        <v>1.8898600000000001</v>
      </c>
      <c r="AG71" s="18">
        <v>1.8940300000000001</v>
      </c>
      <c r="AH71" s="18">
        <v>1.89821</v>
      </c>
      <c r="AI71" s="18">
        <v>1.90242</v>
      </c>
      <c r="AJ71" s="18">
        <v>1.90663</v>
      </c>
      <c r="AK71" s="18">
        <v>1.9108700000000001</v>
      </c>
      <c r="AL71" s="18">
        <v>1.9151199999999999</v>
      </c>
      <c r="AM71" s="18">
        <v>1.9193800000000001</v>
      </c>
      <c r="AN71" s="18">
        <v>1.9236800000000001</v>
      </c>
      <c r="AO71" s="18">
        <v>1.92798</v>
      </c>
      <c r="AP71" s="18">
        <v>1.9322900000000001</v>
      </c>
      <c r="AQ71" s="19">
        <v>1.9366300000000001</v>
      </c>
    </row>
    <row r="72" spans="1:43" x14ac:dyDescent="0.2">
      <c r="A72" s="16">
        <v>550</v>
      </c>
      <c r="B72" s="18">
        <v>1.85632</v>
      </c>
      <c r="C72" s="18">
        <v>1.85267</v>
      </c>
      <c r="D72" s="18">
        <v>1.84901</v>
      </c>
      <c r="E72" s="18">
        <v>1.8453299999999999</v>
      </c>
      <c r="F72" s="18">
        <v>1.84165</v>
      </c>
      <c r="G72" s="18">
        <v>1.8379399999999999</v>
      </c>
      <c r="H72" s="18">
        <v>1.83423</v>
      </c>
      <c r="I72" s="18">
        <v>1.8305100000000001</v>
      </c>
      <c r="J72" s="18">
        <v>1.8267800000000001</v>
      </c>
      <c r="K72" s="18">
        <v>1.8230299999999999</v>
      </c>
      <c r="L72" s="18">
        <v>1.81928</v>
      </c>
      <c r="M72" s="18">
        <v>1.81551</v>
      </c>
      <c r="N72" s="18">
        <v>1.8117300000000001</v>
      </c>
      <c r="O72" s="18">
        <v>1.8079400000000001</v>
      </c>
      <c r="P72" s="18">
        <v>1.8041400000000001</v>
      </c>
      <c r="Q72" s="18">
        <v>1.80033</v>
      </c>
      <c r="R72" s="18">
        <v>1.7965100000000001</v>
      </c>
      <c r="S72" s="18">
        <v>1.7926800000000001</v>
      </c>
      <c r="T72" s="18">
        <v>1.7888299999999999</v>
      </c>
      <c r="U72" s="19">
        <v>1.7849699999999999</v>
      </c>
      <c r="W72" s="16">
        <v>550</v>
      </c>
      <c r="X72" s="18">
        <v>1.86361</v>
      </c>
      <c r="Y72" s="18">
        <v>1.86727</v>
      </c>
      <c r="Z72" s="18">
        <v>1.87094</v>
      </c>
      <c r="AA72" s="18">
        <v>1.87462</v>
      </c>
      <c r="AB72" s="18">
        <v>1.8783300000000001</v>
      </c>
      <c r="AC72" s="18">
        <v>1.8820399999999999</v>
      </c>
      <c r="AD72" s="18">
        <v>1.88578</v>
      </c>
      <c r="AE72" s="18">
        <v>1.8895200000000001</v>
      </c>
      <c r="AF72" s="18">
        <v>1.89327</v>
      </c>
      <c r="AG72" s="18">
        <v>1.8970499999999999</v>
      </c>
      <c r="AH72" s="18">
        <v>1.9008400000000001</v>
      </c>
      <c r="AI72" s="18">
        <v>1.9046400000000001</v>
      </c>
      <c r="AJ72" s="18">
        <v>1.90845</v>
      </c>
      <c r="AK72" s="18">
        <v>1.91228</v>
      </c>
      <c r="AL72" s="18">
        <v>1.9161300000000001</v>
      </c>
      <c r="AM72" s="18">
        <v>1.91998</v>
      </c>
      <c r="AN72" s="18">
        <v>1.9238599999999999</v>
      </c>
      <c r="AO72" s="18">
        <v>1.92774</v>
      </c>
      <c r="AP72" s="18">
        <v>1.93164</v>
      </c>
      <c r="AQ72" s="19">
        <v>1.9355500000000001</v>
      </c>
    </row>
    <row r="73" spans="1:43" x14ac:dyDescent="0.2">
      <c r="A73" s="16">
        <v>600</v>
      </c>
      <c r="B73" s="18">
        <v>1.8625700000000001</v>
      </c>
      <c r="C73" s="18">
        <v>1.8592200000000001</v>
      </c>
      <c r="D73" s="18">
        <v>1.8558699999999999</v>
      </c>
      <c r="E73" s="18">
        <v>1.8525</v>
      </c>
      <c r="F73" s="18">
        <v>1.8491299999999999</v>
      </c>
      <c r="G73" s="18">
        <v>1.8457399999999999</v>
      </c>
      <c r="H73" s="18">
        <v>1.8423499999999999</v>
      </c>
      <c r="I73" s="18">
        <v>1.83894</v>
      </c>
      <c r="J73" s="18">
        <v>1.83552</v>
      </c>
      <c r="K73" s="18">
        <v>1.8321000000000001</v>
      </c>
      <c r="L73" s="18">
        <v>1.82866</v>
      </c>
      <c r="M73" s="18">
        <v>1.8252200000000001</v>
      </c>
      <c r="N73" s="18">
        <v>1.8217699999999999</v>
      </c>
      <c r="O73" s="18">
        <v>1.8183</v>
      </c>
      <c r="P73" s="18">
        <v>1.8148299999999999</v>
      </c>
      <c r="Q73" s="18">
        <v>1.81134</v>
      </c>
      <c r="R73" s="18">
        <v>1.80785</v>
      </c>
      <c r="S73" s="18">
        <v>1.8043499999999999</v>
      </c>
      <c r="T73" s="18">
        <v>1.8008500000000001</v>
      </c>
      <c r="U73" s="19">
        <v>1.7973300000000001</v>
      </c>
      <c r="W73" s="16">
        <v>600</v>
      </c>
      <c r="X73" s="18">
        <v>1.8692500000000001</v>
      </c>
      <c r="Y73" s="18">
        <v>1.87259</v>
      </c>
      <c r="Z73" s="18">
        <v>1.8759600000000001</v>
      </c>
      <c r="AA73" s="18">
        <v>1.87934</v>
      </c>
      <c r="AB73" s="18">
        <v>1.88273</v>
      </c>
      <c r="AC73" s="18">
        <v>1.88612</v>
      </c>
      <c r="AD73" s="18">
        <v>1.88954</v>
      </c>
      <c r="AE73" s="18">
        <v>1.89296</v>
      </c>
      <c r="AF73" s="18">
        <v>1.8964000000000001</v>
      </c>
      <c r="AG73" s="18">
        <v>1.89984</v>
      </c>
      <c r="AH73" s="18">
        <v>1.9033100000000001</v>
      </c>
      <c r="AI73" s="18">
        <v>1.9067700000000001</v>
      </c>
      <c r="AJ73" s="18">
        <v>1.9102600000000001</v>
      </c>
      <c r="AK73" s="18">
        <v>1.9137500000000001</v>
      </c>
      <c r="AL73" s="18">
        <v>1.91727</v>
      </c>
      <c r="AM73" s="18">
        <v>1.9207799999999999</v>
      </c>
      <c r="AN73" s="18">
        <v>1.92431</v>
      </c>
      <c r="AO73" s="18">
        <v>1.9278599999999999</v>
      </c>
      <c r="AP73" s="18">
        <v>1.9314100000000001</v>
      </c>
      <c r="AQ73" s="19">
        <v>1.9349700000000001</v>
      </c>
    </row>
    <row r="74" spans="1:43" x14ac:dyDescent="0.2">
      <c r="A74" s="16">
        <v>650</v>
      </c>
      <c r="B74" s="18">
        <v>1.8680699999999999</v>
      </c>
      <c r="C74" s="18">
        <v>1.8649800000000001</v>
      </c>
      <c r="D74" s="18">
        <v>1.86189</v>
      </c>
      <c r="E74" s="18">
        <v>1.8587800000000001</v>
      </c>
      <c r="F74" s="18">
        <v>1.8556699999999999</v>
      </c>
      <c r="G74" s="18">
        <v>1.8525400000000001</v>
      </c>
      <c r="H74" s="18">
        <v>1.8494200000000001</v>
      </c>
      <c r="I74" s="18">
        <v>1.8462700000000001</v>
      </c>
      <c r="J74" s="18">
        <v>1.8431299999999999</v>
      </c>
      <c r="K74" s="18">
        <v>1.8399700000000001</v>
      </c>
      <c r="L74" s="18">
        <v>1.8368100000000001</v>
      </c>
      <c r="M74" s="18">
        <v>1.8336399999999999</v>
      </c>
      <c r="N74" s="18">
        <v>1.8304499999999999</v>
      </c>
      <c r="O74" s="18">
        <v>1.8272699999999999</v>
      </c>
      <c r="P74" s="18">
        <v>1.8240799999999999</v>
      </c>
      <c r="Q74" s="18">
        <v>1.82087</v>
      </c>
      <c r="R74" s="18">
        <v>1.8176600000000001</v>
      </c>
      <c r="S74" s="18">
        <v>1.8144400000000001</v>
      </c>
      <c r="T74" s="18">
        <v>1.8111999999999999</v>
      </c>
      <c r="U74" s="19">
        <v>1.8079700000000001</v>
      </c>
      <c r="W74" s="16">
        <v>650</v>
      </c>
      <c r="X74" s="18">
        <v>1.8742300000000001</v>
      </c>
      <c r="Y74" s="18">
        <v>1.8773299999999999</v>
      </c>
      <c r="Z74" s="18">
        <v>1.88043</v>
      </c>
      <c r="AA74" s="18">
        <v>1.88354</v>
      </c>
      <c r="AB74" s="18">
        <v>1.8866700000000001</v>
      </c>
      <c r="AC74" s="18">
        <v>1.8897999999999999</v>
      </c>
      <c r="AD74" s="18">
        <v>1.8929499999999999</v>
      </c>
      <c r="AE74" s="18">
        <v>1.8960999999999999</v>
      </c>
      <c r="AF74" s="18">
        <v>1.8992599999999999</v>
      </c>
      <c r="AG74" s="18">
        <v>1.9024399999999999</v>
      </c>
      <c r="AH74" s="18">
        <v>1.9056200000000001</v>
      </c>
      <c r="AI74" s="18">
        <v>1.90882</v>
      </c>
      <c r="AJ74" s="18">
        <v>1.9120200000000001</v>
      </c>
      <c r="AK74" s="18">
        <v>1.91523</v>
      </c>
      <c r="AL74" s="18">
        <v>1.9184600000000001</v>
      </c>
      <c r="AM74" s="18">
        <v>1.9216899999999999</v>
      </c>
      <c r="AN74" s="18">
        <v>1.9249400000000001</v>
      </c>
      <c r="AO74" s="18">
        <v>1.9281900000000001</v>
      </c>
      <c r="AP74" s="18">
        <v>1.9314499999999999</v>
      </c>
      <c r="AQ74" s="19">
        <v>1.9347300000000001</v>
      </c>
    </row>
    <row r="75" spans="1:43" x14ac:dyDescent="0.2">
      <c r="A75" s="16">
        <v>700</v>
      </c>
      <c r="B75" s="18">
        <v>1.87297</v>
      </c>
      <c r="C75" s="18">
        <v>1.8701000000000001</v>
      </c>
      <c r="D75" s="18">
        <v>1.8672200000000001</v>
      </c>
      <c r="E75" s="18">
        <v>1.86435</v>
      </c>
      <c r="F75" s="18">
        <v>1.86145</v>
      </c>
      <c r="G75" s="18">
        <v>1.85856</v>
      </c>
      <c r="H75" s="18">
        <v>1.8556600000000001</v>
      </c>
      <c r="I75" s="18">
        <v>1.8527400000000001</v>
      </c>
      <c r="J75" s="18">
        <v>1.84982</v>
      </c>
      <c r="K75" s="18">
        <v>1.8469</v>
      </c>
      <c r="L75" s="18">
        <v>1.8439700000000001</v>
      </c>
      <c r="M75" s="18">
        <v>1.8410200000000001</v>
      </c>
      <c r="N75" s="18">
        <v>1.8380799999999999</v>
      </c>
      <c r="O75" s="18">
        <v>1.8351299999999999</v>
      </c>
      <c r="P75" s="18">
        <v>1.8321700000000001</v>
      </c>
      <c r="Q75" s="18">
        <v>1.8291999999999999</v>
      </c>
      <c r="R75" s="18">
        <v>1.82622</v>
      </c>
      <c r="S75" s="18">
        <v>1.82324</v>
      </c>
      <c r="T75" s="18">
        <v>1.8202499999999999</v>
      </c>
      <c r="U75" s="19">
        <v>1.8172600000000001</v>
      </c>
      <c r="W75" s="16">
        <v>700</v>
      </c>
      <c r="X75" s="18">
        <v>1.87869</v>
      </c>
      <c r="Y75" s="18">
        <v>1.8815599999999999</v>
      </c>
      <c r="Z75" s="18">
        <v>1.88443</v>
      </c>
      <c r="AA75" s="18">
        <v>1.8873200000000001</v>
      </c>
      <c r="AB75" s="18">
        <v>1.89022</v>
      </c>
      <c r="AC75" s="18">
        <v>1.89313</v>
      </c>
      <c r="AD75" s="18">
        <v>1.8960399999999999</v>
      </c>
      <c r="AE75" s="18">
        <v>1.89897</v>
      </c>
      <c r="AF75" s="18">
        <v>1.9018999999999999</v>
      </c>
      <c r="AG75" s="18">
        <v>1.9048400000000001</v>
      </c>
      <c r="AH75" s="18">
        <v>1.9077900000000001</v>
      </c>
      <c r="AI75" s="18">
        <v>1.9107400000000001</v>
      </c>
      <c r="AJ75" s="18">
        <v>1.91371</v>
      </c>
      <c r="AK75" s="18">
        <v>1.91669</v>
      </c>
      <c r="AL75" s="18">
        <v>1.91967</v>
      </c>
      <c r="AM75" s="18">
        <v>1.9226700000000001</v>
      </c>
      <c r="AN75" s="18">
        <v>1.92567</v>
      </c>
      <c r="AO75" s="18">
        <v>1.9286799999999999</v>
      </c>
      <c r="AP75" s="18">
        <v>1.9316899999999999</v>
      </c>
      <c r="AQ75" s="19">
        <v>1.9347300000000001</v>
      </c>
    </row>
    <row r="76" spans="1:43" x14ac:dyDescent="0.2">
      <c r="A76" s="16">
        <v>750</v>
      </c>
      <c r="B76" s="18">
        <v>1.8773599999999999</v>
      </c>
      <c r="C76" s="18">
        <v>1.8746799999999999</v>
      </c>
      <c r="D76" s="18">
        <v>1.8720000000000001</v>
      </c>
      <c r="E76" s="18">
        <v>1.86931</v>
      </c>
      <c r="F76" s="18">
        <v>1.8666199999999999</v>
      </c>
      <c r="G76" s="18">
        <v>1.86391</v>
      </c>
      <c r="H76" s="18">
        <v>1.86121</v>
      </c>
      <c r="I76" s="18">
        <v>1.8585</v>
      </c>
      <c r="J76" s="18">
        <v>1.85578</v>
      </c>
      <c r="K76" s="18">
        <v>1.8530500000000001</v>
      </c>
      <c r="L76" s="18">
        <v>1.8503099999999999</v>
      </c>
      <c r="M76" s="18">
        <v>1.84758</v>
      </c>
      <c r="N76" s="18">
        <v>1.84483</v>
      </c>
      <c r="O76" s="18">
        <v>1.8420799999999999</v>
      </c>
      <c r="P76" s="18">
        <v>1.8393299999999999</v>
      </c>
      <c r="Q76" s="18">
        <v>1.83656</v>
      </c>
      <c r="R76" s="18">
        <v>1.83378</v>
      </c>
      <c r="S76" s="18">
        <v>1.8310200000000001</v>
      </c>
      <c r="T76" s="18">
        <v>1.82823</v>
      </c>
      <c r="U76" s="19">
        <v>1.82545</v>
      </c>
      <c r="W76" s="16">
        <v>750</v>
      </c>
      <c r="X76" s="18">
        <v>1.8827</v>
      </c>
      <c r="Y76" s="18">
        <v>1.88537</v>
      </c>
      <c r="Z76" s="18">
        <v>1.8880600000000001</v>
      </c>
      <c r="AA76" s="18">
        <v>1.89076</v>
      </c>
      <c r="AB76" s="18">
        <v>1.8934599999999999</v>
      </c>
      <c r="AC76" s="18">
        <v>1.8961600000000001</v>
      </c>
      <c r="AD76" s="18">
        <v>1.8988799999999999</v>
      </c>
      <c r="AE76" s="18">
        <v>1.90161</v>
      </c>
      <c r="AF76" s="18">
        <v>1.9043399999999999</v>
      </c>
      <c r="AG76" s="18">
        <v>1.9070800000000001</v>
      </c>
      <c r="AH76" s="18">
        <v>1.9098200000000001</v>
      </c>
      <c r="AI76" s="18">
        <v>1.9125799999999999</v>
      </c>
      <c r="AJ76" s="18">
        <v>1.91534</v>
      </c>
      <c r="AK76" s="18">
        <v>1.91811</v>
      </c>
      <c r="AL76" s="18">
        <v>1.9208799999999999</v>
      </c>
      <c r="AM76" s="18">
        <v>1.92367</v>
      </c>
      <c r="AN76" s="18">
        <v>1.9264699999999999</v>
      </c>
      <c r="AO76" s="18">
        <v>1.92927</v>
      </c>
      <c r="AP76" s="18">
        <v>1.93207</v>
      </c>
      <c r="AQ76" s="19">
        <v>1.93489</v>
      </c>
    </row>
    <row r="77" spans="1:43" x14ac:dyDescent="0.2">
      <c r="A77" s="16">
        <v>800</v>
      </c>
      <c r="B77" s="18">
        <v>1.8813200000000001</v>
      </c>
      <c r="C77" s="18">
        <v>1.8788199999999999</v>
      </c>
      <c r="D77" s="18">
        <v>1.8763000000000001</v>
      </c>
      <c r="E77" s="18">
        <v>1.8737900000000001</v>
      </c>
      <c r="F77" s="18">
        <v>1.8712599999999999</v>
      </c>
      <c r="G77" s="18">
        <v>1.86873</v>
      </c>
      <c r="H77" s="18">
        <v>1.86619</v>
      </c>
      <c r="I77" s="18">
        <v>1.86365</v>
      </c>
      <c r="J77" s="18">
        <v>1.8611</v>
      </c>
      <c r="K77" s="18">
        <v>1.8585499999999999</v>
      </c>
      <c r="L77" s="18">
        <v>1.85599</v>
      </c>
      <c r="M77" s="18">
        <v>1.8534299999999999</v>
      </c>
      <c r="N77" s="18">
        <v>1.8508599999999999</v>
      </c>
      <c r="O77" s="18">
        <v>1.84829</v>
      </c>
      <c r="P77" s="18">
        <v>1.84571</v>
      </c>
      <c r="Q77" s="18">
        <v>1.8431200000000001</v>
      </c>
      <c r="R77" s="18">
        <v>1.84053</v>
      </c>
      <c r="S77" s="18">
        <v>1.8379399999999999</v>
      </c>
      <c r="T77" s="18">
        <v>1.8353299999999999</v>
      </c>
      <c r="U77" s="19">
        <v>1.83273</v>
      </c>
      <c r="W77" s="16">
        <v>800</v>
      </c>
      <c r="X77" s="18">
        <v>1.8863300000000001</v>
      </c>
      <c r="Y77" s="18">
        <v>1.8888400000000001</v>
      </c>
      <c r="Z77" s="18">
        <v>1.8913500000000001</v>
      </c>
      <c r="AA77" s="18">
        <v>1.89388</v>
      </c>
      <c r="AB77" s="18">
        <v>1.8964099999999999</v>
      </c>
      <c r="AC77" s="18">
        <v>1.8989400000000001</v>
      </c>
      <c r="AD77" s="18">
        <v>1.9014899999999999</v>
      </c>
      <c r="AE77" s="18">
        <v>1.90404</v>
      </c>
      <c r="AF77" s="18">
        <v>1.9066000000000001</v>
      </c>
      <c r="AG77" s="18">
        <v>1.90916</v>
      </c>
      <c r="AH77" s="18">
        <v>1.91174</v>
      </c>
      <c r="AI77" s="18">
        <v>1.91431</v>
      </c>
      <c r="AJ77" s="18">
        <v>1.9169</v>
      </c>
      <c r="AK77" s="18">
        <v>1.9194800000000001</v>
      </c>
      <c r="AL77" s="18">
        <v>1.92208</v>
      </c>
      <c r="AM77" s="18">
        <v>1.9246799999999999</v>
      </c>
      <c r="AN77" s="18">
        <v>1.9273</v>
      </c>
      <c r="AO77" s="18">
        <v>1.92991</v>
      </c>
      <c r="AP77" s="18">
        <v>1.9325300000000001</v>
      </c>
      <c r="AQ77" s="19">
        <v>1.93516</v>
      </c>
    </row>
    <row r="78" spans="1:43" x14ac:dyDescent="0.2">
      <c r="A78" s="16">
        <v>850</v>
      </c>
      <c r="B78" s="18">
        <v>1.8849400000000001</v>
      </c>
      <c r="C78" s="18">
        <v>1.8825799999999999</v>
      </c>
      <c r="D78" s="18">
        <v>1.8802099999999999</v>
      </c>
      <c r="E78" s="18">
        <v>1.87784</v>
      </c>
      <c r="F78" s="18">
        <v>1.8754599999999999</v>
      </c>
      <c r="G78" s="18">
        <v>1.8730800000000001</v>
      </c>
      <c r="H78" s="18">
        <v>1.8707</v>
      </c>
      <c r="I78" s="18">
        <v>1.8683099999999999</v>
      </c>
      <c r="J78" s="18">
        <v>1.86591</v>
      </c>
      <c r="K78" s="18">
        <v>1.86351</v>
      </c>
      <c r="L78" s="18">
        <v>1.86111</v>
      </c>
      <c r="M78" s="18">
        <v>1.8587</v>
      </c>
      <c r="N78" s="18">
        <v>1.85629</v>
      </c>
      <c r="O78" s="18">
        <v>1.8538699999999999</v>
      </c>
      <c r="P78" s="18">
        <v>1.85144</v>
      </c>
      <c r="Q78" s="18">
        <v>1.84901</v>
      </c>
      <c r="R78" s="18">
        <v>1.84657</v>
      </c>
      <c r="S78" s="18">
        <v>1.8441399999999999</v>
      </c>
      <c r="T78" s="18">
        <v>1.8416999999999999</v>
      </c>
      <c r="U78" s="19">
        <v>1.8392500000000001</v>
      </c>
      <c r="W78" s="16">
        <v>850</v>
      </c>
      <c r="X78" s="18">
        <v>1.88964</v>
      </c>
      <c r="Y78" s="18">
        <v>1.89201</v>
      </c>
      <c r="Z78" s="18">
        <v>1.8943700000000001</v>
      </c>
      <c r="AA78" s="18">
        <v>1.8967499999999999</v>
      </c>
      <c r="AB78" s="18">
        <v>1.8991199999999999</v>
      </c>
      <c r="AC78" s="18">
        <v>1.90151</v>
      </c>
      <c r="AD78" s="18">
        <v>1.90391</v>
      </c>
      <c r="AE78" s="18">
        <v>1.9063000000000001</v>
      </c>
      <c r="AF78" s="18">
        <v>1.9087099999999999</v>
      </c>
      <c r="AG78" s="18">
        <v>1.9111199999999999</v>
      </c>
      <c r="AH78" s="18">
        <v>1.91353</v>
      </c>
      <c r="AI78" s="18">
        <v>1.91595</v>
      </c>
      <c r="AJ78" s="18">
        <v>1.91838</v>
      </c>
      <c r="AK78" s="18">
        <v>1.9208099999999999</v>
      </c>
      <c r="AL78" s="18">
        <v>1.9232499999999999</v>
      </c>
      <c r="AM78" s="18">
        <v>1.9257</v>
      </c>
      <c r="AN78" s="18">
        <v>1.92814</v>
      </c>
      <c r="AO78" s="18">
        <v>1.9306000000000001</v>
      </c>
      <c r="AP78" s="18">
        <v>1.93306</v>
      </c>
      <c r="AQ78" s="19">
        <v>1.93553</v>
      </c>
    </row>
    <row r="79" spans="1:43" x14ac:dyDescent="0.2">
      <c r="A79" s="16">
        <v>900</v>
      </c>
      <c r="B79" s="18">
        <v>1.8882300000000001</v>
      </c>
      <c r="C79" s="18">
        <v>1.88601</v>
      </c>
      <c r="D79" s="18">
        <v>1.8837699999999999</v>
      </c>
      <c r="E79" s="18">
        <v>1.8815299999999999</v>
      </c>
      <c r="F79" s="18">
        <v>1.8792899999999999</v>
      </c>
      <c r="G79" s="18">
        <v>1.8770500000000001</v>
      </c>
      <c r="H79" s="18">
        <v>1.8748</v>
      </c>
      <c r="I79" s="18">
        <v>1.8725400000000001</v>
      </c>
      <c r="J79" s="18">
        <v>1.8702799999999999</v>
      </c>
      <c r="K79" s="18">
        <v>1.86802</v>
      </c>
      <c r="L79" s="18">
        <v>1.86575</v>
      </c>
      <c r="M79" s="18">
        <v>1.86347</v>
      </c>
      <c r="N79" s="18">
        <v>1.8612</v>
      </c>
      <c r="O79" s="18">
        <v>1.8589199999999999</v>
      </c>
      <c r="P79" s="18">
        <v>1.85663</v>
      </c>
      <c r="Q79" s="18">
        <v>1.8543400000000001</v>
      </c>
      <c r="R79" s="18">
        <v>1.8520399999999999</v>
      </c>
      <c r="S79" s="18">
        <v>1.8497399999999999</v>
      </c>
      <c r="T79" s="18">
        <v>1.84744</v>
      </c>
      <c r="U79" s="19">
        <v>1.8451299999999999</v>
      </c>
      <c r="W79" s="16">
        <v>900</v>
      </c>
      <c r="X79" s="18">
        <v>1.8926799999999999</v>
      </c>
      <c r="Y79" s="18">
        <v>1.8949100000000001</v>
      </c>
      <c r="Z79" s="18">
        <v>1.89714</v>
      </c>
      <c r="AA79" s="18">
        <v>1.8993899999999999</v>
      </c>
      <c r="AB79" s="18">
        <v>1.9016299999999999</v>
      </c>
      <c r="AC79" s="18">
        <v>1.9038900000000001</v>
      </c>
      <c r="AD79" s="18">
        <v>1.9061399999999999</v>
      </c>
      <c r="AE79" s="18">
        <v>1.9084000000000001</v>
      </c>
      <c r="AF79" s="18">
        <v>1.9106700000000001</v>
      </c>
      <c r="AG79" s="18">
        <v>1.9129400000000001</v>
      </c>
      <c r="AH79" s="18">
        <v>1.9152199999999999</v>
      </c>
      <c r="AI79" s="18">
        <v>1.9175</v>
      </c>
      <c r="AJ79" s="18">
        <v>1.9197900000000001</v>
      </c>
      <c r="AK79" s="18">
        <v>1.9220900000000001</v>
      </c>
      <c r="AL79" s="18">
        <v>1.92438</v>
      </c>
      <c r="AM79" s="18">
        <v>1.9266799999999999</v>
      </c>
      <c r="AN79" s="18">
        <v>1.929</v>
      </c>
      <c r="AO79" s="18">
        <v>1.9313100000000001</v>
      </c>
      <c r="AP79" s="18">
        <v>1.93363</v>
      </c>
      <c r="AQ79" s="19">
        <v>1.9359599999999999</v>
      </c>
    </row>
    <row r="80" spans="1:43" x14ac:dyDescent="0.2">
      <c r="A80" s="16">
        <v>950</v>
      </c>
      <c r="B80" s="18">
        <v>1.89127</v>
      </c>
      <c r="C80" s="18">
        <v>1.8891500000000001</v>
      </c>
      <c r="D80" s="18">
        <v>1.8870400000000001</v>
      </c>
      <c r="E80" s="18">
        <v>1.8849199999999999</v>
      </c>
      <c r="F80" s="18">
        <v>1.88279</v>
      </c>
      <c r="G80" s="18">
        <v>1.8806700000000001</v>
      </c>
      <c r="H80" s="18">
        <v>1.8785400000000001</v>
      </c>
      <c r="I80" s="18">
        <v>1.8764000000000001</v>
      </c>
      <c r="J80" s="18">
        <v>1.87426</v>
      </c>
      <c r="K80" s="18">
        <v>1.87212</v>
      </c>
      <c r="L80" s="18">
        <v>1.86998</v>
      </c>
      <c r="M80" s="18">
        <v>1.86782</v>
      </c>
      <c r="N80" s="18">
        <v>1.8656699999999999</v>
      </c>
      <c r="O80" s="18">
        <v>1.86351</v>
      </c>
      <c r="P80" s="18">
        <v>1.8613500000000001</v>
      </c>
      <c r="Q80" s="18">
        <v>1.8591899999999999</v>
      </c>
      <c r="R80" s="18">
        <v>1.85701</v>
      </c>
      <c r="S80" s="18">
        <v>1.85483</v>
      </c>
      <c r="T80" s="18">
        <v>1.85266</v>
      </c>
      <c r="U80" s="19">
        <v>1.8504799999999999</v>
      </c>
      <c r="W80" s="16">
        <v>950</v>
      </c>
      <c r="X80" s="18">
        <v>1.8954800000000001</v>
      </c>
      <c r="Y80" s="18">
        <v>1.8976</v>
      </c>
      <c r="Z80" s="18">
        <v>1.89971</v>
      </c>
      <c r="AA80" s="18">
        <v>1.90184</v>
      </c>
      <c r="AB80" s="18">
        <v>1.9039600000000001</v>
      </c>
      <c r="AC80" s="18">
        <v>1.9060900000000001</v>
      </c>
      <c r="AD80" s="18">
        <v>1.9082300000000001</v>
      </c>
      <c r="AE80" s="18">
        <v>1.9103600000000001</v>
      </c>
      <c r="AF80" s="18">
        <v>1.9125099999999999</v>
      </c>
      <c r="AG80" s="18">
        <v>1.91466</v>
      </c>
      <c r="AH80" s="18">
        <v>1.91682</v>
      </c>
      <c r="AI80" s="18">
        <v>1.9189700000000001</v>
      </c>
      <c r="AJ80" s="18">
        <v>1.9211499999999999</v>
      </c>
      <c r="AK80" s="18">
        <v>1.9233100000000001</v>
      </c>
      <c r="AL80" s="18">
        <v>1.9254800000000001</v>
      </c>
      <c r="AM80" s="18">
        <v>1.9276599999999999</v>
      </c>
      <c r="AN80" s="18">
        <v>1.92984</v>
      </c>
      <c r="AO80" s="18">
        <v>1.9320299999999999</v>
      </c>
      <c r="AP80" s="18">
        <v>1.9342299999999999</v>
      </c>
      <c r="AQ80" s="19">
        <v>1.93642</v>
      </c>
    </row>
    <row r="81" spans="1:43" x14ac:dyDescent="0.2">
      <c r="A81" s="16">
        <v>1000</v>
      </c>
      <c r="B81" s="18">
        <v>1.8940699999999999</v>
      </c>
      <c r="C81" s="18">
        <v>1.8920600000000001</v>
      </c>
      <c r="D81" s="18">
        <v>1.89005</v>
      </c>
      <c r="E81" s="18">
        <v>1.8880399999999999</v>
      </c>
      <c r="F81" s="18">
        <v>1.88602</v>
      </c>
      <c r="G81" s="18">
        <v>1.8839999999999999</v>
      </c>
      <c r="H81" s="18">
        <v>1.88198</v>
      </c>
      <c r="I81" s="18">
        <v>1.87995</v>
      </c>
      <c r="J81" s="18">
        <v>1.87792</v>
      </c>
      <c r="K81" s="18">
        <v>1.8758900000000001</v>
      </c>
      <c r="L81" s="18">
        <v>1.8738600000000001</v>
      </c>
      <c r="M81" s="18">
        <v>1.87181</v>
      </c>
      <c r="N81" s="18">
        <v>1.8697600000000001</v>
      </c>
      <c r="O81" s="18">
        <v>1.86772</v>
      </c>
      <c r="P81" s="18">
        <v>1.8656699999999999</v>
      </c>
      <c r="Q81" s="18">
        <v>1.86361</v>
      </c>
      <c r="R81" s="18">
        <v>1.86155</v>
      </c>
      <c r="S81" s="18">
        <v>1.8594900000000001</v>
      </c>
      <c r="T81" s="18">
        <v>1.8574200000000001</v>
      </c>
      <c r="U81" s="19">
        <v>1.8553500000000001</v>
      </c>
      <c r="W81" s="16">
        <v>1000</v>
      </c>
      <c r="X81" s="18">
        <v>1.8980699999999999</v>
      </c>
      <c r="Y81" s="18">
        <v>1.90008</v>
      </c>
      <c r="Z81" s="18">
        <v>1.9020900000000001</v>
      </c>
      <c r="AA81" s="18">
        <v>1.9040999999999999</v>
      </c>
      <c r="AB81" s="18">
        <v>1.90612</v>
      </c>
      <c r="AC81" s="18">
        <v>1.90815</v>
      </c>
      <c r="AD81" s="18">
        <v>1.91018</v>
      </c>
      <c r="AE81" s="18">
        <v>1.91221</v>
      </c>
      <c r="AF81" s="18">
        <v>1.9142399999999999</v>
      </c>
      <c r="AG81" s="18">
        <v>1.91628</v>
      </c>
      <c r="AH81" s="18">
        <v>1.91832</v>
      </c>
      <c r="AI81" s="18">
        <v>1.9203699999999999</v>
      </c>
      <c r="AJ81" s="18">
        <v>1.9224300000000001</v>
      </c>
      <c r="AK81" s="18">
        <v>1.92448</v>
      </c>
      <c r="AL81" s="18">
        <v>1.92655</v>
      </c>
      <c r="AM81" s="18">
        <v>1.9286099999999999</v>
      </c>
      <c r="AN81" s="18">
        <v>1.93069</v>
      </c>
      <c r="AO81" s="18">
        <v>1.93276</v>
      </c>
      <c r="AP81" s="18">
        <v>1.93483</v>
      </c>
      <c r="AQ81" s="19">
        <v>1.93692</v>
      </c>
    </row>
    <row r="82" spans="1:43" x14ac:dyDescent="0.2">
      <c r="A82" s="16">
        <v>1050</v>
      </c>
      <c r="B82" s="18">
        <v>1.89666</v>
      </c>
      <c r="C82" s="18">
        <v>1.8947499999999999</v>
      </c>
      <c r="D82" s="18">
        <v>1.8928400000000001</v>
      </c>
      <c r="E82" s="18">
        <v>1.89093</v>
      </c>
      <c r="F82" s="18">
        <v>1.889</v>
      </c>
      <c r="G82" s="18">
        <v>1.8870800000000001</v>
      </c>
      <c r="H82" s="18">
        <v>1.8851599999999999</v>
      </c>
      <c r="I82" s="18">
        <v>1.8832199999999999</v>
      </c>
      <c r="J82" s="18">
        <v>1.8813</v>
      </c>
      <c r="K82" s="18">
        <v>1.8793599999999999</v>
      </c>
      <c r="L82" s="18">
        <v>1.87741</v>
      </c>
      <c r="M82" s="18">
        <v>1.87548</v>
      </c>
      <c r="N82" s="18">
        <v>1.8735299999999999</v>
      </c>
      <c r="O82" s="18">
        <v>1.87158</v>
      </c>
      <c r="P82" s="18">
        <v>1.8696299999999999</v>
      </c>
      <c r="Q82" s="18">
        <v>1.86768</v>
      </c>
      <c r="R82" s="18">
        <v>1.86571</v>
      </c>
      <c r="S82" s="18">
        <v>1.8637600000000001</v>
      </c>
      <c r="T82" s="18">
        <v>1.8617900000000001</v>
      </c>
      <c r="U82" s="19">
        <v>1.85982</v>
      </c>
      <c r="W82" s="16">
        <v>1050</v>
      </c>
      <c r="X82" s="18">
        <v>1.9004799999999999</v>
      </c>
      <c r="Y82" s="18">
        <v>1.90238</v>
      </c>
      <c r="Z82" s="18">
        <v>1.9043000000000001</v>
      </c>
      <c r="AA82" s="18">
        <v>1.90621</v>
      </c>
      <c r="AB82" s="18">
        <v>1.9081399999999999</v>
      </c>
      <c r="AC82" s="18">
        <v>1.9100699999999999</v>
      </c>
      <c r="AD82" s="18">
        <v>1.9119999999999999</v>
      </c>
      <c r="AE82" s="18">
        <v>1.9139299999999999</v>
      </c>
      <c r="AF82" s="18">
        <v>1.91587</v>
      </c>
      <c r="AG82" s="18">
        <v>1.91781</v>
      </c>
      <c r="AH82" s="18">
        <v>1.9197500000000001</v>
      </c>
      <c r="AI82" s="18">
        <v>1.9217</v>
      </c>
      <c r="AJ82" s="18">
        <v>1.9236599999999999</v>
      </c>
      <c r="AK82" s="18">
        <v>1.9256200000000001</v>
      </c>
      <c r="AL82" s="18">
        <v>1.9275800000000001</v>
      </c>
      <c r="AM82" s="18">
        <v>1.92954</v>
      </c>
      <c r="AN82" s="18">
        <v>1.9315100000000001</v>
      </c>
      <c r="AO82" s="18">
        <v>1.9334800000000001</v>
      </c>
      <c r="AP82" s="18">
        <v>1.93546</v>
      </c>
      <c r="AQ82" s="19">
        <v>1.93743</v>
      </c>
    </row>
    <row r="83" spans="1:43" x14ac:dyDescent="0.2">
      <c r="A83" s="16">
        <v>1100</v>
      </c>
      <c r="B83" s="18">
        <v>1.89907</v>
      </c>
      <c r="C83" s="18">
        <v>1.8972500000000001</v>
      </c>
      <c r="D83" s="18">
        <v>1.8954299999999999</v>
      </c>
      <c r="E83" s="18">
        <v>1.8935999999999999</v>
      </c>
      <c r="F83" s="18">
        <v>1.89177</v>
      </c>
      <c r="G83" s="18">
        <v>1.8899300000000001</v>
      </c>
      <c r="H83" s="18">
        <v>1.88809</v>
      </c>
      <c r="I83" s="18">
        <v>1.88625</v>
      </c>
      <c r="J83" s="18">
        <v>1.8844099999999999</v>
      </c>
      <c r="K83" s="18">
        <v>1.88256</v>
      </c>
      <c r="L83" s="18">
        <v>1.8807100000000001</v>
      </c>
      <c r="M83" s="18">
        <v>1.87886</v>
      </c>
      <c r="N83" s="18">
        <v>1.877</v>
      </c>
      <c r="O83" s="18">
        <v>1.87514</v>
      </c>
      <c r="P83" s="18">
        <v>1.8732800000000001</v>
      </c>
      <c r="Q83" s="18">
        <v>1.8714299999999999</v>
      </c>
      <c r="R83" s="18">
        <v>1.8695600000000001</v>
      </c>
      <c r="S83" s="18">
        <v>1.8676900000000001</v>
      </c>
      <c r="T83" s="18">
        <v>1.86581</v>
      </c>
      <c r="U83" s="19">
        <v>1.8639399999999999</v>
      </c>
      <c r="W83" s="16">
        <v>1100</v>
      </c>
      <c r="X83" s="18">
        <v>1.9027099999999999</v>
      </c>
      <c r="Y83" s="18">
        <v>1.9045399999999999</v>
      </c>
      <c r="Z83" s="18">
        <v>1.9063600000000001</v>
      </c>
      <c r="AA83" s="18">
        <v>1.9081999999999999</v>
      </c>
      <c r="AB83" s="18">
        <v>1.9100299999999999</v>
      </c>
      <c r="AC83" s="18">
        <v>1.91187</v>
      </c>
      <c r="AD83" s="18">
        <v>1.91371</v>
      </c>
      <c r="AE83" s="18">
        <v>1.9155500000000001</v>
      </c>
      <c r="AF83" s="18">
        <v>1.9174100000000001</v>
      </c>
      <c r="AG83" s="18">
        <v>1.91926</v>
      </c>
      <c r="AH83" s="18">
        <v>1.9211100000000001</v>
      </c>
      <c r="AI83" s="18">
        <v>1.9229700000000001</v>
      </c>
      <c r="AJ83" s="18">
        <v>1.92483</v>
      </c>
      <c r="AK83" s="18">
        <v>1.92669</v>
      </c>
      <c r="AL83" s="18">
        <v>1.9285600000000001</v>
      </c>
      <c r="AM83" s="18">
        <v>1.9304300000000001</v>
      </c>
      <c r="AN83" s="18">
        <v>1.93232</v>
      </c>
      <c r="AO83" s="18">
        <v>1.9341999999999999</v>
      </c>
      <c r="AP83" s="18">
        <v>1.93608</v>
      </c>
      <c r="AQ83" s="19">
        <v>1.9379599999999999</v>
      </c>
    </row>
    <row r="84" spans="1:43" x14ac:dyDescent="0.2">
      <c r="A84" s="16">
        <v>1150</v>
      </c>
      <c r="B84" s="18">
        <v>1.90133</v>
      </c>
      <c r="C84" s="18">
        <v>1.8995899999999999</v>
      </c>
      <c r="D84" s="18">
        <v>1.89784</v>
      </c>
      <c r="E84" s="18">
        <v>1.8960900000000001</v>
      </c>
      <c r="F84" s="18">
        <v>1.89435</v>
      </c>
      <c r="G84" s="18">
        <v>1.89259</v>
      </c>
      <c r="H84" s="18">
        <v>1.89083</v>
      </c>
      <c r="I84" s="18">
        <v>1.88907</v>
      </c>
      <c r="J84" s="18">
        <v>1.88731</v>
      </c>
      <c r="K84" s="18">
        <v>1.88554</v>
      </c>
      <c r="L84" s="18">
        <v>1.88378</v>
      </c>
      <c r="M84" s="18">
        <v>1.8819999999999999</v>
      </c>
      <c r="N84" s="18">
        <v>1.8802300000000001</v>
      </c>
      <c r="O84" s="18">
        <v>1.87846</v>
      </c>
      <c r="P84" s="18">
        <v>1.8766700000000001</v>
      </c>
      <c r="Q84" s="18">
        <v>1.8748899999999999</v>
      </c>
      <c r="R84" s="18">
        <v>1.8731100000000001</v>
      </c>
      <c r="S84" s="18">
        <v>1.8713200000000001</v>
      </c>
      <c r="T84" s="18">
        <v>1.8695299999999999</v>
      </c>
      <c r="U84" s="19">
        <v>1.86774</v>
      </c>
      <c r="W84" s="16">
        <v>1150</v>
      </c>
      <c r="X84" s="18">
        <v>1.9048099999999999</v>
      </c>
      <c r="Y84" s="18">
        <v>1.90655</v>
      </c>
      <c r="Z84" s="18">
        <v>1.90831</v>
      </c>
      <c r="AA84" s="18">
        <v>1.91005</v>
      </c>
      <c r="AB84" s="18">
        <v>1.9117999999999999</v>
      </c>
      <c r="AC84" s="18">
        <v>1.9135599999999999</v>
      </c>
      <c r="AD84" s="18">
        <v>1.91533</v>
      </c>
      <c r="AE84" s="18">
        <v>1.91709</v>
      </c>
      <c r="AF84" s="18">
        <v>1.9188499999999999</v>
      </c>
      <c r="AG84" s="18">
        <v>1.92062</v>
      </c>
      <c r="AH84" s="18">
        <v>1.92239</v>
      </c>
      <c r="AI84" s="18">
        <v>1.9241699999999999</v>
      </c>
      <c r="AJ84" s="18">
        <v>1.9259500000000001</v>
      </c>
      <c r="AK84" s="18">
        <v>1.9277299999999999</v>
      </c>
      <c r="AL84" s="18">
        <v>1.9295199999999999</v>
      </c>
      <c r="AM84" s="18">
        <v>1.9313100000000001</v>
      </c>
      <c r="AN84" s="18">
        <v>1.9331</v>
      </c>
      <c r="AO84" s="18">
        <v>1.93489</v>
      </c>
      <c r="AP84" s="18">
        <v>1.9367000000000001</v>
      </c>
      <c r="AQ84" s="19">
        <v>1.9384999999999999</v>
      </c>
    </row>
    <row r="85" spans="1:43" x14ac:dyDescent="0.2">
      <c r="A85" s="16">
        <v>1200</v>
      </c>
      <c r="B85" s="18">
        <v>1.90344</v>
      </c>
      <c r="C85" s="18">
        <v>1.90177</v>
      </c>
      <c r="D85" s="18">
        <v>1.9000900000000001</v>
      </c>
      <c r="E85" s="18">
        <v>1.89842</v>
      </c>
      <c r="F85" s="18">
        <v>1.8967400000000001</v>
      </c>
      <c r="G85" s="18">
        <v>1.89507</v>
      </c>
      <c r="H85" s="18">
        <v>1.8933800000000001</v>
      </c>
      <c r="I85" s="18">
        <v>1.8916999999999999</v>
      </c>
      <c r="J85" s="18">
        <v>1.89001</v>
      </c>
      <c r="K85" s="18">
        <v>1.88832</v>
      </c>
      <c r="L85" s="18">
        <v>1.88662</v>
      </c>
      <c r="M85" s="18">
        <v>1.8849199999999999</v>
      </c>
      <c r="N85" s="18">
        <v>1.88323</v>
      </c>
      <c r="O85" s="18">
        <v>1.8815200000000001</v>
      </c>
      <c r="P85" s="18">
        <v>1.8798299999999999</v>
      </c>
      <c r="Q85" s="18">
        <v>1.8781099999999999</v>
      </c>
      <c r="R85" s="18">
        <v>1.8764099999999999</v>
      </c>
      <c r="S85" s="18">
        <v>1.8747100000000001</v>
      </c>
      <c r="T85" s="18">
        <v>1.8729899999999999</v>
      </c>
      <c r="U85" s="19">
        <v>1.8712800000000001</v>
      </c>
      <c r="W85" s="16">
        <v>1200</v>
      </c>
      <c r="X85" s="18">
        <v>1.9067799999999999</v>
      </c>
      <c r="Y85" s="18">
        <v>1.9084399999999999</v>
      </c>
      <c r="Z85" s="18">
        <v>1.91012</v>
      </c>
      <c r="AA85" s="18">
        <v>1.9117999999999999</v>
      </c>
      <c r="AB85" s="18">
        <v>1.9134800000000001</v>
      </c>
      <c r="AC85" s="18">
        <v>1.91516</v>
      </c>
      <c r="AD85" s="18">
        <v>1.9168400000000001</v>
      </c>
      <c r="AE85" s="18">
        <v>1.9185399999999999</v>
      </c>
      <c r="AF85" s="18">
        <v>1.9202300000000001</v>
      </c>
      <c r="AG85" s="18">
        <v>1.9219200000000001</v>
      </c>
      <c r="AH85" s="18">
        <v>1.9236200000000001</v>
      </c>
      <c r="AI85" s="18">
        <v>1.9253199999999999</v>
      </c>
      <c r="AJ85" s="18">
        <v>1.92702</v>
      </c>
      <c r="AK85" s="18">
        <v>1.9287300000000001</v>
      </c>
      <c r="AL85" s="18">
        <v>1.9304399999999999</v>
      </c>
      <c r="AM85" s="18">
        <v>1.93215</v>
      </c>
      <c r="AN85" s="18">
        <v>1.93387</v>
      </c>
      <c r="AO85" s="18">
        <v>1.9355899999999999</v>
      </c>
      <c r="AP85" s="18">
        <v>1.9373</v>
      </c>
      <c r="AQ85" s="19">
        <v>1.93902</v>
      </c>
    </row>
    <row r="86" spans="1:43" x14ac:dyDescent="0.2">
      <c r="A86" s="16">
        <v>1250</v>
      </c>
      <c r="B86" s="18">
        <v>1.9054199999999999</v>
      </c>
      <c r="C86" s="18">
        <v>1.9038200000000001</v>
      </c>
      <c r="D86" s="18">
        <v>1.90221</v>
      </c>
      <c r="E86" s="18">
        <v>1.9006099999999999</v>
      </c>
      <c r="F86" s="18">
        <v>1.89899</v>
      </c>
      <c r="G86" s="18">
        <v>1.8973899999999999</v>
      </c>
      <c r="H86" s="18">
        <v>1.89577</v>
      </c>
      <c r="I86" s="18">
        <v>1.89415</v>
      </c>
      <c r="J86" s="18">
        <v>1.89253</v>
      </c>
      <c r="K86" s="18">
        <v>1.8909100000000001</v>
      </c>
      <c r="L86" s="18">
        <v>1.8892800000000001</v>
      </c>
      <c r="M86" s="18">
        <v>1.8876599999999999</v>
      </c>
      <c r="N86" s="18">
        <v>1.88602</v>
      </c>
      <c r="O86" s="18">
        <v>1.8844000000000001</v>
      </c>
      <c r="P86" s="18">
        <v>1.88276</v>
      </c>
      <c r="Q86" s="18">
        <v>1.88113</v>
      </c>
      <c r="R86" s="18">
        <v>1.87948</v>
      </c>
      <c r="S86" s="18">
        <v>1.87785</v>
      </c>
      <c r="T86" s="18">
        <v>1.8762099999999999</v>
      </c>
      <c r="U86" s="19">
        <v>1.87456</v>
      </c>
      <c r="W86" s="16">
        <v>1250</v>
      </c>
      <c r="X86" s="18">
        <v>1.90862</v>
      </c>
      <c r="Y86" s="18">
        <v>1.9102300000000001</v>
      </c>
      <c r="Z86" s="18">
        <v>1.9118299999999999</v>
      </c>
      <c r="AA86" s="18">
        <v>1.91344</v>
      </c>
      <c r="AB86" s="18">
        <v>1.91506</v>
      </c>
      <c r="AC86" s="18">
        <v>1.9166700000000001</v>
      </c>
      <c r="AD86" s="18">
        <v>1.91828</v>
      </c>
      <c r="AE86" s="18">
        <v>1.91991</v>
      </c>
      <c r="AF86" s="18">
        <v>1.92153</v>
      </c>
      <c r="AG86" s="18">
        <v>1.92316</v>
      </c>
      <c r="AH86" s="18">
        <v>1.9247799999999999</v>
      </c>
      <c r="AI86" s="18">
        <v>1.92642</v>
      </c>
      <c r="AJ86" s="18">
        <v>1.92805</v>
      </c>
      <c r="AK86" s="18">
        <v>1.9296899999999999</v>
      </c>
      <c r="AL86" s="18">
        <v>1.9313199999999999</v>
      </c>
      <c r="AM86" s="18">
        <v>1.9329700000000001</v>
      </c>
      <c r="AN86" s="18">
        <v>1.93462</v>
      </c>
      <c r="AO86" s="18">
        <v>1.9362600000000001</v>
      </c>
      <c r="AP86" s="18">
        <v>1.93791</v>
      </c>
      <c r="AQ86" s="19">
        <v>1.93957</v>
      </c>
    </row>
    <row r="87" spans="1:43" x14ac:dyDescent="0.2">
      <c r="A87" s="16">
        <v>1300</v>
      </c>
      <c r="B87" s="18">
        <v>1.9072899999999999</v>
      </c>
      <c r="C87" s="18">
        <v>1.90574</v>
      </c>
      <c r="D87" s="18">
        <v>1.9041999999999999</v>
      </c>
      <c r="E87" s="18">
        <v>1.90266</v>
      </c>
      <c r="F87" s="18">
        <v>1.9011100000000001</v>
      </c>
      <c r="G87" s="18">
        <v>1.8995500000000001</v>
      </c>
      <c r="H87" s="18">
        <v>1.8979999999999999</v>
      </c>
      <c r="I87" s="18">
        <v>1.89645</v>
      </c>
      <c r="J87" s="18">
        <v>1.89489</v>
      </c>
      <c r="K87" s="18">
        <v>1.89333</v>
      </c>
      <c r="L87" s="18">
        <v>1.89177</v>
      </c>
      <c r="M87" s="18">
        <v>1.8902099999999999</v>
      </c>
      <c r="N87" s="18">
        <v>1.8886400000000001</v>
      </c>
      <c r="O87" s="18">
        <v>1.8870800000000001</v>
      </c>
      <c r="P87" s="18">
        <v>1.88551</v>
      </c>
      <c r="Q87" s="18">
        <v>1.8839399999999999</v>
      </c>
      <c r="R87" s="18">
        <v>1.88236</v>
      </c>
      <c r="S87" s="18">
        <v>1.88079</v>
      </c>
      <c r="T87" s="18">
        <v>1.87921</v>
      </c>
      <c r="U87" s="19">
        <v>1.8776299999999999</v>
      </c>
      <c r="W87" s="16">
        <v>1300</v>
      </c>
      <c r="X87" s="18">
        <v>1.9103600000000001</v>
      </c>
      <c r="Y87" s="18">
        <v>1.91191</v>
      </c>
      <c r="Z87" s="18">
        <v>1.9134500000000001</v>
      </c>
      <c r="AA87" s="18">
        <v>1.915</v>
      </c>
      <c r="AB87" s="18">
        <v>1.91655</v>
      </c>
      <c r="AC87" s="18">
        <v>1.9180999999999999</v>
      </c>
      <c r="AD87" s="18">
        <v>1.9196599999999999</v>
      </c>
      <c r="AE87" s="18">
        <v>1.9212100000000001</v>
      </c>
      <c r="AF87" s="18">
        <v>1.9227700000000001</v>
      </c>
      <c r="AG87" s="18">
        <v>1.9243300000000001</v>
      </c>
      <c r="AH87" s="18">
        <v>1.9258999999999999</v>
      </c>
      <c r="AI87" s="18">
        <v>1.92747</v>
      </c>
      <c r="AJ87" s="18">
        <v>1.92903</v>
      </c>
      <c r="AK87" s="18">
        <v>1.9306099999999999</v>
      </c>
      <c r="AL87" s="18">
        <v>1.93218</v>
      </c>
      <c r="AM87" s="18">
        <v>1.9337599999999999</v>
      </c>
      <c r="AN87" s="18">
        <v>1.9353400000000001</v>
      </c>
      <c r="AO87" s="18">
        <v>1.93692</v>
      </c>
      <c r="AP87" s="18">
        <v>1.93851</v>
      </c>
      <c r="AQ87" s="19">
        <v>1.9400900000000001</v>
      </c>
    </row>
    <row r="88" spans="1:43" x14ac:dyDescent="0.2">
      <c r="A88" s="16">
        <v>1350</v>
      </c>
      <c r="B88" s="18">
        <v>1.9090499999999999</v>
      </c>
      <c r="C88" s="18">
        <v>1.9075599999999999</v>
      </c>
      <c r="D88" s="18">
        <v>1.9060699999999999</v>
      </c>
      <c r="E88" s="18">
        <v>1.90459</v>
      </c>
      <c r="F88" s="18">
        <v>1.9030899999999999</v>
      </c>
      <c r="G88" s="18">
        <v>1.9016</v>
      </c>
      <c r="H88" s="18">
        <v>1.90011</v>
      </c>
      <c r="I88" s="18">
        <v>1.8986099999999999</v>
      </c>
      <c r="J88" s="18">
        <v>1.8971100000000001</v>
      </c>
      <c r="K88" s="18">
        <v>1.89561</v>
      </c>
      <c r="L88" s="18">
        <v>1.89411</v>
      </c>
      <c r="M88" s="18">
        <v>1.8926000000000001</v>
      </c>
      <c r="N88" s="18">
        <v>1.8911</v>
      </c>
      <c r="O88" s="18">
        <v>1.8895900000000001</v>
      </c>
      <c r="P88" s="18">
        <v>1.88808</v>
      </c>
      <c r="Q88" s="18">
        <v>1.8865700000000001</v>
      </c>
      <c r="R88" s="18">
        <v>1.8850499999999999</v>
      </c>
      <c r="S88" s="18">
        <v>1.88354</v>
      </c>
      <c r="T88" s="18">
        <v>1.88201</v>
      </c>
      <c r="U88" s="19">
        <v>1.88049</v>
      </c>
      <c r="W88" s="16">
        <v>1350</v>
      </c>
      <c r="X88" s="18">
        <v>1.91201</v>
      </c>
      <c r="Y88" s="18">
        <v>1.9134899999999999</v>
      </c>
      <c r="Z88" s="18">
        <v>1.9149799999999999</v>
      </c>
      <c r="AA88" s="18">
        <v>1.91648</v>
      </c>
      <c r="AB88" s="18">
        <v>1.9179600000000001</v>
      </c>
      <c r="AC88" s="18">
        <v>1.9194599999999999</v>
      </c>
      <c r="AD88" s="18">
        <v>1.9209499999999999</v>
      </c>
      <c r="AE88" s="18">
        <v>1.9224600000000001</v>
      </c>
      <c r="AF88" s="18">
        <v>1.92395</v>
      </c>
      <c r="AG88" s="18">
        <v>1.9254599999999999</v>
      </c>
      <c r="AH88" s="18">
        <v>1.92696</v>
      </c>
      <c r="AI88" s="18">
        <v>1.9284699999999999</v>
      </c>
      <c r="AJ88" s="18">
        <v>1.92998</v>
      </c>
      <c r="AK88" s="18">
        <v>1.9315</v>
      </c>
      <c r="AL88" s="18">
        <v>1.9330099999999999</v>
      </c>
      <c r="AM88" s="18">
        <v>1.9345300000000001</v>
      </c>
      <c r="AN88" s="18">
        <v>1.93605</v>
      </c>
      <c r="AO88" s="18">
        <v>1.93757</v>
      </c>
      <c r="AP88" s="18">
        <v>1.93909</v>
      </c>
      <c r="AQ88" s="19">
        <v>1.94062</v>
      </c>
    </row>
    <row r="89" spans="1:43" x14ac:dyDescent="0.2">
      <c r="A89" s="16">
        <v>1400</v>
      </c>
      <c r="B89" s="18">
        <v>1.9107000000000001</v>
      </c>
      <c r="C89" s="18">
        <v>1.90927</v>
      </c>
      <c r="D89" s="18">
        <v>1.90784</v>
      </c>
      <c r="E89" s="18">
        <v>1.9064099999999999</v>
      </c>
      <c r="F89" s="18">
        <v>1.9049700000000001</v>
      </c>
      <c r="G89" s="18">
        <v>1.9035299999999999</v>
      </c>
      <c r="H89" s="18">
        <v>1.9020900000000001</v>
      </c>
      <c r="I89" s="18">
        <v>1.90065</v>
      </c>
      <c r="J89" s="18">
        <v>1.8992</v>
      </c>
      <c r="K89" s="18">
        <v>1.8977599999999999</v>
      </c>
      <c r="L89" s="18">
        <v>1.8963099999999999</v>
      </c>
      <c r="M89" s="18">
        <v>1.89486</v>
      </c>
      <c r="N89" s="18">
        <v>1.89341</v>
      </c>
      <c r="O89" s="18">
        <v>1.89195</v>
      </c>
      <c r="P89" s="18">
        <v>1.8905000000000001</v>
      </c>
      <c r="Q89" s="18">
        <v>1.8890400000000001</v>
      </c>
      <c r="R89" s="18">
        <v>1.88758</v>
      </c>
      <c r="S89" s="18">
        <v>1.88612</v>
      </c>
      <c r="T89" s="18">
        <v>1.88466</v>
      </c>
      <c r="U89" s="19">
        <v>1.8831899999999999</v>
      </c>
      <c r="W89" s="16">
        <v>1400</v>
      </c>
      <c r="X89" s="18">
        <v>1.91357</v>
      </c>
      <c r="Y89" s="18">
        <v>1.915</v>
      </c>
      <c r="Z89" s="18">
        <v>1.9164300000000001</v>
      </c>
      <c r="AA89" s="18">
        <v>1.91787</v>
      </c>
      <c r="AB89" s="18">
        <v>1.9193</v>
      </c>
      <c r="AC89" s="18">
        <v>1.9207399999999999</v>
      </c>
      <c r="AD89" s="18">
        <v>1.9221900000000001</v>
      </c>
      <c r="AE89" s="18">
        <v>1.92364</v>
      </c>
      <c r="AF89" s="18">
        <v>1.92509</v>
      </c>
      <c r="AG89" s="18">
        <v>1.9265300000000001</v>
      </c>
      <c r="AH89" s="18">
        <v>1.9279900000000001</v>
      </c>
      <c r="AI89" s="18">
        <v>1.92944</v>
      </c>
      <c r="AJ89" s="18">
        <v>1.93089</v>
      </c>
      <c r="AK89" s="18">
        <v>1.93235</v>
      </c>
      <c r="AL89" s="18">
        <v>1.93381</v>
      </c>
      <c r="AM89" s="18">
        <v>1.93527</v>
      </c>
      <c r="AN89" s="18">
        <v>1.9367399999999999</v>
      </c>
      <c r="AO89" s="18">
        <v>1.9381999999999999</v>
      </c>
      <c r="AP89" s="18">
        <v>1.93967</v>
      </c>
      <c r="AQ89" s="19">
        <v>1.9411400000000001</v>
      </c>
    </row>
    <row r="90" spans="1:43" x14ac:dyDescent="0.2">
      <c r="A90" s="16">
        <v>1450</v>
      </c>
      <c r="B90" s="18">
        <v>1.91229</v>
      </c>
      <c r="C90" s="18">
        <v>1.9109</v>
      </c>
      <c r="D90" s="18">
        <v>1.9095200000000001</v>
      </c>
      <c r="E90" s="18">
        <v>1.9081300000000001</v>
      </c>
      <c r="F90" s="18">
        <v>1.9067499999999999</v>
      </c>
      <c r="G90" s="18">
        <v>1.9053500000000001</v>
      </c>
      <c r="H90" s="18">
        <v>1.9039600000000001</v>
      </c>
      <c r="I90" s="18">
        <v>1.9025700000000001</v>
      </c>
      <c r="J90" s="18">
        <v>1.9011800000000001</v>
      </c>
      <c r="K90" s="18">
        <v>1.8997900000000001</v>
      </c>
      <c r="L90" s="18">
        <v>1.89838</v>
      </c>
      <c r="M90" s="18">
        <v>1.89699</v>
      </c>
      <c r="N90" s="18">
        <v>1.8955900000000001</v>
      </c>
      <c r="O90" s="18">
        <v>1.89419</v>
      </c>
      <c r="P90" s="18">
        <v>1.8927700000000001</v>
      </c>
      <c r="Q90" s="18">
        <v>1.89137</v>
      </c>
      <c r="R90" s="18">
        <v>1.8899600000000001</v>
      </c>
      <c r="S90" s="18">
        <v>1.88856</v>
      </c>
      <c r="T90" s="18">
        <v>1.8871500000000001</v>
      </c>
      <c r="U90" s="19">
        <v>1.8857299999999999</v>
      </c>
      <c r="W90" s="16">
        <v>1450</v>
      </c>
      <c r="X90" s="18">
        <v>1.9150499999999999</v>
      </c>
      <c r="Y90" s="18">
        <v>1.9164300000000001</v>
      </c>
      <c r="Z90" s="18">
        <v>1.91781</v>
      </c>
      <c r="AA90" s="18">
        <v>1.9192</v>
      </c>
      <c r="AB90" s="18">
        <v>1.92059</v>
      </c>
      <c r="AC90" s="18">
        <v>1.92197</v>
      </c>
      <c r="AD90" s="18">
        <v>1.92337</v>
      </c>
      <c r="AE90" s="18">
        <v>1.92476</v>
      </c>
      <c r="AF90" s="18">
        <v>1.9261600000000001</v>
      </c>
      <c r="AG90" s="18">
        <v>1.9275500000000001</v>
      </c>
      <c r="AH90" s="18">
        <v>1.9289499999999999</v>
      </c>
      <c r="AI90" s="18">
        <v>1.93035</v>
      </c>
      <c r="AJ90" s="18">
        <v>1.93177</v>
      </c>
      <c r="AK90" s="18">
        <v>1.9331700000000001</v>
      </c>
      <c r="AL90" s="18">
        <v>1.93458</v>
      </c>
      <c r="AM90" s="18">
        <v>1.9359900000000001</v>
      </c>
      <c r="AN90" s="18">
        <v>1.9374</v>
      </c>
      <c r="AO90" s="18">
        <v>1.93882</v>
      </c>
      <c r="AP90" s="18">
        <v>1.9402299999999999</v>
      </c>
      <c r="AQ90" s="19">
        <v>1.9416500000000001</v>
      </c>
    </row>
    <row r="91" spans="1:43" x14ac:dyDescent="0.2">
      <c r="A91" s="16">
        <v>1500</v>
      </c>
      <c r="B91" s="18">
        <v>1.91378</v>
      </c>
      <c r="C91" s="18">
        <v>1.9124399999999999</v>
      </c>
      <c r="D91" s="18">
        <v>1.9111</v>
      </c>
      <c r="E91" s="18">
        <v>1.9097599999999999</v>
      </c>
      <c r="F91" s="18">
        <v>1.90842</v>
      </c>
      <c r="G91" s="18">
        <v>1.9070800000000001</v>
      </c>
      <c r="H91" s="18">
        <v>1.90574</v>
      </c>
      <c r="I91" s="18">
        <v>1.9044000000000001</v>
      </c>
      <c r="J91" s="18">
        <v>1.9030499999999999</v>
      </c>
      <c r="K91" s="18">
        <v>1.9016999999999999</v>
      </c>
      <c r="L91" s="18">
        <v>1.90035</v>
      </c>
      <c r="M91" s="18">
        <v>1.89899</v>
      </c>
      <c r="N91" s="18">
        <v>1.89764</v>
      </c>
      <c r="O91" s="18">
        <v>1.89629</v>
      </c>
      <c r="P91" s="18">
        <v>1.89493</v>
      </c>
      <c r="Q91" s="18">
        <v>1.89357</v>
      </c>
      <c r="R91" s="18">
        <v>1.8922099999999999</v>
      </c>
      <c r="S91" s="18">
        <v>1.8908499999999999</v>
      </c>
      <c r="T91" s="18">
        <v>1.88948</v>
      </c>
      <c r="U91" s="19">
        <v>1.88812</v>
      </c>
      <c r="W91" s="16">
        <v>1500</v>
      </c>
      <c r="X91" s="18">
        <v>1.91645</v>
      </c>
      <c r="Y91" s="18">
        <v>1.9177900000000001</v>
      </c>
      <c r="Z91" s="18">
        <v>1.9191199999999999</v>
      </c>
      <c r="AA91" s="18">
        <v>1.9204600000000001</v>
      </c>
      <c r="AB91" s="18">
        <v>1.92181</v>
      </c>
      <c r="AC91" s="18">
        <v>1.9231400000000001</v>
      </c>
      <c r="AD91" s="18">
        <v>1.92449</v>
      </c>
      <c r="AE91" s="18">
        <v>1.92584</v>
      </c>
      <c r="AF91" s="18">
        <v>1.9271799999999999</v>
      </c>
      <c r="AG91" s="18">
        <v>1.9285399999999999</v>
      </c>
      <c r="AH91" s="18">
        <v>1.9298999999999999</v>
      </c>
      <c r="AI91" s="18">
        <v>1.9312400000000001</v>
      </c>
      <c r="AJ91" s="18">
        <v>1.9326000000000001</v>
      </c>
      <c r="AK91" s="18">
        <v>1.93397</v>
      </c>
      <c r="AL91" s="18">
        <v>1.9353199999999999</v>
      </c>
      <c r="AM91" s="18">
        <v>1.93669</v>
      </c>
      <c r="AN91" s="18">
        <v>1.9380500000000001</v>
      </c>
      <c r="AO91" s="18">
        <v>1.9394100000000001</v>
      </c>
      <c r="AP91" s="18">
        <v>1.94079</v>
      </c>
      <c r="AQ91" s="19">
        <v>1.94215</v>
      </c>
    </row>
    <row r="92" spans="1:43" x14ac:dyDescent="0.2">
      <c r="A92" s="16">
        <v>1550</v>
      </c>
      <c r="B92" s="18">
        <v>1.9152</v>
      </c>
      <c r="C92" s="18">
        <v>1.91391</v>
      </c>
      <c r="D92" s="18">
        <v>1.9126099999999999</v>
      </c>
      <c r="E92" s="18">
        <v>1.9113199999999999</v>
      </c>
      <c r="F92" s="18">
        <v>1.9100200000000001</v>
      </c>
      <c r="G92" s="18">
        <v>1.90872</v>
      </c>
      <c r="H92" s="18">
        <v>1.9074199999999999</v>
      </c>
      <c r="I92" s="18">
        <v>1.90612</v>
      </c>
      <c r="J92" s="18">
        <v>1.90482</v>
      </c>
      <c r="K92" s="18">
        <v>1.9035200000000001</v>
      </c>
      <c r="L92" s="18">
        <v>1.90221</v>
      </c>
      <c r="M92" s="18">
        <v>1.9009</v>
      </c>
      <c r="N92" s="18">
        <v>1.8995899999999999</v>
      </c>
      <c r="O92" s="18">
        <v>1.89828</v>
      </c>
      <c r="P92" s="18">
        <v>1.89696</v>
      </c>
      <c r="Q92" s="18">
        <v>1.8956500000000001</v>
      </c>
      <c r="R92" s="18">
        <v>1.8943300000000001</v>
      </c>
      <c r="S92" s="18">
        <v>1.8930199999999999</v>
      </c>
      <c r="T92" s="18">
        <v>1.8916999999999999</v>
      </c>
      <c r="U92" s="19">
        <v>1.8903799999999999</v>
      </c>
      <c r="W92" s="16">
        <v>1550</v>
      </c>
      <c r="X92" s="18">
        <v>1.91778</v>
      </c>
      <c r="Y92" s="18">
        <v>1.9190799999999999</v>
      </c>
      <c r="Z92" s="18">
        <v>1.9203699999999999</v>
      </c>
      <c r="AA92" s="18">
        <v>1.92167</v>
      </c>
      <c r="AB92" s="18">
        <v>1.9229700000000001</v>
      </c>
      <c r="AC92" s="18">
        <v>1.9242600000000001</v>
      </c>
      <c r="AD92" s="18">
        <v>1.9255599999999999</v>
      </c>
      <c r="AE92" s="18">
        <v>1.9268700000000001</v>
      </c>
      <c r="AF92" s="18">
        <v>1.92818</v>
      </c>
      <c r="AG92" s="18">
        <v>1.9294800000000001</v>
      </c>
      <c r="AH92" s="18">
        <v>1.93079</v>
      </c>
      <c r="AI92" s="18">
        <v>1.9320999999999999</v>
      </c>
      <c r="AJ92" s="18">
        <v>1.9334100000000001</v>
      </c>
      <c r="AK92" s="18">
        <v>1.9347300000000001</v>
      </c>
      <c r="AL92" s="18">
        <v>1.93604</v>
      </c>
      <c r="AM92" s="18">
        <v>1.93736</v>
      </c>
      <c r="AN92" s="18">
        <v>1.93868</v>
      </c>
      <c r="AO92" s="18">
        <v>1.94</v>
      </c>
      <c r="AP92" s="18">
        <v>1.9413199999999999</v>
      </c>
      <c r="AQ92" s="19">
        <v>1.94265</v>
      </c>
    </row>
    <row r="93" spans="1:43" x14ac:dyDescent="0.2">
      <c r="A93" s="16">
        <v>1600</v>
      </c>
      <c r="B93" s="18">
        <v>1.91655</v>
      </c>
      <c r="C93" s="18">
        <v>1.9153100000000001</v>
      </c>
      <c r="D93" s="18">
        <v>1.91405</v>
      </c>
      <c r="E93" s="18">
        <v>1.91279</v>
      </c>
      <c r="F93" s="18">
        <v>1.91154</v>
      </c>
      <c r="G93" s="18">
        <v>1.91028</v>
      </c>
      <c r="H93" s="18">
        <v>1.9090199999999999</v>
      </c>
      <c r="I93" s="18">
        <v>1.9077599999999999</v>
      </c>
      <c r="J93" s="18">
        <v>1.9065000000000001</v>
      </c>
      <c r="K93" s="18">
        <v>1.90523</v>
      </c>
      <c r="L93" s="18">
        <v>1.9039699999999999</v>
      </c>
      <c r="M93" s="18">
        <v>1.9027000000000001</v>
      </c>
      <c r="N93" s="18">
        <v>1.90143</v>
      </c>
      <c r="O93" s="18">
        <v>1.9001600000000001</v>
      </c>
      <c r="P93" s="18">
        <v>1.89889</v>
      </c>
      <c r="Q93" s="18">
        <v>1.8976200000000001</v>
      </c>
      <c r="R93" s="18">
        <v>1.8963399999999999</v>
      </c>
      <c r="S93" s="18">
        <v>1.89507</v>
      </c>
      <c r="T93" s="18">
        <v>1.8937999999999999</v>
      </c>
      <c r="U93" s="19">
        <v>1.89252</v>
      </c>
      <c r="W93" s="16">
        <v>1600</v>
      </c>
      <c r="X93" s="18">
        <v>1.9190499999999999</v>
      </c>
      <c r="Y93" s="18">
        <v>1.92031</v>
      </c>
      <c r="Z93" s="18">
        <v>1.9215599999999999</v>
      </c>
      <c r="AA93" s="18">
        <v>1.92282</v>
      </c>
      <c r="AB93" s="18">
        <v>1.9240699999999999</v>
      </c>
      <c r="AC93" s="18">
        <v>1.9253400000000001</v>
      </c>
      <c r="AD93" s="18">
        <v>1.92659</v>
      </c>
      <c r="AE93" s="18">
        <v>1.9278599999999999</v>
      </c>
      <c r="AF93" s="18">
        <v>1.9291199999999999</v>
      </c>
      <c r="AG93" s="18">
        <v>1.93038</v>
      </c>
      <c r="AH93" s="18">
        <v>1.9316500000000001</v>
      </c>
      <c r="AI93" s="18">
        <v>1.93293</v>
      </c>
      <c r="AJ93" s="18">
        <v>1.9341900000000001</v>
      </c>
      <c r="AK93" s="18">
        <v>1.93547</v>
      </c>
      <c r="AL93" s="18">
        <v>1.9367399999999999</v>
      </c>
      <c r="AM93" s="18">
        <v>1.93801</v>
      </c>
      <c r="AN93" s="18">
        <v>1.93929</v>
      </c>
      <c r="AO93" s="18">
        <v>1.9405699999999999</v>
      </c>
      <c r="AP93" s="18">
        <v>1.9418500000000001</v>
      </c>
      <c r="AQ93" s="19">
        <v>1.9431400000000001</v>
      </c>
    </row>
    <row r="94" spans="1:43" x14ac:dyDescent="0.2">
      <c r="A94" s="16">
        <v>1650</v>
      </c>
      <c r="B94" s="18">
        <v>1.9178500000000001</v>
      </c>
      <c r="C94" s="18">
        <v>1.9166300000000001</v>
      </c>
      <c r="D94" s="18">
        <v>1.9154199999999999</v>
      </c>
      <c r="E94" s="18">
        <v>1.9141999999999999</v>
      </c>
      <c r="F94" s="18">
        <v>1.9129799999999999</v>
      </c>
      <c r="G94" s="18">
        <v>1.9117599999999999</v>
      </c>
      <c r="H94" s="18">
        <v>1.9105399999999999</v>
      </c>
      <c r="I94" s="18">
        <v>1.9093199999999999</v>
      </c>
      <c r="J94" s="18">
        <v>1.9080999999999999</v>
      </c>
      <c r="K94" s="18">
        <v>1.9068700000000001</v>
      </c>
      <c r="L94" s="18">
        <v>1.9056500000000001</v>
      </c>
      <c r="M94" s="18">
        <v>1.90442</v>
      </c>
      <c r="N94" s="18">
        <v>1.9031899999999999</v>
      </c>
      <c r="O94" s="18">
        <v>1.9019600000000001</v>
      </c>
      <c r="P94" s="18">
        <v>1.90073</v>
      </c>
      <c r="Q94" s="18">
        <v>1.8994899999999999</v>
      </c>
      <c r="R94" s="18">
        <v>1.8982600000000001</v>
      </c>
      <c r="S94" s="18">
        <v>1.8970199999999999</v>
      </c>
      <c r="T94" s="18">
        <v>1.89578</v>
      </c>
      <c r="U94" s="19">
        <v>1.89455</v>
      </c>
      <c r="W94" s="16">
        <v>1650</v>
      </c>
      <c r="X94" s="18">
        <v>1.92028</v>
      </c>
      <c r="Y94" s="18">
        <v>1.9214899999999999</v>
      </c>
      <c r="Z94" s="18">
        <v>1.9227000000000001</v>
      </c>
      <c r="AA94" s="18">
        <v>1.9239200000000001</v>
      </c>
      <c r="AB94" s="18">
        <v>1.9251400000000001</v>
      </c>
      <c r="AC94" s="18">
        <v>1.9263600000000001</v>
      </c>
      <c r="AD94" s="18">
        <v>1.9275800000000001</v>
      </c>
      <c r="AE94" s="18">
        <v>1.9288099999999999</v>
      </c>
      <c r="AF94" s="18">
        <v>1.9300299999999999</v>
      </c>
      <c r="AG94" s="18">
        <v>1.93126</v>
      </c>
      <c r="AH94" s="18">
        <v>1.93249</v>
      </c>
      <c r="AI94" s="18">
        <v>1.93371</v>
      </c>
      <c r="AJ94" s="18">
        <v>1.9349499999999999</v>
      </c>
      <c r="AK94" s="18">
        <v>1.93618</v>
      </c>
      <c r="AL94" s="18">
        <v>1.9374100000000001</v>
      </c>
      <c r="AM94" s="18">
        <v>1.93865</v>
      </c>
      <c r="AN94" s="18">
        <v>1.9398899999999999</v>
      </c>
      <c r="AO94" s="18">
        <v>1.94113</v>
      </c>
      <c r="AP94" s="18">
        <v>1.9423699999999999</v>
      </c>
      <c r="AQ94" s="19">
        <v>1.9436100000000001</v>
      </c>
    </row>
    <row r="95" spans="1:43" x14ac:dyDescent="0.2">
      <c r="A95" s="16">
        <v>1700</v>
      </c>
      <c r="B95" s="18">
        <v>1.9190799999999999</v>
      </c>
      <c r="C95" s="18">
        <v>1.9178999999999999</v>
      </c>
      <c r="D95" s="18">
        <v>1.91672</v>
      </c>
      <c r="E95" s="18">
        <v>1.91554</v>
      </c>
      <c r="F95" s="18">
        <v>1.9143600000000001</v>
      </c>
      <c r="G95" s="18">
        <v>1.9131800000000001</v>
      </c>
      <c r="H95" s="18">
        <v>1.9119900000000001</v>
      </c>
      <c r="I95" s="18">
        <v>1.9108099999999999</v>
      </c>
      <c r="J95" s="18">
        <v>1.9096200000000001</v>
      </c>
      <c r="K95" s="18">
        <v>1.9084300000000001</v>
      </c>
      <c r="L95" s="18">
        <v>1.90724</v>
      </c>
      <c r="M95" s="18">
        <v>1.90605</v>
      </c>
      <c r="N95" s="18">
        <v>1.90486</v>
      </c>
      <c r="O95" s="18">
        <v>1.9036599999999999</v>
      </c>
      <c r="P95" s="18">
        <v>1.9024700000000001</v>
      </c>
      <c r="Q95" s="18">
        <v>1.90127</v>
      </c>
      <c r="R95" s="18">
        <v>1.9000699999999999</v>
      </c>
      <c r="S95" s="18">
        <v>1.8988700000000001</v>
      </c>
      <c r="T95" s="18">
        <v>1.89767</v>
      </c>
      <c r="U95" s="19">
        <v>1.8964700000000001</v>
      </c>
      <c r="W95" s="16">
        <v>1700</v>
      </c>
      <c r="X95" s="18">
        <v>1.92143</v>
      </c>
      <c r="Y95" s="18">
        <v>1.9226099999999999</v>
      </c>
      <c r="Z95" s="18">
        <v>1.9238</v>
      </c>
      <c r="AA95" s="18">
        <v>1.9249799999999999</v>
      </c>
      <c r="AB95" s="18">
        <v>1.9261600000000001</v>
      </c>
      <c r="AC95" s="18">
        <v>1.9273400000000001</v>
      </c>
      <c r="AD95" s="18">
        <v>1.9285300000000001</v>
      </c>
      <c r="AE95" s="18">
        <v>1.92971</v>
      </c>
      <c r="AF95" s="18">
        <v>1.9309000000000001</v>
      </c>
      <c r="AG95" s="18">
        <v>1.9320999999999999</v>
      </c>
      <c r="AH95" s="18">
        <v>1.93329</v>
      </c>
      <c r="AI95" s="18">
        <v>1.93448</v>
      </c>
      <c r="AJ95" s="18">
        <v>1.93567</v>
      </c>
      <c r="AK95" s="18">
        <v>1.9368700000000001</v>
      </c>
      <c r="AL95" s="18">
        <v>1.93807</v>
      </c>
      <c r="AM95" s="18">
        <v>1.93926</v>
      </c>
      <c r="AN95" s="18">
        <v>1.9404699999999999</v>
      </c>
      <c r="AO95" s="18">
        <v>1.94167</v>
      </c>
      <c r="AP95" s="18">
        <v>1.9428700000000001</v>
      </c>
      <c r="AQ95" s="19">
        <v>1.94407</v>
      </c>
    </row>
    <row r="96" spans="1:43" x14ac:dyDescent="0.2">
      <c r="A96" s="16">
        <v>1750</v>
      </c>
      <c r="B96" s="18">
        <v>1.9202600000000001</v>
      </c>
      <c r="C96" s="18">
        <v>1.9191199999999999</v>
      </c>
      <c r="D96" s="18">
        <v>1.91797</v>
      </c>
      <c r="E96" s="18">
        <v>1.91682</v>
      </c>
      <c r="F96" s="18">
        <v>1.91568</v>
      </c>
      <c r="G96" s="18">
        <v>1.91452</v>
      </c>
      <c r="H96" s="18">
        <v>1.91337</v>
      </c>
      <c r="I96" s="18">
        <v>1.91222</v>
      </c>
      <c r="J96" s="18">
        <v>1.91107</v>
      </c>
      <c r="K96" s="18">
        <v>1.90991</v>
      </c>
      <c r="L96" s="18">
        <v>1.90876</v>
      </c>
      <c r="M96" s="18">
        <v>1.90761</v>
      </c>
      <c r="N96" s="18">
        <v>1.9064399999999999</v>
      </c>
      <c r="O96" s="18">
        <v>1.9052800000000001</v>
      </c>
      <c r="P96" s="18">
        <v>1.9041300000000001</v>
      </c>
      <c r="Q96" s="18">
        <v>1.9029700000000001</v>
      </c>
      <c r="R96" s="18">
        <v>1.9017999999999999</v>
      </c>
      <c r="S96" s="18">
        <v>1.9006400000000001</v>
      </c>
      <c r="T96" s="18">
        <v>1.89947</v>
      </c>
      <c r="U96" s="19">
        <v>1.8983099999999999</v>
      </c>
      <c r="W96" s="16">
        <v>1750</v>
      </c>
      <c r="X96" s="18">
        <v>1.92255</v>
      </c>
      <c r="Y96" s="18">
        <v>1.9236899999999999</v>
      </c>
      <c r="Z96" s="18">
        <v>1.92483</v>
      </c>
      <c r="AA96" s="18">
        <v>1.92598</v>
      </c>
      <c r="AB96" s="18">
        <v>1.9271400000000001</v>
      </c>
      <c r="AC96" s="18">
        <v>1.9282900000000001</v>
      </c>
      <c r="AD96" s="18">
        <v>1.92944</v>
      </c>
      <c r="AE96" s="18">
        <v>1.93059</v>
      </c>
      <c r="AF96" s="18">
        <v>1.93174</v>
      </c>
      <c r="AG96" s="18">
        <v>1.9329000000000001</v>
      </c>
      <c r="AH96" s="18">
        <v>1.9340599999999999</v>
      </c>
      <c r="AI96" s="18">
        <v>1.9352199999999999</v>
      </c>
      <c r="AJ96" s="18">
        <v>1.9363699999999999</v>
      </c>
      <c r="AK96" s="18">
        <v>1.93753</v>
      </c>
      <c r="AL96" s="18">
        <v>1.9387000000000001</v>
      </c>
      <c r="AM96" s="18">
        <v>1.93987</v>
      </c>
      <c r="AN96" s="18">
        <v>1.94103</v>
      </c>
      <c r="AO96" s="18">
        <v>1.9421999999999999</v>
      </c>
      <c r="AP96" s="18">
        <v>1.94336</v>
      </c>
      <c r="AQ96" s="19">
        <v>1.9445300000000001</v>
      </c>
    </row>
    <row r="97" spans="1:43" x14ac:dyDescent="0.2">
      <c r="A97" s="16">
        <v>1800</v>
      </c>
      <c r="B97" s="18">
        <v>1.9213899999999999</v>
      </c>
      <c r="C97" s="18">
        <v>1.92028</v>
      </c>
      <c r="D97" s="18">
        <v>1.91916</v>
      </c>
      <c r="E97" s="18">
        <v>1.91805</v>
      </c>
      <c r="F97" s="18">
        <v>1.91693</v>
      </c>
      <c r="G97" s="18">
        <v>1.9158200000000001</v>
      </c>
      <c r="H97" s="18">
        <v>1.9147000000000001</v>
      </c>
      <c r="I97" s="18">
        <v>1.9135800000000001</v>
      </c>
      <c r="J97" s="18">
        <v>1.91245</v>
      </c>
      <c r="K97" s="18">
        <v>1.91133</v>
      </c>
      <c r="L97" s="18">
        <v>1.91021</v>
      </c>
      <c r="M97" s="18">
        <v>1.90909</v>
      </c>
      <c r="N97" s="18">
        <v>1.9079600000000001</v>
      </c>
      <c r="O97" s="18">
        <v>1.90683</v>
      </c>
      <c r="P97" s="18">
        <v>1.9056999999999999</v>
      </c>
      <c r="Q97" s="18">
        <v>1.9045799999999999</v>
      </c>
      <c r="R97" s="18">
        <v>1.9034500000000001</v>
      </c>
      <c r="S97" s="18">
        <v>1.90232</v>
      </c>
      <c r="T97" s="18">
        <v>1.9011800000000001</v>
      </c>
      <c r="U97" s="19">
        <v>1.90005</v>
      </c>
      <c r="W97" s="16">
        <v>1800</v>
      </c>
      <c r="X97" s="18">
        <v>1.92361</v>
      </c>
      <c r="Y97" s="18">
        <v>1.9247300000000001</v>
      </c>
      <c r="Z97" s="18">
        <v>1.92584</v>
      </c>
      <c r="AA97" s="18">
        <v>1.9269499999999999</v>
      </c>
      <c r="AB97" s="18">
        <v>1.92807</v>
      </c>
      <c r="AC97" s="18">
        <v>1.92919</v>
      </c>
      <c r="AD97" s="18">
        <v>1.93031</v>
      </c>
      <c r="AE97" s="18">
        <v>1.93144</v>
      </c>
      <c r="AF97" s="18">
        <v>1.93255</v>
      </c>
      <c r="AG97" s="18">
        <v>1.93367</v>
      </c>
      <c r="AH97" s="18">
        <v>1.9348000000000001</v>
      </c>
      <c r="AI97" s="18">
        <v>1.9359299999999999</v>
      </c>
      <c r="AJ97" s="18">
        <v>1.93706</v>
      </c>
      <c r="AK97" s="18">
        <v>1.93818</v>
      </c>
      <c r="AL97" s="18">
        <v>1.9393100000000001</v>
      </c>
      <c r="AM97" s="18">
        <v>1.9404399999999999</v>
      </c>
      <c r="AN97" s="18">
        <v>1.9415800000000001</v>
      </c>
      <c r="AO97" s="18">
        <v>1.9427099999999999</v>
      </c>
      <c r="AP97" s="18">
        <v>1.94384</v>
      </c>
      <c r="AQ97" s="19">
        <v>1.9449799999999999</v>
      </c>
    </row>
    <row r="98" spans="1:43" x14ac:dyDescent="0.2">
      <c r="A98" s="16">
        <v>1850</v>
      </c>
      <c r="B98" s="18">
        <v>1.9224699999999999</v>
      </c>
      <c r="C98" s="18">
        <v>1.9213899999999999</v>
      </c>
      <c r="D98" s="18">
        <v>1.92031</v>
      </c>
      <c r="E98" s="18">
        <v>1.9192199999999999</v>
      </c>
      <c r="F98" s="18">
        <v>1.91814</v>
      </c>
      <c r="G98" s="18">
        <v>1.9170499999999999</v>
      </c>
      <c r="H98" s="18">
        <v>1.9159600000000001</v>
      </c>
      <c r="I98" s="18">
        <v>1.9148700000000001</v>
      </c>
      <c r="J98" s="18">
        <v>1.91378</v>
      </c>
      <c r="K98" s="18">
        <v>1.91269</v>
      </c>
      <c r="L98" s="18">
        <v>1.9116</v>
      </c>
      <c r="M98" s="18">
        <v>1.9105099999999999</v>
      </c>
      <c r="N98" s="18">
        <v>1.9094100000000001</v>
      </c>
      <c r="O98" s="18">
        <v>1.90831</v>
      </c>
      <c r="P98" s="18">
        <v>1.9072199999999999</v>
      </c>
      <c r="Q98" s="18">
        <v>1.90612</v>
      </c>
      <c r="R98" s="18">
        <v>1.9050199999999999</v>
      </c>
      <c r="S98" s="18">
        <v>1.9039200000000001</v>
      </c>
      <c r="T98" s="18">
        <v>1.90282</v>
      </c>
      <c r="U98" s="19">
        <v>1.90171</v>
      </c>
      <c r="W98" s="16">
        <v>1850</v>
      </c>
      <c r="X98" s="18">
        <v>1.9246300000000001</v>
      </c>
      <c r="Y98" s="18">
        <v>1.9257200000000001</v>
      </c>
      <c r="Z98" s="18">
        <v>1.9268099999999999</v>
      </c>
      <c r="AA98" s="18">
        <v>1.9278900000000001</v>
      </c>
      <c r="AB98" s="18">
        <v>1.9289700000000001</v>
      </c>
      <c r="AC98" s="18">
        <v>1.9300600000000001</v>
      </c>
      <c r="AD98" s="18">
        <v>1.9311499999999999</v>
      </c>
      <c r="AE98" s="18">
        <v>1.93225</v>
      </c>
      <c r="AF98" s="18">
        <v>1.9333400000000001</v>
      </c>
      <c r="AG98" s="18">
        <v>1.9344300000000001</v>
      </c>
      <c r="AH98" s="18">
        <v>1.9355199999999999</v>
      </c>
      <c r="AI98" s="18">
        <v>1.9366099999999999</v>
      </c>
      <c r="AJ98" s="18">
        <v>1.9377200000000001</v>
      </c>
      <c r="AK98" s="18">
        <v>1.9388099999999999</v>
      </c>
      <c r="AL98" s="18">
        <v>1.93991</v>
      </c>
      <c r="AM98" s="18">
        <v>1.9410099999999999</v>
      </c>
      <c r="AN98" s="18">
        <v>1.94211</v>
      </c>
      <c r="AO98" s="18">
        <v>1.9432100000000001</v>
      </c>
      <c r="AP98" s="18">
        <v>1.94432</v>
      </c>
      <c r="AQ98" s="19">
        <v>1.9454199999999999</v>
      </c>
    </row>
    <row r="99" spans="1:43" x14ac:dyDescent="0.2">
      <c r="A99" s="16">
        <v>1900</v>
      </c>
      <c r="B99" s="18">
        <v>1.9235199999999999</v>
      </c>
      <c r="C99" s="18">
        <v>1.9224600000000001</v>
      </c>
      <c r="D99" s="18">
        <v>1.9214100000000001</v>
      </c>
      <c r="E99" s="18">
        <v>1.92035</v>
      </c>
      <c r="F99" s="18">
        <v>1.9192899999999999</v>
      </c>
      <c r="G99" s="18">
        <v>1.9182300000000001</v>
      </c>
      <c r="H99" s="18">
        <v>1.91717</v>
      </c>
      <c r="I99" s="18">
        <v>1.91611</v>
      </c>
      <c r="J99" s="18">
        <v>1.9150499999999999</v>
      </c>
      <c r="K99" s="18">
        <v>1.9139900000000001</v>
      </c>
      <c r="L99" s="18">
        <v>1.91292</v>
      </c>
      <c r="M99" s="18">
        <v>1.9118599999999999</v>
      </c>
      <c r="N99" s="18">
        <v>1.91079</v>
      </c>
      <c r="O99" s="18">
        <v>1.9097299999999999</v>
      </c>
      <c r="P99" s="18">
        <v>1.90866</v>
      </c>
      <c r="Q99" s="18">
        <v>1.9076</v>
      </c>
      <c r="R99" s="18">
        <v>1.90652</v>
      </c>
      <c r="S99" s="18">
        <v>1.9054599999999999</v>
      </c>
      <c r="T99" s="18">
        <v>1.90438</v>
      </c>
      <c r="U99" s="19">
        <v>1.9033100000000001</v>
      </c>
      <c r="W99" s="16">
        <v>1900</v>
      </c>
      <c r="X99" s="18">
        <v>1.9256200000000001</v>
      </c>
      <c r="Y99" s="18">
        <v>1.9266799999999999</v>
      </c>
      <c r="Z99" s="18">
        <v>1.9277299999999999</v>
      </c>
      <c r="AA99" s="18">
        <v>1.9287799999999999</v>
      </c>
      <c r="AB99" s="18">
        <v>1.9298500000000001</v>
      </c>
      <c r="AC99" s="18">
        <v>1.9309000000000001</v>
      </c>
      <c r="AD99" s="18">
        <v>1.9319599999999999</v>
      </c>
      <c r="AE99" s="18">
        <v>1.93303</v>
      </c>
      <c r="AF99" s="18">
        <v>1.9340900000000001</v>
      </c>
      <c r="AG99" s="18">
        <v>1.9351499999999999</v>
      </c>
      <c r="AH99" s="18">
        <v>1.9362200000000001</v>
      </c>
      <c r="AI99" s="18">
        <v>1.9372799999999999</v>
      </c>
      <c r="AJ99" s="18">
        <v>1.93835</v>
      </c>
      <c r="AK99" s="18">
        <v>1.9394199999999999</v>
      </c>
      <c r="AL99" s="18">
        <v>1.94048</v>
      </c>
      <c r="AM99" s="18">
        <v>1.94156</v>
      </c>
      <c r="AN99" s="18">
        <v>1.9426300000000001</v>
      </c>
      <c r="AO99" s="18">
        <v>1.9437</v>
      </c>
      <c r="AP99" s="18">
        <v>1.94478</v>
      </c>
      <c r="AQ99" s="19">
        <v>1.9458500000000001</v>
      </c>
    </row>
    <row r="100" spans="1:43" x14ac:dyDescent="0.2">
      <c r="A100" s="16">
        <v>1950</v>
      </c>
      <c r="B100" s="18">
        <v>1.9245099999999999</v>
      </c>
      <c r="C100" s="18">
        <v>1.9234899999999999</v>
      </c>
      <c r="D100" s="18">
        <v>1.9224600000000001</v>
      </c>
      <c r="E100" s="18">
        <v>1.9214199999999999</v>
      </c>
      <c r="F100" s="18">
        <v>1.9204000000000001</v>
      </c>
      <c r="G100" s="18">
        <v>1.91937</v>
      </c>
      <c r="H100" s="18">
        <v>1.9183300000000001</v>
      </c>
      <c r="I100" s="18">
        <v>1.9173</v>
      </c>
      <c r="J100" s="18">
        <v>1.9162699999999999</v>
      </c>
      <c r="K100" s="18">
        <v>1.91523</v>
      </c>
      <c r="L100" s="18">
        <v>1.9141900000000001</v>
      </c>
      <c r="M100" s="18">
        <v>1.91316</v>
      </c>
      <c r="N100" s="18">
        <v>1.91212</v>
      </c>
      <c r="O100" s="18">
        <v>1.9110799999999999</v>
      </c>
      <c r="P100" s="18">
        <v>1.91005</v>
      </c>
      <c r="Q100" s="18">
        <v>1.909</v>
      </c>
      <c r="R100" s="18">
        <v>1.9079600000000001</v>
      </c>
      <c r="S100" s="18">
        <v>1.9069199999999999</v>
      </c>
      <c r="T100" s="18">
        <v>1.90588</v>
      </c>
      <c r="U100" s="19">
        <v>1.90483</v>
      </c>
      <c r="W100" s="16">
        <v>1950</v>
      </c>
      <c r="X100" s="18">
        <v>1.9265600000000001</v>
      </c>
      <c r="Y100" s="18">
        <v>1.9275899999999999</v>
      </c>
      <c r="Z100" s="18">
        <v>1.92862</v>
      </c>
      <c r="AA100" s="18">
        <v>1.9296500000000001</v>
      </c>
      <c r="AB100" s="18">
        <v>1.93068</v>
      </c>
      <c r="AC100" s="18">
        <v>1.93171</v>
      </c>
      <c r="AD100" s="18">
        <v>1.9327399999999999</v>
      </c>
      <c r="AE100" s="18">
        <v>1.93377</v>
      </c>
      <c r="AF100" s="18">
        <v>1.93482</v>
      </c>
      <c r="AG100" s="18">
        <v>1.9358500000000001</v>
      </c>
      <c r="AH100" s="18">
        <v>1.9368799999999999</v>
      </c>
      <c r="AI100" s="18">
        <v>1.9379299999999999</v>
      </c>
      <c r="AJ100" s="18">
        <v>1.93896</v>
      </c>
      <c r="AK100" s="18">
        <v>1.94</v>
      </c>
      <c r="AL100" s="18">
        <v>1.9410499999999999</v>
      </c>
      <c r="AM100" s="18">
        <v>1.9420900000000001</v>
      </c>
      <c r="AN100" s="18">
        <v>1.94313</v>
      </c>
      <c r="AO100" s="18">
        <v>1.94418</v>
      </c>
      <c r="AP100" s="18">
        <v>1.9452199999999999</v>
      </c>
      <c r="AQ100" s="19">
        <v>1.9462699999999999</v>
      </c>
    </row>
    <row r="101" spans="1:43" ht="13.5" thickBot="1" x14ac:dyDescent="0.25">
      <c r="A101" s="17">
        <v>2000</v>
      </c>
      <c r="B101" s="20">
        <v>1.9254800000000001</v>
      </c>
      <c r="C101" s="20">
        <v>1.9244699999999999</v>
      </c>
      <c r="D101" s="20">
        <v>1.92347</v>
      </c>
      <c r="E101" s="20">
        <v>1.9224600000000001</v>
      </c>
      <c r="F101" s="20">
        <v>1.9214599999999999</v>
      </c>
      <c r="G101" s="20">
        <v>1.9204600000000001</v>
      </c>
      <c r="H101" s="20">
        <v>1.9194500000000001</v>
      </c>
      <c r="I101" s="20">
        <v>1.9184399999999999</v>
      </c>
      <c r="J101" s="20">
        <v>1.91744</v>
      </c>
      <c r="K101" s="20">
        <v>1.9164300000000001</v>
      </c>
      <c r="L101" s="20">
        <v>1.9154199999999999</v>
      </c>
      <c r="M101" s="20">
        <v>1.9144099999999999</v>
      </c>
      <c r="N101" s="20">
        <v>1.9134</v>
      </c>
      <c r="O101" s="20">
        <v>1.91239</v>
      </c>
      <c r="P101" s="20">
        <v>1.91137</v>
      </c>
      <c r="Q101" s="20">
        <v>1.9103600000000001</v>
      </c>
      <c r="R101" s="20">
        <v>1.90934</v>
      </c>
      <c r="S101" s="20">
        <v>1.9083300000000001</v>
      </c>
      <c r="T101" s="20">
        <v>1.9073100000000001</v>
      </c>
      <c r="U101" s="21">
        <v>1.90629</v>
      </c>
      <c r="W101" s="17">
        <v>2000</v>
      </c>
      <c r="X101" s="20">
        <v>1.92747</v>
      </c>
      <c r="Y101" s="20">
        <v>1.9284699999999999</v>
      </c>
      <c r="Z101" s="20">
        <v>1.92947</v>
      </c>
      <c r="AA101" s="20">
        <v>1.93049</v>
      </c>
      <c r="AB101" s="20">
        <v>1.9314899999999999</v>
      </c>
      <c r="AC101" s="20">
        <v>1.93249</v>
      </c>
      <c r="AD101" s="20">
        <v>1.9335</v>
      </c>
      <c r="AE101" s="20">
        <v>1.93451</v>
      </c>
      <c r="AF101" s="20">
        <v>1.9355199999999999</v>
      </c>
      <c r="AG101" s="20">
        <v>1.93652</v>
      </c>
      <c r="AH101" s="20">
        <v>1.93753</v>
      </c>
      <c r="AI101" s="20">
        <v>1.9385399999999999</v>
      </c>
      <c r="AJ101" s="20">
        <v>1.93957</v>
      </c>
      <c r="AK101" s="20">
        <v>1.94058</v>
      </c>
      <c r="AL101" s="20">
        <v>1.9415899999999999</v>
      </c>
      <c r="AM101" s="20">
        <v>1.9426099999999999</v>
      </c>
      <c r="AN101" s="20">
        <v>1.94363</v>
      </c>
      <c r="AO101" s="20">
        <v>1.9446399999999999</v>
      </c>
      <c r="AP101" s="20">
        <v>1.9456599999999999</v>
      </c>
      <c r="AQ101" s="21">
        <v>1.94668</v>
      </c>
    </row>
  </sheetData>
  <sheetProtection selectLockedCells="1" selectUnlockedCells="1"/>
  <phoneticPr fontId="26" type="noConversion"/>
  <pageMargins left="0.75" right="0.75" top="1" bottom="1" header="0.5" footer="0.5"/>
  <pageSetup scale="5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11"/>
  <sheetViews>
    <sheetView showGridLines="0" zoomScale="90" zoomScaleNormal="90" workbookViewId="0">
      <selection activeCell="M60" sqref="M60"/>
    </sheetView>
  </sheetViews>
  <sheetFormatPr defaultColWidth="11.1640625" defaultRowHeight="12.75" x14ac:dyDescent="0.2"/>
  <cols>
    <col min="1" max="6" width="19.33203125" style="142" customWidth="1"/>
    <col min="7" max="7" width="19.33203125" style="141" customWidth="1"/>
    <col min="8" max="8" width="4.33203125" style="158" customWidth="1"/>
    <col min="9" max="9" width="2.83203125" style="141" customWidth="1"/>
    <col min="10" max="10" width="4.33203125" style="141" customWidth="1"/>
    <col min="11" max="15" width="23.1640625" style="141" customWidth="1"/>
    <col min="16" max="16" width="23.1640625" style="158" customWidth="1"/>
    <col min="17" max="17" width="23.1640625" style="141" customWidth="1"/>
    <col min="18" max="18" width="21" style="141" bestFit="1" customWidth="1"/>
    <col min="19" max="19" width="30.6640625" style="141" bestFit="1" customWidth="1"/>
    <col min="20" max="20" width="27.83203125" style="141" bestFit="1" customWidth="1"/>
    <col min="21" max="21" width="8.5" style="141" bestFit="1" customWidth="1"/>
    <col min="22" max="22" width="18.83203125" style="141" bestFit="1" customWidth="1"/>
    <col min="23" max="23" width="15.33203125" style="141" bestFit="1" customWidth="1"/>
    <col min="24" max="25" width="11.6640625" style="141" customWidth="1"/>
    <col min="26" max="16384" width="11.1640625" style="141"/>
  </cols>
  <sheetData>
    <row r="1" spans="1:18" ht="17.25" customHeight="1" x14ac:dyDescent="0.2">
      <c r="A1" s="448" t="s">
        <v>109</v>
      </c>
      <c r="B1" s="449"/>
      <c r="C1" s="449"/>
      <c r="D1" s="449"/>
      <c r="E1" s="449"/>
      <c r="F1" s="449"/>
      <c r="G1" s="453"/>
      <c r="I1" s="227"/>
      <c r="K1" s="448" t="s">
        <v>110</v>
      </c>
      <c r="L1" s="449"/>
      <c r="M1" s="449"/>
      <c r="N1" s="449"/>
      <c r="O1" s="222"/>
      <c r="P1" s="222"/>
      <c r="Q1" s="222"/>
    </row>
    <row r="2" spans="1:18" ht="16.5" customHeight="1" thickBot="1" x14ac:dyDescent="0.25">
      <c r="A2" s="228"/>
      <c r="B2" s="228"/>
      <c r="C2" s="228"/>
      <c r="D2" s="228"/>
      <c r="E2" s="228"/>
      <c r="F2" s="228"/>
      <c r="G2" s="157"/>
      <c r="H2" s="146"/>
      <c r="I2" s="157"/>
      <c r="J2" s="157"/>
      <c r="K2" s="157"/>
      <c r="L2" s="157"/>
      <c r="M2" s="157"/>
      <c r="N2" s="157"/>
    </row>
    <row r="3" spans="1:18" ht="15.75" customHeight="1" x14ac:dyDescent="0.2">
      <c r="A3" s="450" t="str">
        <f>'Input - Customer Data'!A13</f>
        <v>Residential</v>
      </c>
      <c r="B3" s="451"/>
      <c r="C3" s="451"/>
      <c r="D3" s="451"/>
      <c r="E3" s="451"/>
      <c r="F3" s="451"/>
      <c r="G3" s="452"/>
      <c r="H3" s="163"/>
      <c r="I3" s="227"/>
      <c r="K3" s="450" t="str">
        <f>'Input - Customer Data'!A15</f>
        <v>General Service 50 to 4999 kW</v>
      </c>
      <c r="L3" s="451"/>
      <c r="M3" s="451"/>
      <c r="N3" s="452"/>
      <c r="P3" s="163"/>
    </row>
    <row r="4" spans="1:18" ht="25.5" x14ac:dyDescent="0.2">
      <c r="A4" s="328" t="s">
        <v>74</v>
      </c>
      <c r="B4" s="329" t="s">
        <v>115</v>
      </c>
      <c r="C4" s="329" t="s">
        <v>173</v>
      </c>
      <c r="D4" s="329" t="s">
        <v>98</v>
      </c>
      <c r="E4" s="329" t="s">
        <v>123</v>
      </c>
      <c r="F4" s="329" t="s">
        <v>195</v>
      </c>
      <c r="G4" s="330" t="s">
        <v>97</v>
      </c>
      <c r="H4" s="162"/>
      <c r="I4" s="227"/>
      <c r="K4" s="251" t="s">
        <v>74</v>
      </c>
      <c r="L4" s="324" t="s">
        <v>187</v>
      </c>
      <c r="M4" s="324" t="s">
        <v>199</v>
      </c>
      <c r="N4" s="324" t="s">
        <v>200</v>
      </c>
      <c r="O4" s="324" t="s">
        <v>188</v>
      </c>
      <c r="P4" s="250" t="s">
        <v>102</v>
      </c>
      <c r="R4" s="162"/>
    </row>
    <row r="5" spans="1:18" x14ac:dyDescent="0.2">
      <c r="A5" s="186">
        <f>'Input - Customer Data'!D6</f>
        <v>2011</v>
      </c>
      <c r="B5" s="190">
        <f>'Input - Customer Data'!D$66</f>
        <v>206782921.40000001</v>
      </c>
      <c r="C5" s="172">
        <f>SUM('Input - Adjustments &amp; Variables'!H5:H16)</f>
        <v>535581625.16999984</v>
      </c>
      <c r="D5" s="326">
        <f>B5/C5</f>
        <v>0.38609039534238071</v>
      </c>
      <c r="E5" s="172">
        <f>SUM(Forecast!C4:C15)</f>
        <v>518929580.99797904</v>
      </c>
      <c r="F5" s="172">
        <f t="shared" ref="F5:F17" si="0">E5*D5</f>
        <v>200353727.08236569</v>
      </c>
      <c r="G5" s="171">
        <f>F5/'Input - Customer Data'!E6</f>
        <v>7838.7185618797585</v>
      </c>
      <c r="H5" s="164"/>
      <c r="I5" s="227"/>
      <c r="K5" s="186">
        <f>'Input - Customer Data'!D6</f>
        <v>2011</v>
      </c>
      <c r="L5" s="172">
        <f>'Bridge&amp;Test Year Class Forecast'!B61</f>
        <v>214876814.13600001</v>
      </c>
      <c r="M5" s="190">
        <f>'Input - Customer Data'!D$75</f>
        <v>753237.76</v>
      </c>
      <c r="N5" s="398">
        <v>-116608.58</v>
      </c>
      <c r="O5" s="190">
        <f>M5+N5</f>
        <v>636629.18000000005</v>
      </c>
      <c r="P5" s="187">
        <f t="shared" ref="P5:P17" si="1">O5/L5</f>
        <v>2.9627634910719784E-3</v>
      </c>
      <c r="R5" s="164"/>
    </row>
    <row r="6" spans="1:18" x14ac:dyDescent="0.2">
      <c r="A6" s="186">
        <f>'Input - Customer Data'!D7</f>
        <v>2012</v>
      </c>
      <c r="B6" s="190">
        <f>'Input - Customer Data'!E$66</f>
        <v>202637718.53299999</v>
      </c>
      <c r="C6" s="172">
        <f>SUM('Input - Adjustments &amp; Variables'!H17:H28)</f>
        <v>520912441.87000012</v>
      </c>
      <c r="D6" s="326">
        <f t="shared" ref="D6:D14" si="2">B6/C6</f>
        <v>0.38900533418929284</v>
      </c>
      <c r="E6" s="172">
        <f>SUM(Forecast!C16:C27)</f>
        <v>515117168.87478459</v>
      </c>
      <c r="F6" s="172">
        <f t="shared" si="0"/>
        <v>200383326.42477798</v>
      </c>
      <c r="G6" s="171">
        <f>F6/'Input - Customer Data'!E7</f>
        <v>7793.6807757293764</v>
      </c>
      <c r="H6" s="164"/>
      <c r="I6" s="227"/>
      <c r="K6" s="186">
        <f>'Input - Customer Data'!D7</f>
        <v>2012</v>
      </c>
      <c r="L6" s="172">
        <f>'Bridge&amp;Test Year Class Forecast'!B62</f>
        <v>209735051.1925</v>
      </c>
      <c r="M6" s="190">
        <f>'Input - Customer Data'!E$75</f>
        <v>760470.64199999999</v>
      </c>
      <c r="N6" s="398">
        <v>-136769</v>
      </c>
      <c r="O6" s="190">
        <f t="shared" ref="O6:O14" si="3">M6+N6</f>
        <v>623701.64199999999</v>
      </c>
      <c r="P6" s="187">
        <f t="shared" si="1"/>
        <v>2.9737596956435825E-3</v>
      </c>
      <c r="R6" s="164"/>
    </row>
    <row r="7" spans="1:18" x14ac:dyDescent="0.2">
      <c r="A7" s="186">
        <f>'Input - Customer Data'!D8</f>
        <v>2013</v>
      </c>
      <c r="B7" s="190">
        <f>'Input - Customer Data'!F$66</f>
        <v>206257082.428</v>
      </c>
      <c r="C7" s="172">
        <f>SUM('Input - Adjustments &amp; Variables'!H29:H40)</f>
        <v>509774030.71999979</v>
      </c>
      <c r="D7" s="326">
        <f t="shared" si="2"/>
        <v>0.40460492296299311</v>
      </c>
      <c r="E7" s="172">
        <f>SUM(Forecast!C28:C39)</f>
        <v>518327601.57164294</v>
      </c>
      <c r="F7" s="172">
        <f t="shared" si="0"/>
        <v>209717899.30348757</v>
      </c>
      <c r="G7" s="171">
        <f>F7/'Input - Customer Data'!E8</f>
        <v>8129.2834399589465</v>
      </c>
      <c r="H7" s="164"/>
      <c r="I7" s="227"/>
      <c r="K7" s="186">
        <f>'Input - Customer Data'!D8</f>
        <v>2013</v>
      </c>
      <c r="L7" s="172">
        <f>'Bridge&amp;Test Year Class Forecast'!B63</f>
        <v>194627741.79700002</v>
      </c>
      <c r="M7" s="190">
        <f>'Input - Customer Data'!F$75</f>
        <v>689936.48</v>
      </c>
      <c r="N7" s="398">
        <v>-91951.780000000013</v>
      </c>
      <c r="O7" s="190">
        <f t="shared" si="3"/>
        <v>597984.69999999995</v>
      </c>
      <c r="P7" s="187">
        <f t="shared" si="1"/>
        <v>3.0724535694593219E-3</v>
      </c>
      <c r="R7" s="164"/>
    </row>
    <row r="8" spans="1:18" x14ac:dyDescent="0.2">
      <c r="A8" s="186">
        <f>'Input - Customer Data'!D9</f>
        <v>2014</v>
      </c>
      <c r="B8" s="190">
        <f>'Input - Customer Data'!G$66</f>
        <v>202495777.38000003</v>
      </c>
      <c r="C8" s="172">
        <f>SUM('Input - Adjustments &amp; Variables'!H41:H52)</f>
        <v>504927925.73999989</v>
      </c>
      <c r="D8" s="326">
        <f t="shared" si="2"/>
        <v>0.40103897419266565</v>
      </c>
      <c r="E8" s="172">
        <f>SUM(Forecast!C40:C51)</f>
        <v>508460829.24787956</v>
      </c>
      <c r="F8" s="172">
        <f t="shared" si="0"/>
        <v>203912609.37872174</v>
      </c>
      <c r="G8" s="171">
        <f>F8/'Input - Customer Data'!E9</f>
        <v>7884.2862518274405</v>
      </c>
      <c r="H8" s="164"/>
      <c r="I8" s="227"/>
      <c r="K8" s="186">
        <f>'Input - Customer Data'!D9</f>
        <v>2014</v>
      </c>
      <c r="L8" s="172">
        <f>'Bridge&amp;Test Year Class Forecast'!B64</f>
        <v>195767695.11000001</v>
      </c>
      <c r="M8" s="190">
        <f>'Input - Customer Data'!G$75</f>
        <v>664361.51</v>
      </c>
      <c r="N8" s="398">
        <v>-90932.760000000009</v>
      </c>
      <c r="O8" s="190">
        <f t="shared" si="3"/>
        <v>573428.75</v>
      </c>
      <c r="P8" s="187">
        <f t="shared" si="1"/>
        <v>2.9291285759777464E-3</v>
      </c>
      <c r="R8" s="164"/>
    </row>
    <row r="9" spans="1:18" x14ac:dyDescent="0.2">
      <c r="A9" s="186">
        <f>'Input - Customer Data'!D10</f>
        <v>2015</v>
      </c>
      <c r="B9" s="190">
        <f>'Input - Customer Data'!H$66</f>
        <v>199739669.07999998</v>
      </c>
      <c r="C9" s="172">
        <f>SUM('Input - Adjustments &amp; Variables'!H53:H64)</f>
        <v>494324941.81999999</v>
      </c>
      <c r="D9" s="326">
        <f t="shared" si="2"/>
        <v>0.40406552893042524</v>
      </c>
      <c r="E9" s="172">
        <f>SUM(Forecast!C52:C63)</f>
        <v>502015716.69585413</v>
      </c>
      <c r="F9" s="172">
        <f t="shared" si="0"/>
        <v>202847246.09809682</v>
      </c>
      <c r="G9" s="171">
        <f>F9/'Input - Customer Data'!E10</f>
        <v>7825.8213596742635</v>
      </c>
      <c r="H9" s="164"/>
      <c r="I9" s="227"/>
      <c r="K9" s="186">
        <f>'Input - Customer Data'!D10</f>
        <v>2015</v>
      </c>
      <c r="L9" s="172">
        <f>'Bridge&amp;Test Year Class Forecast'!B65</f>
        <v>189310138.06999999</v>
      </c>
      <c r="M9" s="190">
        <f>'Input - Customer Data'!H$75</f>
        <v>615145.36</v>
      </c>
      <c r="N9" s="398">
        <v>-64241.589999999989</v>
      </c>
      <c r="O9" s="190">
        <f t="shared" si="3"/>
        <v>550903.77</v>
      </c>
      <c r="P9" s="187">
        <f t="shared" si="1"/>
        <v>2.9100595225190523E-3</v>
      </c>
      <c r="R9" s="164"/>
    </row>
    <row r="10" spans="1:18" x14ac:dyDescent="0.2">
      <c r="A10" s="186">
        <f>'Input - Customer Data'!D11</f>
        <v>2016</v>
      </c>
      <c r="B10" s="190">
        <f>'Input - Customer Data'!I$66</f>
        <v>202182964.05000001</v>
      </c>
      <c r="C10" s="172">
        <f>SUM('Input - Adjustments &amp; Variables'!H65:H76)</f>
        <v>491633276.0999999</v>
      </c>
      <c r="D10" s="326">
        <f t="shared" si="2"/>
        <v>0.41124751695789463</v>
      </c>
      <c r="E10" s="172">
        <f>SUM(Forecast!C64:C75)</f>
        <v>505760615.8557784</v>
      </c>
      <c r="F10" s="172">
        <f t="shared" si="0"/>
        <v>207992797.44578445</v>
      </c>
      <c r="G10" s="171">
        <f>F10/'Input - Customer Data'!E11</f>
        <v>7990.6822388432747</v>
      </c>
      <c r="H10" s="164"/>
      <c r="I10" s="227"/>
      <c r="K10" s="186">
        <f>'Input - Customer Data'!D11</f>
        <v>2016</v>
      </c>
      <c r="L10" s="172">
        <f>'Bridge&amp;Test Year Class Forecast'!B66</f>
        <v>185209883.51999998</v>
      </c>
      <c r="M10" s="190">
        <f>'Input - Customer Data'!I$75</f>
        <v>580036.22</v>
      </c>
      <c r="N10" s="398">
        <v>-33215.230000000003</v>
      </c>
      <c r="O10" s="190">
        <f t="shared" si="3"/>
        <v>546820.99</v>
      </c>
      <c r="P10" s="187">
        <f t="shared" si="1"/>
        <v>2.9524395761576692E-3</v>
      </c>
      <c r="R10" s="164"/>
    </row>
    <row r="11" spans="1:18" x14ac:dyDescent="0.2">
      <c r="A11" s="186">
        <f>'Input - Customer Data'!D12</f>
        <v>2017</v>
      </c>
      <c r="B11" s="190">
        <f>'Input - Customer Data'!J$66</f>
        <v>192333396.59142745</v>
      </c>
      <c r="C11" s="172">
        <f>SUM('Input - Adjustments &amp; Variables'!H77:H88)</f>
        <v>476909006.87999994</v>
      </c>
      <c r="D11" s="326">
        <f t="shared" si="2"/>
        <v>0.40329160031951855</v>
      </c>
      <c r="E11" s="172">
        <f>SUM(Forecast!C76:C87)</f>
        <v>480615299.0656243</v>
      </c>
      <c r="F11" s="172">
        <f t="shared" si="0"/>
        <v>193828113.09821963</v>
      </c>
      <c r="G11" s="171">
        <f>F11/'Input - Customer Data'!E12</f>
        <v>7390.0043438212224</v>
      </c>
      <c r="H11" s="164"/>
      <c r="I11" s="227"/>
      <c r="K11" s="186">
        <f>'Input - Customer Data'!D12</f>
        <v>2017</v>
      </c>
      <c r="L11" s="172">
        <f>'Bridge&amp;Test Year Class Forecast'!B67</f>
        <v>183196052.27825353</v>
      </c>
      <c r="M11" s="190">
        <f>'Input - Customer Data'!J$75</f>
        <v>588371.79999999993</v>
      </c>
      <c r="N11" s="398">
        <v>-38285.839999999997</v>
      </c>
      <c r="O11" s="190">
        <f t="shared" si="3"/>
        <v>550085.96</v>
      </c>
      <c r="P11" s="187">
        <f t="shared" si="1"/>
        <v>3.0027173247406187E-3</v>
      </c>
      <c r="R11" s="164"/>
    </row>
    <row r="12" spans="1:18" x14ac:dyDescent="0.2">
      <c r="A12" s="186">
        <f>'Input - Customer Data'!D13</f>
        <v>2018</v>
      </c>
      <c r="B12" s="190">
        <f>'Input - Customer Data'!K$66</f>
        <v>213384791.97681683</v>
      </c>
      <c r="C12" s="172">
        <f>SUM('Input - Adjustments &amp; Variables'!H89:H100)</f>
        <v>502625267.95999998</v>
      </c>
      <c r="D12" s="326">
        <f t="shared" si="2"/>
        <v>0.42454051871064802</v>
      </c>
      <c r="E12" s="172">
        <f>SUM(Forecast!C88:C99)</f>
        <v>495247575.67213553</v>
      </c>
      <c r="F12" s="172">
        <f t="shared" si="0"/>
        <v>210252662.66603932</v>
      </c>
      <c r="G12" s="171">
        <f>F12/'Input - Customer Data'!E13</f>
        <v>7944.6055834864883</v>
      </c>
      <c r="H12" s="164"/>
      <c r="I12" s="227"/>
      <c r="K12" s="186">
        <f>'Input - Customer Data'!D13</f>
        <v>2018</v>
      </c>
      <c r="L12" s="172">
        <f>'Bridge&amp;Test Year Class Forecast'!B68</f>
        <v>185835409.80878308</v>
      </c>
      <c r="M12" s="190">
        <f>'Input - Customer Data'!K$75</f>
        <v>580250.94000000006</v>
      </c>
      <c r="N12" s="398">
        <v>-21240.050000000003</v>
      </c>
      <c r="O12" s="190">
        <f t="shared" si="3"/>
        <v>559010.89</v>
      </c>
      <c r="P12" s="187">
        <f t="shared" si="1"/>
        <v>3.0080967377272123E-3</v>
      </c>
      <c r="R12" s="164"/>
    </row>
    <row r="13" spans="1:18" x14ac:dyDescent="0.2">
      <c r="A13" s="186">
        <f>'Input - Customer Data'!D14</f>
        <v>2019</v>
      </c>
      <c r="B13" s="190">
        <f>'Input - Customer Data'!L$66</f>
        <v>208333695.23086321</v>
      </c>
      <c r="C13" s="172">
        <f>SUM('Input - Adjustments &amp; Variables'!H101:H112)</f>
        <v>490029500.53746313</v>
      </c>
      <c r="D13" s="326">
        <f t="shared" si="2"/>
        <v>0.42514521065030442</v>
      </c>
      <c r="E13" s="172">
        <f>SUM(Forecast!C100:C111)</f>
        <v>478789796.63484049</v>
      </c>
      <c r="F13" s="172">
        <f t="shared" si="0"/>
        <v>203555188.94753566</v>
      </c>
      <c r="G13" s="171">
        <f>F13/'Input - Customer Data'!E14</f>
        <v>7638.9533136013688</v>
      </c>
      <c r="H13" s="164"/>
      <c r="I13" s="227"/>
      <c r="K13" s="186">
        <f>'Input - Customer Data'!D14</f>
        <v>2019</v>
      </c>
      <c r="L13" s="172">
        <f>'Bridge&amp;Test Year Class Forecast'!B69</f>
        <v>179705785.74639916</v>
      </c>
      <c r="M13" s="190">
        <f>'Input - Customer Data'!L$75</f>
        <v>553966.00999999966</v>
      </c>
      <c r="N13" s="398">
        <v>-11716.370000000003</v>
      </c>
      <c r="O13" s="190">
        <f t="shared" si="3"/>
        <v>542249.63999999966</v>
      </c>
      <c r="P13" s="187">
        <f t="shared" si="1"/>
        <v>3.017430060739516E-3</v>
      </c>
      <c r="R13" s="164"/>
    </row>
    <row r="14" spans="1:18" x14ac:dyDescent="0.2">
      <c r="A14" s="280">
        <f>'Input - Customer Data'!D15</f>
        <v>2020</v>
      </c>
      <c r="B14" s="190">
        <f>'Input - Customer Data'!M$66</f>
        <v>220200219.65924728</v>
      </c>
      <c r="C14" s="278">
        <f>SUM('Input - Adjustments &amp; Variables'!H113:H124)</f>
        <v>482494034.60487103</v>
      </c>
      <c r="D14" s="326">
        <f t="shared" si="2"/>
        <v>0.45637915469685736</v>
      </c>
      <c r="E14" s="278">
        <f>SUM(Forecast!C112:C123)</f>
        <v>485947849.63629538</v>
      </c>
      <c r="F14" s="278">
        <f>E14*D14</f>
        <v>221776468.84376803</v>
      </c>
      <c r="G14" s="279">
        <f>F14/'Input - Customer Data'!E15</f>
        <v>8239.6795736225995</v>
      </c>
      <c r="H14" s="164"/>
      <c r="I14" s="227"/>
      <c r="K14" s="186">
        <f>'Input - Customer Data'!D15</f>
        <v>2020</v>
      </c>
      <c r="L14" s="172">
        <f>'Bridge&amp;Test Year Class Forecast'!B70</f>
        <v>165593467.56708583</v>
      </c>
      <c r="M14" s="190">
        <f>'Input - Customer Data'!M$75</f>
        <v>527483.83000000007</v>
      </c>
      <c r="N14" s="398">
        <v>-15305.64</v>
      </c>
      <c r="O14" s="190">
        <f t="shared" si="3"/>
        <v>512178.19000000006</v>
      </c>
      <c r="P14" s="187">
        <f t="shared" si="1"/>
        <v>3.0929854753630579E-3</v>
      </c>
      <c r="R14" s="164"/>
    </row>
    <row r="15" spans="1:18" x14ac:dyDescent="0.2">
      <c r="A15" s="276">
        <f>'Input - Customer Data'!D19</f>
        <v>2021</v>
      </c>
      <c r="B15" s="292"/>
      <c r="C15" s="268"/>
      <c r="D15" s="272">
        <f>AVERAGE(D10:D14)</f>
        <v>0.42412080026704457</v>
      </c>
      <c r="E15" s="268">
        <f>SUM(Forecast!C124:C135)</f>
        <v>483187133.54933572</v>
      </c>
      <c r="F15" s="268">
        <f>E15*D15</f>
        <v>204929713.75968361</v>
      </c>
      <c r="G15" s="271">
        <f>F15/'Input - Customer Data'!E15</f>
        <v>7613.7706822426935</v>
      </c>
      <c r="H15" s="164"/>
      <c r="I15" s="227"/>
      <c r="K15" s="383">
        <f>'Input - Customer Data'!D19</f>
        <v>2021</v>
      </c>
      <c r="L15" s="399">
        <f>G82-E82</f>
        <v>180510114.39547965</v>
      </c>
      <c r="M15" s="401">
        <f>O15-N15</f>
        <v>563904.69608462264</v>
      </c>
      <c r="N15" s="399">
        <v>-19714.746666666699</v>
      </c>
      <c r="O15" s="399">
        <f>L15*$P$19</f>
        <v>544189.94941795594</v>
      </c>
      <c r="P15" s="400">
        <f t="shared" si="1"/>
        <v>3.0147338349456147E-3</v>
      </c>
      <c r="R15" s="164"/>
    </row>
    <row r="16" spans="1:18" x14ac:dyDescent="0.2">
      <c r="A16" s="276">
        <f>'Input - Customer Data'!D20</f>
        <v>2022</v>
      </c>
      <c r="B16" s="273"/>
      <c r="C16" s="274" t="s">
        <v>99</v>
      </c>
      <c r="D16" s="272">
        <f>D15</f>
        <v>0.42412080026704457</v>
      </c>
      <c r="E16" s="268">
        <f>SUM(Forecast!C136:C147)</f>
        <v>484374770.41717601</v>
      </c>
      <c r="F16" s="268">
        <f t="shared" si="0"/>
        <v>205433415.25849867</v>
      </c>
      <c r="G16" s="271">
        <f>F16/'Input - Customer Data'!E15</f>
        <v>7632.4847458790537</v>
      </c>
      <c r="H16" s="164"/>
      <c r="I16" s="227"/>
      <c r="K16" s="383">
        <f>'Input - Customer Data'!D20</f>
        <v>2022</v>
      </c>
      <c r="L16" s="399">
        <f>G83-E82</f>
        <v>183640994.54989234</v>
      </c>
      <c r="M16" s="401">
        <f>O16-N16</f>
        <v>573343.4664192904</v>
      </c>
      <c r="N16" s="399">
        <v>-19714.746666666699</v>
      </c>
      <c r="O16" s="399">
        <f>L16*$P$19</f>
        <v>553628.7197526237</v>
      </c>
      <c r="P16" s="400">
        <f t="shared" si="1"/>
        <v>3.0147338349456152E-3</v>
      </c>
      <c r="R16" s="164"/>
    </row>
    <row r="17" spans="1:18" ht="13.5" thickBot="1" x14ac:dyDescent="0.25">
      <c r="A17" s="327">
        <f>'Input - Customer Data'!D20</f>
        <v>2022</v>
      </c>
      <c r="B17" s="245"/>
      <c r="C17" s="245"/>
      <c r="D17" s="246">
        <f>D16</f>
        <v>0.42412080026704457</v>
      </c>
      <c r="E17" s="247">
        <f>SUM(Forecast!C136:C147)</f>
        <v>484374770.41717601</v>
      </c>
      <c r="F17" s="247">
        <f t="shared" si="0"/>
        <v>205433415.25849867</v>
      </c>
      <c r="G17" s="248" t="e">
        <f>F17/'Input - Customer Data'!#REF!</f>
        <v>#REF!</v>
      </c>
      <c r="H17" s="164"/>
      <c r="I17" s="227"/>
      <c r="K17" s="242">
        <f>'Input - Customer Data'!D20</f>
        <v>2022</v>
      </c>
      <c r="L17" s="243">
        <f>'Bridge&amp;Test Year Class Forecast'!F73</f>
        <v>178299597.23758742</v>
      </c>
      <c r="M17" s="243"/>
      <c r="N17" s="243"/>
      <c r="O17" s="243">
        <f>L17*$P$19</f>
        <v>537525.82854933047</v>
      </c>
      <c r="P17" s="244">
        <f t="shared" si="1"/>
        <v>3.0147338349456147E-3</v>
      </c>
      <c r="R17" s="164"/>
    </row>
    <row r="18" spans="1:18" x14ac:dyDescent="0.2">
      <c r="A18" s="213"/>
      <c r="B18" s="170"/>
      <c r="C18" s="170"/>
      <c r="D18" s="168"/>
      <c r="E18" s="169"/>
      <c r="F18" s="166"/>
      <c r="G18" s="214"/>
      <c r="H18" s="146"/>
      <c r="I18" s="227"/>
      <c r="K18" s="185"/>
      <c r="L18" s="172"/>
      <c r="M18" s="172"/>
      <c r="N18" s="172"/>
      <c r="O18" s="237"/>
      <c r="P18" s="184"/>
      <c r="R18" s="158"/>
    </row>
    <row r="19" spans="1:18" x14ac:dyDescent="0.2">
      <c r="A19" s="213"/>
      <c r="B19" s="170"/>
      <c r="C19" s="170"/>
      <c r="D19" s="168"/>
      <c r="E19" s="169"/>
      <c r="F19" s="166"/>
      <c r="G19" s="214"/>
      <c r="H19" s="146"/>
      <c r="I19" s="227"/>
      <c r="K19" s="181" t="s">
        <v>99</v>
      </c>
      <c r="L19" s="180"/>
      <c r="M19" s="180"/>
      <c r="N19" s="180"/>
      <c r="O19" s="180"/>
      <c r="P19" s="182">
        <f>AVERAGE(P10:P14)</f>
        <v>3.0147338349456147E-3</v>
      </c>
      <c r="R19" s="158"/>
    </row>
    <row r="20" spans="1:18" ht="13.5" thickBot="1" x14ac:dyDescent="0.25">
      <c r="A20" s="213"/>
      <c r="B20" s="170"/>
      <c r="C20" s="170"/>
      <c r="D20" s="168"/>
      <c r="E20" s="169"/>
      <c r="F20" s="166"/>
      <c r="G20" s="214"/>
      <c r="H20" s="146"/>
      <c r="I20" s="227"/>
      <c r="K20" s="177"/>
      <c r="L20" s="176"/>
      <c r="M20" s="176"/>
      <c r="N20" s="176"/>
      <c r="O20" s="176"/>
      <c r="P20" s="178"/>
      <c r="R20" s="158"/>
    </row>
    <row r="21" spans="1:18" x14ac:dyDescent="0.2">
      <c r="A21" s="213"/>
      <c r="B21" s="170"/>
      <c r="C21" s="170"/>
      <c r="D21" s="168"/>
      <c r="E21" s="169"/>
      <c r="F21" s="166"/>
      <c r="G21" s="214"/>
      <c r="H21" s="146"/>
      <c r="I21" s="227"/>
    </row>
    <row r="22" spans="1:18" ht="37.5" customHeight="1" x14ac:dyDescent="0.2">
      <c r="A22" s="454" t="s">
        <v>96</v>
      </c>
      <c r="B22" s="455"/>
      <c r="C22" s="455"/>
      <c r="D22" s="455"/>
      <c r="E22" s="455"/>
      <c r="F22" s="455"/>
      <c r="G22" s="456"/>
      <c r="H22" s="164"/>
      <c r="I22" s="227"/>
      <c r="K22" s="457" t="s">
        <v>202</v>
      </c>
      <c r="L22" s="458"/>
      <c r="M22" s="458"/>
      <c r="N22" s="458"/>
      <c r="O22" s="458"/>
      <c r="P22" s="458"/>
    </row>
    <row r="23" spans="1:18" ht="29.25" customHeight="1" x14ac:dyDescent="0.2">
      <c r="A23" s="215"/>
      <c r="B23" s="165"/>
      <c r="C23" s="165"/>
      <c r="D23" s="165"/>
      <c r="E23" s="165"/>
      <c r="F23" s="165"/>
      <c r="G23" s="216"/>
      <c r="H23" s="164"/>
      <c r="I23" s="227"/>
      <c r="K23" s="446" t="s">
        <v>203</v>
      </c>
      <c r="L23" s="447"/>
      <c r="M23" s="447"/>
      <c r="N23" s="447"/>
      <c r="O23" s="447"/>
      <c r="P23" s="447"/>
    </row>
    <row r="24" spans="1:18" ht="13.5" customHeight="1" thickBot="1" x14ac:dyDescent="0.25">
      <c r="A24" s="153" t="s">
        <v>59</v>
      </c>
      <c r="B24" s="153"/>
      <c r="C24" s="352"/>
      <c r="D24" s="153"/>
      <c r="E24" s="153"/>
      <c r="F24" s="153"/>
      <c r="G24" s="153"/>
      <c r="H24" s="163"/>
      <c r="I24" s="227"/>
      <c r="K24"/>
      <c r="L24"/>
      <c r="M24"/>
      <c r="N24"/>
      <c r="O24"/>
      <c r="P24"/>
      <c r="Q24"/>
    </row>
    <row r="25" spans="1:18" ht="39.6" customHeight="1" x14ac:dyDescent="0.2">
      <c r="A25" s="318" t="s">
        <v>74</v>
      </c>
      <c r="B25" s="318" t="s">
        <v>94</v>
      </c>
      <c r="C25" s="318" t="s">
        <v>93</v>
      </c>
      <c r="D25" s="353" t="s">
        <v>171</v>
      </c>
      <c r="E25" s="318"/>
      <c r="F25" s="319"/>
      <c r="G25" s="189" t="s">
        <v>77</v>
      </c>
      <c r="H25" s="162"/>
      <c r="I25" s="227"/>
      <c r="K25" s="450" t="str">
        <f>A87</f>
        <v>Embedded</v>
      </c>
      <c r="L25" s="451"/>
      <c r="M25" s="451"/>
      <c r="N25" s="452"/>
      <c r="O25"/>
      <c r="P25"/>
      <c r="Q25"/>
    </row>
    <row r="26" spans="1:18" x14ac:dyDescent="0.2">
      <c r="A26" s="276">
        <f>A15</f>
        <v>2021</v>
      </c>
      <c r="B26" s="237">
        <f>'Input - Customer Data'!E24-'Input - Customer Data'!E15</f>
        <v>203.6243953715275</v>
      </c>
      <c r="C26" s="237">
        <f>G15</f>
        <v>7613.7706822426935</v>
      </c>
      <c r="D26" s="237">
        <f>B26*C26</f>
        <v>1550349.4516691309</v>
      </c>
      <c r="E26" s="237"/>
      <c r="F26" s="237"/>
      <c r="G26" s="316">
        <f>F15+D26</f>
        <v>206480063.21135274</v>
      </c>
      <c r="H26" s="159"/>
      <c r="I26" s="227"/>
      <c r="K26" s="251" t="s">
        <v>74</v>
      </c>
      <c r="L26" s="324" t="s">
        <v>75</v>
      </c>
      <c r="M26" s="324" t="s">
        <v>76</v>
      </c>
      <c r="N26" s="250" t="s">
        <v>102</v>
      </c>
      <c r="O26"/>
      <c r="P26"/>
      <c r="Q26"/>
    </row>
    <row r="27" spans="1:18" x14ac:dyDescent="0.2">
      <c r="A27" s="276">
        <f>A16</f>
        <v>2022</v>
      </c>
      <c r="B27" s="237">
        <f>'Input - Customer Data'!E25-'Input - Customer Data'!E24</f>
        <v>205.16486973183055</v>
      </c>
      <c r="C27" s="237">
        <f>G16</f>
        <v>7632.4847458790537</v>
      </c>
      <c r="D27" s="237">
        <f>B27*C27</f>
        <v>1565917.7386184598</v>
      </c>
      <c r="E27" s="237"/>
      <c r="F27" s="237"/>
      <c r="G27" s="316">
        <f>F16+D26+D27</f>
        <v>208549682.44878626</v>
      </c>
      <c r="H27" s="159"/>
      <c r="I27" s="227"/>
      <c r="K27" s="384">
        <f>K5</f>
        <v>2011</v>
      </c>
      <c r="L27" s="172">
        <f>'Bridge&amp;Test Year Class Forecast'!B89</f>
        <v>5010546.66</v>
      </c>
      <c r="M27" s="190">
        <f>'Input - Customer Data'!D$80</f>
        <v>12008.64</v>
      </c>
      <c r="N27" s="187">
        <f>M27/L27</f>
        <v>2.3966726217454284E-3</v>
      </c>
      <c r="O27"/>
      <c r="P27"/>
      <c r="Q27"/>
    </row>
    <row r="28" spans="1:18" x14ac:dyDescent="0.2">
      <c r="A28" s="141"/>
      <c r="B28" s="141"/>
      <c r="C28" s="141"/>
      <c r="D28" s="141"/>
      <c r="E28" s="141"/>
      <c r="F28" s="141"/>
      <c r="I28" s="227"/>
      <c r="K28" s="385">
        <f t="shared" ref="K28:K38" si="4">K6</f>
        <v>2012</v>
      </c>
      <c r="L28" s="172">
        <f>'Bridge&amp;Test Year Class Forecast'!B90</f>
        <v>5264498.6195</v>
      </c>
      <c r="M28" s="190">
        <f>'Input - Customer Data'!E$80</f>
        <v>12682.68</v>
      </c>
      <c r="N28" s="187">
        <f t="shared" ref="N28:N36" si="5">M28/L28</f>
        <v>2.4090955125380103E-3</v>
      </c>
      <c r="O28"/>
      <c r="P28"/>
      <c r="Q28"/>
    </row>
    <row r="29" spans="1:18" x14ac:dyDescent="0.2">
      <c r="I29" s="227"/>
      <c r="K29" s="385">
        <f t="shared" si="4"/>
        <v>2013</v>
      </c>
      <c r="L29" s="172">
        <f>'Bridge&amp;Test Year Class Forecast'!B91</f>
        <v>4854403.5</v>
      </c>
      <c r="M29" s="190">
        <f>'Input - Customer Data'!F$80</f>
        <v>12041.64</v>
      </c>
      <c r="N29" s="187">
        <f t="shared" si="5"/>
        <v>2.4805601759309869E-3</v>
      </c>
      <c r="O29"/>
      <c r="P29"/>
      <c r="Q29"/>
    </row>
    <row r="30" spans="1:18" ht="16.5" customHeight="1" thickBot="1" x14ac:dyDescent="0.25">
      <c r="I30" s="227"/>
      <c r="K30" s="386">
        <f t="shared" si="4"/>
        <v>2014</v>
      </c>
      <c r="L30" s="172">
        <f>'Bridge&amp;Test Year Class Forecast'!B92</f>
        <v>4975331.1999999993</v>
      </c>
      <c r="M30" s="190">
        <f>'Input - Customer Data'!G$80</f>
        <v>12958.4</v>
      </c>
      <c r="N30" s="187">
        <f t="shared" si="5"/>
        <v>2.6045301265572034E-3</v>
      </c>
      <c r="O30"/>
      <c r="P30"/>
      <c r="Q30"/>
    </row>
    <row r="31" spans="1:18" ht="15.75" customHeight="1" x14ac:dyDescent="0.2">
      <c r="A31" s="450" t="str">
        <f>'Input - Customer Data'!A14</f>
        <v>General Service &lt; 50 kW</v>
      </c>
      <c r="B31" s="451"/>
      <c r="C31" s="451"/>
      <c r="D31" s="451"/>
      <c r="E31" s="451"/>
      <c r="F31" s="451"/>
      <c r="G31" s="452"/>
      <c r="I31" s="227"/>
      <c r="K31" s="386">
        <f t="shared" si="4"/>
        <v>2015</v>
      </c>
      <c r="L31" s="172">
        <f>'Bridge&amp;Test Year Class Forecast'!B93</f>
        <v>5138938.0000000009</v>
      </c>
      <c r="M31" s="190">
        <f>'Input - Customer Data'!H$80</f>
        <v>13742.4</v>
      </c>
      <c r="N31" s="187">
        <f t="shared" si="5"/>
        <v>2.6741712003530687E-3</v>
      </c>
      <c r="O31"/>
      <c r="P31"/>
      <c r="Q31"/>
    </row>
    <row r="32" spans="1:18" ht="25.5" x14ac:dyDescent="0.2">
      <c r="A32" s="328" t="s">
        <v>74</v>
      </c>
      <c r="B32" s="329" t="s">
        <v>108</v>
      </c>
      <c r="C32" s="329" t="s">
        <v>173</v>
      </c>
      <c r="D32" s="329" t="s">
        <v>98</v>
      </c>
      <c r="E32" s="329" t="s">
        <v>123</v>
      </c>
      <c r="F32" s="329" t="s">
        <v>196</v>
      </c>
      <c r="G32" s="330" t="s">
        <v>97</v>
      </c>
      <c r="I32" s="227"/>
      <c r="K32" s="386">
        <f t="shared" si="4"/>
        <v>2016</v>
      </c>
      <c r="L32" s="172">
        <f>'Bridge&amp;Test Year Class Forecast'!B94</f>
        <v>5604942.4199999999</v>
      </c>
      <c r="M32" s="190">
        <f>'Input - Customer Data'!I$80</f>
        <v>16375.72</v>
      </c>
      <c r="N32" s="187">
        <f t="shared" si="5"/>
        <v>2.9216571327417848E-3</v>
      </c>
      <c r="O32"/>
      <c r="P32"/>
      <c r="Q32"/>
    </row>
    <row r="33" spans="1:17" x14ac:dyDescent="0.2">
      <c r="A33" s="186">
        <f t="shared" ref="A33:A45" si="6">A5</f>
        <v>2011</v>
      </c>
      <c r="B33" s="190">
        <f>'Input - Customer Data'!D$70</f>
        <v>71478285.230000004</v>
      </c>
      <c r="C33" s="172">
        <f t="shared" ref="C33:C42" si="7">C5</f>
        <v>535581625.16999984</v>
      </c>
      <c r="D33" s="326">
        <f>B33/C33</f>
        <v>0.13345918132891876</v>
      </c>
      <c r="E33" s="172">
        <f t="shared" ref="E33:E45" si="8">E5</f>
        <v>518929580.99797904</v>
      </c>
      <c r="F33" s="172">
        <f t="shared" ref="F33:F45" si="9">E33*D33</f>
        <v>69255917.047349125</v>
      </c>
      <c r="G33" s="171">
        <f>F33/'Input - Customer Data'!G6</f>
        <v>27625.016771978113</v>
      </c>
      <c r="I33" s="227"/>
      <c r="K33" s="386">
        <f t="shared" si="4"/>
        <v>2017</v>
      </c>
      <c r="L33" s="172">
        <f>'Bridge&amp;Test Year Class Forecast'!B95</f>
        <v>4768119.9723423496</v>
      </c>
      <c r="M33" s="190">
        <f>'Input - Customer Data'!J$80</f>
        <v>12501.41</v>
      </c>
      <c r="N33" s="187">
        <f t="shared" si="5"/>
        <v>2.6218740452242971E-3</v>
      </c>
      <c r="O33"/>
      <c r="P33"/>
      <c r="Q33"/>
    </row>
    <row r="34" spans="1:17" x14ac:dyDescent="0.2">
      <c r="A34" s="186">
        <f t="shared" si="6"/>
        <v>2012</v>
      </c>
      <c r="B34" s="190">
        <f>'Input - Customer Data'!E$70</f>
        <v>70359939.605000004</v>
      </c>
      <c r="C34" s="172">
        <f t="shared" si="7"/>
        <v>520912441.87000012</v>
      </c>
      <c r="D34" s="326">
        <f t="shared" ref="D34:D42" si="10">B34/C34</f>
        <v>0.13507056839037676</v>
      </c>
      <c r="E34" s="172">
        <f t="shared" si="8"/>
        <v>515117168.87478459</v>
      </c>
      <c r="F34" s="172">
        <f t="shared" si="9"/>
        <v>69577168.787558854</v>
      </c>
      <c r="G34" s="171">
        <f>F34/'Input - Customer Data'!G7</f>
        <v>27490.896758444116</v>
      </c>
      <c r="I34" s="227"/>
      <c r="K34" s="386">
        <f t="shared" si="4"/>
        <v>2018</v>
      </c>
      <c r="L34" s="172">
        <f>'Bridge&amp;Test Year Class Forecast'!B96</f>
        <v>5218945.2166489204</v>
      </c>
      <c r="M34" s="190">
        <f>'Input - Customer Data'!K$80</f>
        <v>13532.36</v>
      </c>
      <c r="N34" s="187">
        <f t="shared" si="5"/>
        <v>2.592930072695631E-3</v>
      </c>
      <c r="O34"/>
      <c r="P34"/>
      <c r="Q34"/>
    </row>
    <row r="35" spans="1:17" x14ac:dyDescent="0.2">
      <c r="A35" s="186">
        <f t="shared" si="6"/>
        <v>2013</v>
      </c>
      <c r="B35" s="190">
        <f>'Input - Customer Data'!F$70</f>
        <v>68674576.604000002</v>
      </c>
      <c r="C35" s="172">
        <f t="shared" si="7"/>
        <v>509774030.71999979</v>
      </c>
      <c r="D35" s="326">
        <f t="shared" si="10"/>
        <v>0.13471572199745976</v>
      </c>
      <c r="E35" s="172">
        <f t="shared" si="8"/>
        <v>518327601.57164294</v>
      </c>
      <c r="F35" s="172">
        <f t="shared" si="9"/>
        <v>69826877.076935545</v>
      </c>
      <c r="G35" s="171">
        <f>F35/'Input - Customer Data'!G8</f>
        <v>27658.772897284256</v>
      </c>
      <c r="I35" s="227"/>
      <c r="K35" s="386">
        <f t="shared" si="4"/>
        <v>2019</v>
      </c>
      <c r="L35" s="172">
        <f>'Bridge&amp;Test Year Class Forecast'!B97</f>
        <v>5234524.4083762597</v>
      </c>
      <c r="M35" s="190">
        <f>'Input - Customer Data'!L$80</f>
        <v>13275.64</v>
      </c>
      <c r="N35" s="187">
        <f t="shared" si="5"/>
        <v>2.5361692800125999E-3</v>
      </c>
      <c r="O35"/>
      <c r="P35"/>
      <c r="Q35"/>
    </row>
    <row r="36" spans="1:17" x14ac:dyDescent="0.2">
      <c r="A36" s="186">
        <f t="shared" si="6"/>
        <v>2014</v>
      </c>
      <c r="B36" s="190">
        <f>'Input - Customer Data'!G$70</f>
        <v>69135015.260000005</v>
      </c>
      <c r="C36" s="172">
        <f t="shared" si="7"/>
        <v>504927925.73999989</v>
      </c>
      <c r="D36" s="326">
        <f t="shared" si="10"/>
        <v>0.13692056179835727</v>
      </c>
      <c r="E36" s="172">
        <f t="shared" si="8"/>
        <v>508460829.24787956</v>
      </c>
      <c r="F36" s="172">
        <f t="shared" si="9"/>
        <v>69618742.393078282</v>
      </c>
      <c r="G36" s="171">
        <f>F36/'Input - Customer Data'!G9</f>
        <v>27709.871263290304</v>
      </c>
      <c r="I36" s="227"/>
      <c r="K36" s="386">
        <f t="shared" si="4"/>
        <v>2020</v>
      </c>
      <c r="L36" s="172">
        <f>'Bridge&amp;Test Year Class Forecast'!B98</f>
        <v>5321959.9988488881</v>
      </c>
      <c r="M36" s="190">
        <f>'Input - Customer Data'!M$80</f>
        <v>14339.56</v>
      </c>
      <c r="N36" s="187">
        <f t="shared" si="5"/>
        <v>2.6944133370227453E-3</v>
      </c>
      <c r="O36"/>
      <c r="P36"/>
      <c r="Q36"/>
    </row>
    <row r="37" spans="1:17" x14ac:dyDescent="0.2">
      <c r="A37" s="186">
        <f t="shared" si="6"/>
        <v>2015</v>
      </c>
      <c r="B37" s="190">
        <f>'Input - Customer Data'!H$70</f>
        <v>68487698.590000004</v>
      </c>
      <c r="C37" s="172">
        <f t="shared" si="7"/>
        <v>494324941.81999999</v>
      </c>
      <c r="D37" s="326">
        <f t="shared" si="10"/>
        <v>0.13854793233342175</v>
      </c>
      <c r="E37" s="172">
        <f t="shared" si="8"/>
        <v>502015716.69585413</v>
      </c>
      <c r="F37" s="172">
        <f t="shared" si="9"/>
        <v>69553239.547091424</v>
      </c>
      <c r="G37" s="171">
        <f>F37/'Input - Customer Data'!G10</f>
        <v>27908.743214241193</v>
      </c>
      <c r="I37" s="227"/>
      <c r="K37" s="276">
        <f t="shared" si="4"/>
        <v>2021</v>
      </c>
      <c r="L37" s="268">
        <f>G110</f>
        <v>5169537.9868941782</v>
      </c>
      <c r="M37" s="268">
        <f>L37*$N$41</f>
        <v>13820.288209308164</v>
      </c>
      <c r="N37" s="269">
        <f>M37/L37</f>
        <v>2.6734087735394117E-3</v>
      </c>
      <c r="O37"/>
      <c r="P37"/>
      <c r="Q37"/>
    </row>
    <row r="38" spans="1:17" x14ac:dyDescent="0.2">
      <c r="A38" s="186">
        <f t="shared" si="6"/>
        <v>2016</v>
      </c>
      <c r="B38" s="190">
        <f>'Input - Customer Data'!I$70</f>
        <v>69095397.390000001</v>
      </c>
      <c r="C38" s="172">
        <f t="shared" si="7"/>
        <v>491633276.0999999</v>
      </c>
      <c r="D38" s="326">
        <f t="shared" si="10"/>
        <v>0.14054255630968673</v>
      </c>
      <c r="E38" s="172">
        <f t="shared" si="8"/>
        <v>505760615.8557784</v>
      </c>
      <c r="F38" s="172">
        <f t="shared" si="9"/>
        <v>71080889.83313258</v>
      </c>
      <c r="G38" s="171">
        <f>F38/'Input - Customer Data'!G11</f>
        <v>28402.0604021574</v>
      </c>
      <c r="I38" s="227"/>
      <c r="K38" s="276">
        <f t="shared" si="4"/>
        <v>2022</v>
      </c>
      <c r="L38" s="268">
        <f>G111</f>
        <v>5182244.3142705662</v>
      </c>
      <c r="M38" s="268">
        <f>L38*$N$41</f>
        <v>13854.257416395663</v>
      </c>
      <c r="N38" s="269">
        <f>M38/L38</f>
        <v>2.6734087735394117E-3</v>
      </c>
      <c r="O38"/>
      <c r="P38"/>
      <c r="Q38"/>
    </row>
    <row r="39" spans="1:17" x14ac:dyDescent="0.2">
      <c r="A39" s="186">
        <f t="shared" si="6"/>
        <v>2017</v>
      </c>
      <c r="B39" s="190">
        <f>'Input - Customer Data'!J$70</f>
        <v>66385178.073323995</v>
      </c>
      <c r="C39" s="172">
        <f t="shared" si="7"/>
        <v>476909006.87999994</v>
      </c>
      <c r="D39" s="326">
        <f t="shared" si="10"/>
        <v>0.13919883482097428</v>
      </c>
      <c r="E39" s="172">
        <f t="shared" si="8"/>
        <v>480615299.0656243</v>
      </c>
      <c r="F39" s="172">
        <f t="shared" si="9"/>
        <v>66901089.627068989</v>
      </c>
      <c r="G39" s="171">
        <f>F39/'Input - Customer Data'!G12</f>
        <v>26689.264478883906</v>
      </c>
      <c r="I39" s="227"/>
      <c r="K39" s="242">
        <f>'Input - Customer Data'!D42</f>
        <v>43453458.649999976</v>
      </c>
      <c r="L39" s="322" t="s">
        <v>57</v>
      </c>
      <c r="M39" s="243" t="e">
        <f>L39*$P$19</f>
        <v>#VALUE!</v>
      </c>
      <c r="N39" s="244" t="e">
        <f>M39/L39</f>
        <v>#VALUE!</v>
      </c>
      <c r="O39"/>
      <c r="P39"/>
      <c r="Q39"/>
    </row>
    <row r="40" spans="1:17" x14ac:dyDescent="0.2">
      <c r="A40" s="186">
        <f t="shared" si="6"/>
        <v>2018</v>
      </c>
      <c r="B40" s="190">
        <f>'Input - Customer Data'!K$70</f>
        <v>68552191.048737228</v>
      </c>
      <c r="C40" s="172">
        <f t="shared" si="7"/>
        <v>502625267.95999998</v>
      </c>
      <c r="D40" s="326">
        <f t="shared" si="10"/>
        <v>0.13638827058370803</v>
      </c>
      <c r="E40" s="172">
        <f t="shared" si="8"/>
        <v>495247575.67213553</v>
      </c>
      <c r="F40" s="172">
        <f t="shared" si="9"/>
        <v>67545960.356696635</v>
      </c>
      <c r="G40" s="171">
        <f>F40/'Input - Customer Data'!G13</f>
        <v>27118.723419330177</v>
      </c>
      <c r="I40" s="227"/>
      <c r="K40" s="185"/>
      <c r="L40" s="172"/>
      <c r="M40" s="237"/>
      <c r="N40" s="184"/>
      <c r="O40"/>
      <c r="P40"/>
      <c r="Q40"/>
    </row>
    <row r="41" spans="1:17" x14ac:dyDescent="0.2">
      <c r="A41" s="186">
        <f t="shared" si="6"/>
        <v>2019</v>
      </c>
      <c r="B41" s="190">
        <f>'Input - Customer Data'!L$70</f>
        <v>68296619.869135812</v>
      </c>
      <c r="C41" s="172">
        <f t="shared" si="7"/>
        <v>490029500.53746313</v>
      </c>
      <c r="D41" s="326">
        <f t="shared" si="10"/>
        <v>0.13937246593159849</v>
      </c>
      <c r="E41" s="172">
        <f t="shared" si="8"/>
        <v>478789796.63484049</v>
      </c>
      <c r="F41" s="172">
        <f>E41*D41</f>
        <v>66730114.619886279</v>
      </c>
      <c r="G41" s="171">
        <f>F41/'Input - Customer Data'!G14</f>
        <v>26738.39239477212</v>
      </c>
      <c r="I41" s="227"/>
      <c r="K41" s="181" t="s">
        <v>99</v>
      </c>
      <c r="L41" s="180"/>
      <c r="M41" s="180"/>
      <c r="N41" s="182">
        <f>AVERAGE(N32:N36)</f>
        <v>2.6734087735394117E-3</v>
      </c>
      <c r="O41"/>
      <c r="P41"/>
      <c r="Q41"/>
    </row>
    <row r="42" spans="1:17" ht="13.5" thickBot="1" x14ac:dyDescent="0.25">
      <c r="A42" s="186">
        <f t="shared" si="6"/>
        <v>2020</v>
      </c>
      <c r="B42" s="190">
        <f>'Input - Customer Data'!M$70</f>
        <v>63219121.669230707</v>
      </c>
      <c r="C42" s="172">
        <f t="shared" si="7"/>
        <v>482494034.60487103</v>
      </c>
      <c r="D42" s="326">
        <f t="shared" si="10"/>
        <v>0.13102570629915197</v>
      </c>
      <c r="E42" s="172">
        <f t="shared" si="8"/>
        <v>485947849.63629538</v>
      </c>
      <c r="F42" s="172">
        <f>E42*D42</f>
        <v>63671660.223149702</v>
      </c>
      <c r="G42" s="171">
        <f>F42/'Input - Customer Data'!G15</f>
        <v>25331.032147922833</v>
      </c>
      <c r="I42" s="227"/>
      <c r="K42" s="177"/>
      <c r="L42" s="176"/>
      <c r="M42" s="176"/>
      <c r="N42" s="178"/>
    </row>
    <row r="43" spans="1:17" x14ac:dyDescent="0.2">
      <c r="A43" s="275">
        <f t="shared" si="6"/>
        <v>2021</v>
      </c>
      <c r="B43" s="190"/>
      <c r="C43" s="172"/>
      <c r="D43" s="272">
        <f>AVERAGE(D38:D42)</f>
        <v>0.13730556678902389</v>
      </c>
      <c r="E43" s="268">
        <f t="shared" si="8"/>
        <v>483187133.54933572</v>
      </c>
      <c r="F43" s="268">
        <f>E43*D43</f>
        <v>66344283.237155326</v>
      </c>
      <c r="G43" s="271">
        <f>F43/'Input - Customer Data'!G15</f>
        <v>26394.304241814934</v>
      </c>
      <c r="I43" s="227"/>
    </row>
    <row r="44" spans="1:17" x14ac:dyDescent="0.2">
      <c r="A44" s="275">
        <f t="shared" si="6"/>
        <v>2022</v>
      </c>
      <c r="B44" s="273"/>
      <c r="C44" s="274" t="s">
        <v>99</v>
      </c>
      <c r="D44" s="272">
        <f>D43</f>
        <v>0.13730556678902389</v>
      </c>
      <c r="E44" s="268">
        <f t="shared" si="8"/>
        <v>484374770.41717601</v>
      </c>
      <c r="F44" s="268">
        <f t="shared" si="9"/>
        <v>66507352.390433677</v>
      </c>
      <c r="G44" s="271">
        <f>F44/'Input - Customer Data'!G15</f>
        <v>26459.179414687002</v>
      </c>
      <c r="I44" s="227"/>
    </row>
    <row r="45" spans="1:17" ht="13.5" thickBot="1" x14ac:dyDescent="0.25">
      <c r="A45" s="327">
        <f t="shared" si="6"/>
        <v>2022</v>
      </c>
      <c r="B45" s="245"/>
      <c r="C45" s="245"/>
      <c r="D45" s="246">
        <f>D44</f>
        <v>0.13730556678902389</v>
      </c>
      <c r="E45" s="247">
        <f t="shared" si="8"/>
        <v>484374770.41717601</v>
      </c>
      <c r="F45" s="247">
        <f t="shared" si="9"/>
        <v>66507352.390433677</v>
      </c>
      <c r="G45" s="248">
        <f>F45/'Input - Customer Data'!G15</f>
        <v>26459.179414687002</v>
      </c>
      <c r="I45" s="227"/>
    </row>
    <row r="46" spans="1:17" ht="15.75" x14ac:dyDescent="0.2">
      <c r="A46" s="217"/>
      <c r="B46" s="167"/>
      <c r="C46" s="167"/>
      <c r="D46" s="167"/>
      <c r="E46" s="167"/>
      <c r="F46" s="166"/>
      <c r="G46" s="214"/>
      <c r="I46" s="227"/>
      <c r="K46" s="450" t="str">
        <f>'Input - Customer Data'!A17</f>
        <v xml:space="preserve">Street Lighting </v>
      </c>
      <c r="L46" s="451"/>
      <c r="M46" s="451"/>
      <c r="N46" s="451"/>
      <c r="O46" s="451"/>
      <c r="P46" s="451"/>
      <c r="Q46" s="452"/>
    </row>
    <row r="47" spans="1:17" x14ac:dyDescent="0.2">
      <c r="A47" s="217"/>
      <c r="B47" s="167"/>
      <c r="C47" s="167"/>
      <c r="D47" s="167"/>
      <c r="E47" s="167"/>
      <c r="F47" s="166"/>
      <c r="G47" s="214"/>
      <c r="I47" s="227"/>
      <c r="K47" s="251" t="s">
        <v>74</v>
      </c>
      <c r="L47" s="324" t="s">
        <v>75</v>
      </c>
      <c r="M47" s="324" t="s">
        <v>76</v>
      </c>
      <c r="N47" s="324" t="s">
        <v>101</v>
      </c>
      <c r="O47" s="324" t="s">
        <v>100</v>
      </c>
      <c r="P47" s="324" t="s">
        <v>103</v>
      </c>
      <c r="Q47" s="250" t="s">
        <v>102</v>
      </c>
    </row>
    <row r="48" spans="1:17" x14ac:dyDescent="0.2">
      <c r="A48" s="217"/>
      <c r="B48" s="167"/>
      <c r="C48" s="167"/>
      <c r="D48" s="167"/>
      <c r="E48" s="167"/>
      <c r="F48" s="166"/>
      <c r="G48" s="214"/>
      <c r="I48" s="227"/>
      <c r="K48" s="387">
        <f>K5</f>
        <v>2011</v>
      </c>
      <c r="L48" s="190">
        <f>'Input - Customer Data'!D$84</f>
        <v>4475401.3080000002</v>
      </c>
      <c r="M48" s="190">
        <f>'Input - Customer Data'!D$85</f>
        <v>11787.854000000001</v>
      </c>
      <c r="N48" s="190">
        <f>'Input - Customer Data'!D$86</f>
        <v>5706.333333333333</v>
      </c>
      <c r="O48" s="172">
        <f>L48/N48</f>
        <v>784.28669454991541</v>
      </c>
      <c r="P48" s="188">
        <f t="shared" ref="P48:P57" si="11">M48/N48</f>
        <v>2.0657492844208192</v>
      </c>
      <c r="Q48" s="187">
        <f>M48/L48</f>
        <v>2.6339211142760834E-3</v>
      </c>
    </row>
    <row r="49" spans="1:17" x14ac:dyDescent="0.2">
      <c r="A49" s="217"/>
      <c r="B49" s="167"/>
      <c r="C49" s="167"/>
      <c r="D49" s="167"/>
      <c r="E49" s="167"/>
      <c r="F49" s="166"/>
      <c r="G49" s="214"/>
      <c r="I49" s="227"/>
      <c r="K49" s="186">
        <f t="shared" ref="K49:K59" si="12">K6</f>
        <v>2012</v>
      </c>
      <c r="L49" s="190">
        <f>'Input - Customer Data'!E$84</f>
        <v>4830575.8319999995</v>
      </c>
      <c r="M49" s="190">
        <f>'Input - Customer Data'!E$85</f>
        <v>12882.322</v>
      </c>
      <c r="N49" s="190">
        <f>'Input - Customer Data'!E$86</f>
        <v>5711</v>
      </c>
      <c r="O49" s="172">
        <f t="shared" ref="O49:O57" si="13">L49/N49</f>
        <v>845.83712694799499</v>
      </c>
      <c r="P49" s="188">
        <f t="shared" si="11"/>
        <v>2.25570337944318</v>
      </c>
      <c r="Q49" s="187">
        <f t="shared" ref="Q49:Q58" si="14">M49/L49</f>
        <v>2.6668294729298024E-3</v>
      </c>
    </row>
    <row r="50" spans="1:17" ht="15" x14ac:dyDescent="0.2">
      <c r="A50" s="454" t="s">
        <v>96</v>
      </c>
      <c r="B50" s="455"/>
      <c r="C50" s="455"/>
      <c r="D50" s="455"/>
      <c r="E50" s="455"/>
      <c r="F50" s="455"/>
      <c r="G50" s="456"/>
      <c r="I50" s="227"/>
      <c r="K50" s="186">
        <f t="shared" si="12"/>
        <v>2013</v>
      </c>
      <c r="L50" s="190">
        <f>'Input - Customer Data'!F$84</f>
        <v>4446652.6829999993</v>
      </c>
      <c r="M50" s="190">
        <f>'Input - Customer Data'!F$85</f>
        <v>13844.464000000002</v>
      </c>
      <c r="N50" s="190">
        <f>'Input - Customer Data'!F$86</f>
        <v>5699.25</v>
      </c>
      <c r="O50" s="172">
        <f t="shared" si="13"/>
        <v>780.21716594288705</v>
      </c>
      <c r="P50" s="188">
        <f t="shared" si="11"/>
        <v>2.4291729613545643</v>
      </c>
      <c r="Q50" s="187">
        <f t="shared" si="14"/>
        <v>3.1134574672154586E-3</v>
      </c>
    </row>
    <row r="51" spans="1:17" x14ac:dyDescent="0.2">
      <c r="A51" s="215"/>
      <c r="B51" s="165"/>
      <c r="C51" s="165"/>
      <c r="D51" s="165"/>
      <c r="E51" s="165"/>
      <c r="F51" s="165"/>
      <c r="G51" s="216"/>
      <c r="I51" s="227"/>
      <c r="K51" s="186">
        <f t="shared" si="12"/>
        <v>2014</v>
      </c>
      <c r="L51" s="190">
        <f>'Input - Customer Data'!G$84</f>
        <v>4336774.25</v>
      </c>
      <c r="M51" s="190">
        <f>'Input - Customer Data'!G$85</f>
        <v>13285.41</v>
      </c>
      <c r="N51" s="190">
        <f>'Input - Customer Data'!G$86</f>
        <v>5708.333333333333</v>
      </c>
      <c r="O51" s="172">
        <f t="shared" si="13"/>
        <v>759.72687591240879</v>
      </c>
      <c r="P51" s="188">
        <f t="shared" si="11"/>
        <v>2.3273710948905109</v>
      </c>
      <c r="Q51" s="187">
        <f t="shared" si="14"/>
        <v>3.0634313049612855E-3</v>
      </c>
    </row>
    <row r="52" spans="1:17" x14ac:dyDescent="0.2">
      <c r="A52" s="153" t="s">
        <v>95</v>
      </c>
      <c r="B52" s="153"/>
      <c r="C52" s="153"/>
      <c r="D52" s="153"/>
      <c r="E52" s="153"/>
      <c r="F52" s="153"/>
      <c r="G52" s="153"/>
      <c r="I52" s="227"/>
      <c r="K52" s="186">
        <f t="shared" si="12"/>
        <v>2015</v>
      </c>
      <c r="L52" s="190">
        <f>'Input - Customer Data'!H$84</f>
        <v>3697574.9299999997</v>
      </c>
      <c r="M52" s="190">
        <f>'Input - Customer Data'!H$85</f>
        <v>11208.64</v>
      </c>
      <c r="N52" s="190">
        <f>'Input - Customer Data'!H$86</f>
        <v>5699.583333333333</v>
      </c>
      <c r="O52" s="172">
        <f t="shared" si="13"/>
        <v>648.74477900431316</v>
      </c>
      <c r="P52" s="188">
        <f t="shared" si="11"/>
        <v>1.9665718254258353</v>
      </c>
      <c r="Q52" s="187">
        <f t="shared" si="14"/>
        <v>3.0313489820204941E-3</v>
      </c>
    </row>
    <row r="53" spans="1:17" ht="39" customHeight="1" x14ac:dyDescent="0.2">
      <c r="A53" s="318" t="s">
        <v>74</v>
      </c>
      <c r="B53" s="318" t="s">
        <v>94</v>
      </c>
      <c r="C53" s="318" t="s">
        <v>93</v>
      </c>
      <c r="D53" s="353" t="s">
        <v>171</v>
      </c>
      <c r="E53" s="320"/>
      <c r="F53" s="321"/>
      <c r="G53" s="189" t="s">
        <v>77</v>
      </c>
      <c r="I53" s="227"/>
      <c r="K53" s="186">
        <f t="shared" si="12"/>
        <v>2016</v>
      </c>
      <c r="L53" s="190">
        <f>'Input - Customer Data'!I$84</f>
        <v>2159285.8400000003</v>
      </c>
      <c r="M53" s="190">
        <f>'Input - Customer Data'!I$85</f>
        <v>6413.35</v>
      </c>
      <c r="N53" s="190">
        <f>'Input - Customer Data'!I$86</f>
        <v>5735.75</v>
      </c>
      <c r="O53" s="172">
        <f t="shared" si="13"/>
        <v>376.4609405919017</v>
      </c>
      <c r="P53" s="188">
        <f t="shared" si="11"/>
        <v>1.118136250708277</v>
      </c>
      <c r="Q53" s="187">
        <f t="shared" si="14"/>
        <v>2.9701255300224631E-3</v>
      </c>
    </row>
    <row r="54" spans="1:17" x14ac:dyDescent="0.2">
      <c r="A54" s="275">
        <f>A43</f>
        <v>2021</v>
      </c>
      <c r="B54" s="354">
        <f>'Input - Customer Data'!G24-'Input - Customer Data'!G15</f>
        <v>4.3053684510327912</v>
      </c>
      <c r="C54" s="237">
        <f>G43</f>
        <v>26394.304241814934</v>
      </c>
      <c r="D54" s="237">
        <f>B54*C54</f>
        <v>113637.20476967099</v>
      </c>
      <c r="E54" s="237"/>
      <c r="F54" s="237"/>
      <c r="G54" s="316">
        <f>F43+D54</f>
        <v>66457920.441924997</v>
      </c>
      <c r="I54" s="227"/>
      <c r="K54" s="186">
        <f t="shared" si="12"/>
        <v>2017</v>
      </c>
      <c r="L54" s="190">
        <f>'Input - Customer Data'!J$84</f>
        <v>1392668.2526115859</v>
      </c>
      <c r="M54" s="190">
        <f>'Input - Customer Data'!J$85</f>
        <v>4209.0200000000004</v>
      </c>
      <c r="N54" s="190">
        <f>'Input - Customer Data'!J$86</f>
        <v>5742.916666666667</v>
      </c>
      <c r="O54" s="172">
        <f t="shared" si="13"/>
        <v>242.50190860246724</v>
      </c>
      <c r="P54" s="188">
        <f t="shared" si="11"/>
        <v>0.73290633388957416</v>
      </c>
      <c r="Q54" s="187">
        <f t="shared" si="14"/>
        <v>3.0222703735129177E-3</v>
      </c>
    </row>
    <row r="55" spans="1:17" x14ac:dyDescent="0.2">
      <c r="A55" s="275">
        <f>A44</f>
        <v>2022</v>
      </c>
      <c r="B55" s="355">
        <f>'Input - Customer Data'!G25-'Input - Customer Data'!G24</f>
        <v>4.3127428623974993</v>
      </c>
      <c r="C55" s="268">
        <f>G44</f>
        <v>26459.179414687002</v>
      </c>
      <c r="D55" s="268">
        <f>B55*C55</f>
        <v>114111.6371655862</v>
      </c>
      <c r="E55" s="268"/>
      <c r="F55" s="268"/>
      <c r="G55" s="316">
        <f>F44+D54+D55</f>
        <v>66735101.232368931</v>
      </c>
      <c r="I55" s="227"/>
      <c r="K55" s="331">
        <f t="shared" si="12"/>
        <v>2018</v>
      </c>
      <c r="L55" s="332">
        <f>'Input - Customer Data'!K$84</f>
        <v>1390046.9705603039</v>
      </c>
      <c r="M55" s="332">
        <f>'Input - Customer Data'!K$85</f>
        <v>4251.8</v>
      </c>
      <c r="N55" s="332">
        <f>'Input - Customer Data'!K$86</f>
        <v>5774.416666666667</v>
      </c>
      <c r="O55" s="332">
        <f t="shared" si="13"/>
        <v>240.72508978863155</v>
      </c>
      <c r="P55" s="333">
        <f t="shared" si="11"/>
        <v>0.73631679967673502</v>
      </c>
      <c r="Q55" s="334">
        <f t="shared" si="14"/>
        <v>3.058745560436834E-3</v>
      </c>
    </row>
    <row r="56" spans="1:17" x14ac:dyDescent="0.2">
      <c r="I56" s="227"/>
      <c r="K56" s="331">
        <f t="shared" si="12"/>
        <v>2019</v>
      </c>
      <c r="L56" s="332">
        <f>'Input - Customer Data'!L$84</f>
        <v>1401777.7587844254</v>
      </c>
      <c r="M56" s="332">
        <f>'Input - Customer Data'!L$85</f>
        <v>4285.630000000001</v>
      </c>
      <c r="N56" s="332">
        <f>'Input - Customer Data'!L$86</f>
        <v>5878.666666666667</v>
      </c>
      <c r="O56" s="332">
        <f t="shared" si="13"/>
        <v>238.45164869320004</v>
      </c>
      <c r="P56" s="333">
        <f t="shared" si="11"/>
        <v>0.72901394874121128</v>
      </c>
      <c r="Q56" s="334">
        <f t="shared" si="14"/>
        <v>3.0572820642527209E-3</v>
      </c>
    </row>
    <row r="57" spans="1:17" x14ac:dyDescent="0.2">
      <c r="I57" s="227"/>
      <c r="K57" s="331">
        <f t="shared" si="12"/>
        <v>2020</v>
      </c>
      <c r="L57" s="332">
        <f>'Input - Customer Data'!M$84</f>
        <v>1425844.3209876544</v>
      </c>
      <c r="M57" s="332">
        <f>'Input - Customer Data'!M$85</f>
        <v>4348.49</v>
      </c>
      <c r="N57" s="332">
        <f>'Input - Customer Data'!M$86</f>
        <v>5997.166666666667</v>
      </c>
      <c r="O57" s="335">
        <f t="shared" si="13"/>
        <v>237.75299241102536</v>
      </c>
      <c r="P57" s="336">
        <f t="shared" si="11"/>
        <v>0.72509073729261031</v>
      </c>
      <c r="Q57" s="334">
        <f t="shared" si="14"/>
        <v>3.0497649259407832E-3</v>
      </c>
    </row>
    <row r="58" spans="1:17" ht="13.5" thickBot="1" x14ac:dyDescent="0.25">
      <c r="I58" s="227"/>
      <c r="K58" s="275">
        <f t="shared" si="12"/>
        <v>2021</v>
      </c>
      <c r="L58" s="268">
        <f>N58*O61</f>
        <v>1441120.2815711428</v>
      </c>
      <c r="M58" s="268">
        <f>L58*$Q$61</f>
        <v>4403.0031804623595</v>
      </c>
      <c r="N58" s="268">
        <f>'Input - Customer Data'!M24</f>
        <v>6030.3829767656025</v>
      </c>
      <c r="O58" s="268">
        <f>L58/N58</f>
        <v>238.97657696428561</v>
      </c>
      <c r="P58" s="270">
        <f>M58/N58</f>
        <v>0.73013657630479567</v>
      </c>
      <c r="Q58" s="269">
        <f t="shared" si="14"/>
        <v>3.0552641835434467E-3</v>
      </c>
    </row>
    <row r="59" spans="1:17" ht="15.75" customHeight="1" x14ac:dyDescent="0.2">
      <c r="A59" s="450" t="str">
        <f>'Input - Customer Data'!A15</f>
        <v>General Service 50 to 4999 kW</v>
      </c>
      <c r="B59" s="451"/>
      <c r="C59" s="451"/>
      <c r="D59" s="451"/>
      <c r="E59" s="451"/>
      <c r="F59" s="451"/>
      <c r="G59" s="452"/>
      <c r="I59" s="227"/>
      <c r="K59" s="275">
        <f t="shared" si="12"/>
        <v>2022</v>
      </c>
      <c r="L59" s="268">
        <f>N59*O61</f>
        <v>1449102.1671553131</v>
      </c>
      <c r="M59" s="268">
        <f>L59*$Q$61</f>
        <v>4427.3899496048161</v>
      </c>
      <c r="N59" s="268">
        <f>'Input - Customer Data'!M25</f>
        <v>6063.7832609506213</v>
      </c>
      <c r="O59" s="268">
        <f>L59/N59</f>
        <v>238.97657696428564</v>
      </c>
      <c r="P59" s="270">
        <f>M59/N59</f>
        <v>0.73013657630479567</v>
      </c>
      <c r="Q59" s="269">
        <f>M59/L59</f>
        <v>3.0552641835434463E-3</v>
      </c>
    </row>
    <row r="60" spans="1:17" ht="51" x14ac:dyDescent="0.2">
      <c r="A60" s="328" t="s">
        <v>74</v>
      </c>
      <c r="B60" s="329" t="s">
        <v>172</v>
      </c>
      <c r="C60" s="329" t="s">
        <v>173</v>
      </c>
      <c r="D60" s="329" t="s">
        <v>98</v>
      </c>
      <c r="E60" s="329" t="s">
        <v>124</v>
      </c>
      <c r="F60" s="329" t="s">
        <v>197</v>
      </c>
      <c r="G60" s="330" t="s">
        <v>97</v>
      </c>
      <c r="I60" s="227"/>
      <c r="K60" s="275"/>
      <c r="L60" s="268"/>
      <c r="M60" s="268"/>
      <c r="N60" s="268"/>
      <c r="O60" s="292"/>
      <c r="P60" s="270"/>
      <c r="Q60" s="269"/>
    </row>
    <row r="61" spans="1:17" x14ac:dyDescent="0.2">
      <c r="A61" s="186">
        <f t="shared" ref="A61:A73" si="15">A5</f>
        <v>2011</v>
      </c>
      <c r="B61" s="190">
        <f>'Input - Customer Data'!D$74-SUM('Input - Adjustments &amp; Variables'!F5:G16)</f>
        <v>214876814.13600001</v>
      </c>
      <c r="C61" s="172">
        <f t="shared" ref="C61:C70" si="16">C33</f>
        <v>535581625.16999984</v>
      </c>
      <c r="D61" s="326">
        <f>B61/C61</f>
        <v>0.40120273743109763</v>
      </c>
      <c r="E61" s="172">
        <f t="shared" ref="E61:E73" si="17">E33</f>
        <v>518929580.99797904</v>
      </c>
      <c r="F61" s="172">
        <f t="shared" ref="F61:F73" si="18">E61*D61</f>
        <v>208195968.43036169</v>
      </c>
      <c r="G61" s="171">
        <f>F61/'Input - Customer Data'!I6</f>
        <v>927720.61684528051</v>
      </c>
      <c r="I61" s="227"/>
      <c r="K61" s="185" t="s">
        <v>99</v>
      </c>
      <c r="L61" s="243"/>
      <c r="M61" s="243"/>
      <c r="N61" s="243"/>
      <c r="O61" s="180">
        <f>AVERAGE(O55:O57)</f>
        <v>238.97657696428564</v>
      </c>
      <c r="P61" s="183">
        <f>AVERAGE(P55:P57)</f>
        <v>0.73014049523685232</v>
      </c>
      <c r="Q61" s="323">
        <f>AVERAGE(Q55:Q57)</f>
        <v>3.0552641835434463E-3</v>
      </c>
    </row>
    <row r="62" spans="1:17" x14ac:dyDescent="0.2">
      <c r="A62" s="186">
        <f t="shared" si="15"/>
        <v>2012</v>
      </c>
      <c r="B62" s="190">
        <f>'Input - Customer Data'!E$74-SUM('Input - Adjustments &amp; Variables'!F17:G28)</f>
        <v>209735051.1925</v>
      </c>
      <c r="C62" s="172">
        <f t="shared" si="16"/>
        <v>520912441.87000012</v>
      </c>
      <c r="D62" s="326">
        <f t="shared" ref="D62:D70" si="19">B62/C62</f>
        <v>0.4026301434451855</v>
      </c>
      <c r="E62" s="172">
        <f t="shared" si="17"/>
        <v>515117168.87478459</v>
      </c>
      <c r="F62" s="172">
        <f t="shared" si="18"/>
        <v>207401699.59513235</v>
      </c>
      <c r="G62" s="171">
        <f>F62/'Input - Customer Data'!I7</f>
        <v>923838.30554624659</v>
      </c>
      <c r="I62" s="227"/>
      <c r="K62" s="185"/>
      <c r="L62" s="237"/>
      <c r="M62" s="237"/>
      <c r="N62" s="237"/>
      <c r="O62" s="191"/>
      <c r="P62" s="237"/>
      <c r="Q62" s="184"/>
    </row>
    <row r="63" spans="1:17" x14ac:dyDescent="0.2">
      <c r="A63" s="186">
        <f t="shared" si="15"/>
        <v>2013</v>
      </c>
      <c r="B63" s="190">
        <f>'Input - Customer Data'!F$74-SUM('Input - Adjustments &amp; Variables'!F29:G40)</f>
        <v>194627741.79700002</v>
      </c>
      <c r="C63" s="172">
        <f t="shared" si="16"/>
        <v>509774030.71999979</v>
      </c>
      <c r="D63" s="326">
        <f t="shared" si="19"/>
        <v>0.38179218647546587</v>
      </c>
      <c r="E63" s="172">
        <f t="shared" si="17"/>
        <v>518327601.57164294</v>
      </c>
      <c r="F63" s="172">
        <f t="shared" si="18"/>
        <v>197893428.31462169</v>
      </c>
      <c r="G63" s="171">
        <f>F63/'Input - Customer Data'!I8</f>
        <v>879200.71816936694</v>
      </c>
      <c r="I63" s="227"/>
      <c r="K63" s="181"/>
      <c r="L63" s="180"/>
      <c r="M63" s="180"/>
      <c r="N63" s="180"/>
      <c r="O63" s="293"/>
      <c r="P63" s="183"/>
      <c r="Q63" s="182"/>
    </row>
    <row r="64" spans="1:17" ht="13.5" thickBot="1" x14ac:dyDescent="0.25">
      <c r="A64" s="186">
        <f t="shared" si="15"/>
        <v>2014</v>
      </c>
      <c r="B64" s="190">
        <f>'Input - Customer Data'!G$74-SUM('Input - Adjustments &amp; Variables'!F41:G52)</f>
        <v>195767695.11000001</v>
      </c>
      <c r="C64" s="172">
        <f t="shared" si="16"/>
        <v>504927925.73999989</v>
      </c>
      <c r="D64" s="326">
        <f t="shared" si="19"/>
        <v>0.38771413726640608</v>
      </c>
      <c r="E64" s="172">
        <f t="shared" si="17"/>
        <v>508460829.24787956</v>
      </c>
      <c r="F64" s="172">
        <f t="shared" si="18"/>
        <v>197137451.74560305</v>
      </c>
      <c r="G64" s="171">
        <f>F64/'Input - Customer Data'!I9</f>
        <v>875842.06625221646</v>
      </c>
      <c r="I64" s="227"/>
      <c r="K64" s="175"/>
      <c r="L64" s="174"/>
      <c r="M64" s="174"/>
      <c r="N64" s="174"/>
      <c r="O64" s="294"/>
      <c r="P64" s="174"/>
      <c r="Q64" s="173"/>
    </row>
    <row r="65" spans="1:17" x14ac:dyDescent="0.2">
      <c r="A65" s="186">
        <f t="shared" si="15"/>
        <v>2015</v>
      </c>
      <c r="B65" s="190">
        <f>'Input - Customer Data'!H$74-SUM('Input - Adjustments &amp; Variables'!F53:G64)</f>
        <v>189310138.06999999</v>
      </c>
      <c r="C65" s="172">
        <f t="shared" si="16"/>
        <v>494324941.81999999</v>
      </c>
      <c r="D65" s="326">
        <f t="shared" si="19"/>
        <v>0.38296699610786389</v>
      </c>
      <c r="E65" s="172">
        <f t="shared" si="17"/>
        <v>502015716.69585413</v>
      </c>
      <c r="F65" s="172">
        <f t="shared" si="18"/>
        <v>192255451.02194768</v>
      </c>
      <c r="G65" s="171">
        <f>F65/'Input - Customer Data'!I10</f>
        <v>875214.49630628689</v>
      </c>
      <c r="I65" s="227"/>
    </row>
    <row r="66" spans="1:17" x14ac:dyDescent="0.2">
      <c r="A66" s="186">
        <f t="shared" si="15"/>
        <v>2016</v>
      </c>
      <c r="B66" s="190">
        <f>'Input - Customer Data'!I$74-SUM('Input - Adjustments &amp; Variables'!F65:G76)</f>
        <v>185209883.51999998</v>
      </c>
      <c r="C66" s="172">
        <f t="shared" si="16"/>
        <v>491633276.0999999</v>
      </c>
      <c r="D66" s="326">
        <f t="shared" si="19"/>
        <v>0.37672365261607649</v>
      </c>
      <c r="E66" s="172">
        <f t="shared" si="17"/>
        <v>505760615.8557784</v>
      </c>
      <c r="F66" s="172">
        <f t="shared" si="18"/>
        <v>190531986.55454516</v>
      </c>
      <c r="G66" s="171">
        <f>F66/'Input - Customer Data'!I11</f>
        <v>926787.12551866309</v>
      </c>
      <c r="I66" s="227"/>
    </row>
    <row r="67" spans="1:17" ht="13.5" thickBot="1" x14ac:dyDescent="0.25">
      <c r="A67" s="186">
        <f t="shared" si="15"/>
        <v>2017</v>
      </c>
      <c r="B67" s="190">
        <f>'Input - Customer Data'!J$74-SUM('Input - Adjustments &amp; Variables'!F77:G88)</f>
        <v>183196052.27825353</v>
      </c>
      <c r="C67" s="172">
        <f t="shared" si="16"/>
        <v>476909006.87999994</v>
      </c>
      <c r="D67" s="326">
        <f t="shared" si="19"/>
        <v>0.38413208732782311</v>
      </c>
      <c r="E67" s="172">
        <f t="shared" si="17"/>
        <v>480615299.0656243</v>
      </c>
      <c r="F67" s="172">
        <f t="shared" si="18"/>
        <v>184619758.03176421</v>
      </c>
      <c r="G67" s="171">
        <f>F67/'Input - Customer Data'!I12</f>
        <v>932423.0203624455</v>
      </c>
      <c r="I67" s="227"/>
    </row>
    <row r="68" spans="1:17" ht="15.75" x14ac:dyDescent="0.2">
      <c r="A68" s="186">
        <f t="shared" si="15"/>
        <v>2018</v>
      </c>
      <c r="B68" s="190">
        <f>'Input - Customer Data'!K$74-SUM('Input - Adjustments &amp; Variables'!F89:G100)</f>
        <v>185835409.80878308</v>
      </c>
      <c r="C68" s="172">
        <f t="shared" si="16"/>
        <v>502625267.95999998</v>
      </c>
      <c r="D68" s="326">
        <f t="shared" si="19"/>
        <v>0.36972954137986608</v>
      </c>
      <c r="E68" s="172">
        <f t="shared" si="17"/>
        <v>495247575.67213553</v>
      </c>
      <c r="F68" s="172">
        <f t="shared" si="18"/>
        <v>183107659.02274919</v>
      </c>
      <c r="G68" s="171">
        <f>F68/'Input - Customer Data'!I13</f>
        <v>926345.66116061981</v>
      </c>
      <c r="I68" s="227"/>
      <c r="K68" s="450" t="str">
        <f>'Input - Customer Data'!A18</f>
        <v>Sentinel</v>
      </c>
      <c r="L68" s="451"/>
      <c r="M68" s="451"/>
      <c r="N68" s="451"/>
      <c r="O68" s="451"/>
      <c r="P68" s="451"/>
      <c r="Q68" s="452"/>
    </row>
    <row r="69" spans="1:17" x14ac:dyDescent="0.2">
      <c r="A69" s="186">
        <f t="shared" si="15"/>
        <v>2019</v>
      </c>
      <c r="B69" s="190">
        <f>'Input - Customer Data'!L$74-SUM('Input - Adjustments &amp; Variables'!F101:G112)</f>
        <v>179705785.74639916</v>
      </c>
      <c r="C69" s="172">
        <f t="shared" si="16"/>
        <v>490029500.53746313</v>
      </c>
      <c r="D69" s="326">
        <f t="shared" si="19"/>
        <v>0.3667244228139292</v>
      </c>
      <c r="E69" s="172">
        <f t="shared" si="17"/>
        <v>478789796.63484049</v>
      </c>
      <c r="F69" s="172">
        <f t="shared" si="18"/>
        <v>175583911.82011041</v>
      </c>
      <c r="G69" s="171">
        <f>F69/'Input - Customer Data'!I14</f>
        <v>922507.41761879367</v>
      </c>
      <c r="I69" s="227"/>
      <c r="K69" s="251" t="s">
        <v>74</v>
      </c>
      <c r="L69" s="324" t="s">
        <v>75</v>
      </c>
      <c r="M69" s="324" t="s">
        <v>76</v>
      </c>
      <c r="N69" s="324" t="s">
        <v>101</v>
      </c>
      <c r="O69" s="324" t="s">
        <v>100</v>
      </c>
      <c r="P69" s="324" t="s">
        <v>103</v>
      </c>
      <c r="Q69" s="250" t="s">
        <v>102</v>
      </c>
    </row>
    <row r="70" spans="1:17" x14ac:dyDescent="0.2">
      <c r="A70" s="186">
        <f t="shared" si="15"/>
        <v>2020</v>
      </c>
      <c r="B70" s="190">
        <f>'Input - Customer Data'!M$74-SUM('Input - Adjustments &amp; Variables'!F113:G124)</f>
        <v>165593467.56708583</v>
      </c>
      <c r="C70" s="172">
        <f t="shared" si="16"/>
        <v>482494034.60487103</v>
      </c>
      <c r="D70" s="326">
        <f t="shared" si="19"/>
        <v>0.34320313970865013</v>
      </c>
      <c r="E70" s="172">
        <f t="shared" si="17"/>
        <v>485947849.63629538</v>
      </c>
      <c r="F70" s="172">
        <f>E70*D70</f>
        <v>166778827.72984359</v>
      </c>
      <c r="G70" s="171">
        <f>F70/'Input - Customer Data'!I15</f>
        <v>863393.41361437587</v>
      </c>
      <c r="I70" s="227"/>
      <c r="K70" s="384">
        <f>K5</f>
        <v>2011</v>
      </c>
      <c r="L70" s="190">
        <f>'Input - Customer Data'!D$89</f>
        <v>761036.95</v>
      </c>
      <c r="M70" s="190">
        <f>'Input - Customer Data'!D$90</f>
        <v>2333.1769999999997</v>
      </c>
      <c r="N70" s="190">
        <f>'Input - Customer Data'!D$91</f>
        <v>828.25</v>
      </c>
      <c r="O70" s="172">
        <f>L70/N70</f>
        <v>918.84932085722903</v>
      </c>
      <c r="P70" s="188">
        <f t="shared" ref="P70:P82" si="20">M70/N70</f>
        <v>2.8169960760639898</v>
      </c>
      <c r="Q70" s="187">
        <f>M70/L70</f>
        <v>3.0657867531924698E-3</v>
      </c>
    </row>
    <row r="71" spans="1:17" x14ac:dyDescent="0.2">
      <c r="A71" s="275">
        <f t="shared" si="15"/>
        <v>2021</v>
      </c>
      <c r="B71" s="190"/>
      <c r="C71" s="172"/>
      <c r="D71" s="272">
        <f>AVERAGE(D66:D70)</f>
        <v>0.368102568769269</v>
      </c>
      <c r="E71" s="268">
        <f t="shared" si="17"/>
        <v>483187133.54933572</v>
      </c>
      <c r="F71" s="268">
        <f>E71*D71</f>
        <v>177862425.05577031</v>
      </c>
      <c r="G71" s="271">
        <f>F71/'Input - Customer Data'!I15</f>
        <v>920771.82945178763</v>
      </c>
      <c r="I71" s="227"/>
      <c r="K71" s="386">
        <f t="shared" ref="K71:K81" si="21">K6</f>
        <v>2012</v>
      </c>
      <c r="L71" s="190">
        <f>'Input - Customer Data'!E$89</f>
        <v>713312.87300000002</v>
      </c>
      <c r="M71" s="190">
        <f>'Input - Customer Data'!E$90</f>
        <v>2174.4479999999999</v>
      </c>
      <c r="N71" s="190">
        <f>'Input - Customer Data'!E$91</f>
        <v>781.91666666666663</v>
      </c>
      <c r="O71" s="172">
        <f t="shared" ref="O71:O82" si="22">L71/N71</f>
        <v>912.26201385484399</v>
      </c>
      <c r="P71" s="188">
        <f t="shared" si="20"/>
        <v>2.7809203879356281</v>
      </c>
      <c r="Q71" s="187">
        <f t="shared" ref="Q71:Q82" si="23">M71/L71</f>
        <v>3.0483790245574324E-3</v>
      </c>
    </row>
    <row r="72" spans="1:17" x14ac:dyDescent="0.2">
      <c r="A72" s="275">
        <f t="shared" si="15"/>
        <v>2022</v>
      </c>
      <c r="B72" s="273"/>
      <c r="C72" s="274" t="s">
        <v>99</v>
      </c>
      <c r="D72" s="272">
        <f>D71</f>
        <v>0.368102568769269</v>
      </c>
      <c r="E72" s="268">
        <f t="shared" si="17"/>
        <v>484374770.41717601</v>
      </c>
      <c r="F72" s="268">
        <f t="shared" si="18"/>
        <v>178299597.23758742</v>
      </c>
      <c r="G72" s="271">
        <f>F72/'Input - Customer Data'!I15</f>
        <v>923035.01589777786</v>
      </c>
      <c r="I72" s="227"/>
      <c r="K72" s="386">
        <f t="shared" si="21"/>
        <v>2013</v>
      </c>
      <c r="L72" s="190">
        <f>'Input - Customer Data'!F$89</f>
        <v>636304.67499999993</v>
      </c>
      <c r="M72" s="190">
        <f>'Input - Customer Data'!F$90</f>
        <v>2091</v>
      </c>
      <c r="N72" s="190">
        <f>'Input - Customer Data'!F$91</f>
        <v>772.91666666666663</v>
      </c>
      <c r="O72" s="172">
        <f t="shared" si="22"/>
        <v>823.25133153638808</v>
      </c>
      <c r="P72" s="188">
        <f t="shared" si="20"/>
        <v>2.70533692722372</v>
      </c>
      <c r="Q72" s="187">
        <f t="shared" si="23"/>
        <v>3.2861616174672931E-3</v>
      </c>
    </row>
    <row r="73" spans="1:17" ht="13.5" thickBot="1" x14ac:dyDescent="0.25">
      <c r="A73" s="327">
        <f t="shared" si="15"/>
        <v>2022</v>
      </c>
      <c r="B73" s="245"/>
      <c r="C73" s="245"/>
      <c r="D73" s="246">
        <f>D72</f>
        <v>0.368102568769269</v>
      </c>
      <c r="E73" s="247">
        <f t="shared" si="17"/>
        <v>484374770.41717601</v>
      </c>
      <c r="F73" s="247">
        <f t="shared" si="18"/>
        <v>178299597.23758742</v>
      </c>
      <c r="G73" s="248">
        <f>F73/'Input - Customer Data'!I15</f>
        <v>923035.01589777786</v>
      </c>
      <c r="I73" s="227"/>
      <c r="K73" s="386">
        <f t="shared" si="21"/>
        <v>2014</v>
      </c>
      <c r="L73" s="190">
        <f>'Input - Customer Data'!G$89</f>
        <v>697285.83000000007</v>
      </c>
      <c r="M73" s="190">
        <f>'Input - Customer Data'!G$90</f>
        <v>2125.66</v>
      </c>
      <c r="N73" s="190">
        <f>'Input - Customer Data'!G$91</f>
        <v>773.33333333333337</v>
      </c>
      <c r="O73" s="172">
        <f t="shared" si="22"/>
        <v>901.66271120689657</v>
      </c>
      <c r="P73" s="188">
        <f t="shared" si="20"/>
        <v>2.7486982758620688</v>
      </c>
      <c r="Q73" s="187">
        <f t="shared" si="23"/>
        <v>3.0484772650549914E-3</v>
      </c>
    </row>
    <row r="74" spans="1:17" x14ac:dyDescent="0.2">
      <c r="A74" s="217"/>
      <c r="B74" s="167"/>
      <c r="C74" s="167"/>
      <c r="D74" s="167"/>
      <c r="E74" s="167"/>
      <c r="F74" s="166"/>
      <c r="G74" s="214"/>
      <c r="I74" s="227"/>
      <c r="K74" s="386">
        <f t="shared" si="21"/>
        <v>2015</v>
      </c>
      <c r="L74" s="190">
        <f>'Input - Customer Data'!H$89</f>
        <v>690656.66999999993</v>
      </c>
      <c r="M74" s="190">
        <f>'Input - Customer Data'!H$90</f>
        <v>2268.02</v>
      </c>
      <c r="N74" s="190">
        <f>'Input - Customer Data'!H$91</f>
        <v>760.75</v>
      </c>
      <c r="O74" s="172">
        <f t="shared" si="22"/>
        <v>907.86285902070313</v>
      </c>
      <c r="P74" s="188">
        <f t="shared" si="20"/>
        <v>2.9812947748931973</v>
      </c>
      <c r="Q74" s="187">
        <f t="shared" si="23"/>
        <v>3.2838602717034505E-3</v>
      </c>
    </row>
    <row r="75" spans="1:17" x14ac:dyDescent="0.2">
      <c r="A75" s="217"/>
      <c r="B75" s="167"/>
      <c r="C75" s="167"/>
      <c r="D75" s="167"/>
      <c r="E75" s="167"/>
      <c r="F75" s="166"/>
      <c r="G75" s="214"/>
      <c r="I75" s="227"/>
      <c r="K75" s="386">
        <f t="shared" si="21"/>
        <v>2016</v>
      </c>
      <c r="L75" s="190">
        <f>'Input - Customer Data'!I$89</f>
        <v>667141.85</v>
      </c>
      <c r="M75" s="190">
        <f>'Input - Customer Data'!I$90</f>
        <v>2173.14</v>
      </c>
      <c r="N75" s="190">
        <f>'Input - Customer Data'!I$91</f>
        <v>732.5</v>
      </c>
      <c r="O75" s="172">
        <f t="shared" si="22"/>
        <v>910.77385665529005</v>
      </c>
      <c r="P75" s="188">
        <f t="shared" si="20"/>
        <v>2.9667440273037542</v>
      </c>
      <c r="Q75" s="187">
        <f t="shared" si="23"/>
        <v>3.2573882151149714E-3</v>
      </c>
    </row>
    <row r="76" spans="1:17" x14ac:dyDescent="0.2">
      <c r="A76" s="217"/>
      <c r="B76" s="167"/>
      <c r="C76" s="167"/>
      <c r="D76" s="167"/>
      <c r="E76" s="167"/>
      <c r="F76" s="166"/>
      <c r="G76" s="214"/>
      <c r="I76" s="227"/>
      <c r="K76" s="386">
        <f t="shared" si="21"/>
        <v>2017</v>
      </c>
      <c r="L76" s="190">
        <f>'Input - Customer Data'!J$89</f>
        <v>631149.96201329515</v>
      </c>
      <c r="M76" s="190">
        <f>'Input - Customer Data'!J$90</f>
        <v>2037.9700000000007</v>
      </c>
      <c r="N76" s="190">
        <f>'Input - Customer Data'!J$91</f>
        <v>705.66666666666663</v>
      </c>
      <c r="O76" s="172">
        <f t="shared" si="22"/>
        <v>894.40240247514669</v>
      </c>
      <c r="P76" s="188">
        <f t="shared" si="20"/>
        <v>2.8880066131317914</v>
      </c>
      <c r="Q76" s="187">
        <f t="shared" si="23"/>
        <v>3.2289790424752827E-3</v>
      </c>
    </row>
    <row r="77" spans="1:17" x14ac:dyDescent="0.2">
      <c r="A77" s="217"/>
      <c r="B77" s="167"/>
      <c r="C77" s="167"/>
      <c r="D77" s="167"/>
      <c r="E77" s="167"/>
      <c r="F77" s="166"/>
      <c r="G77" s="214"/>
      <c r="I77" s="227"/>
      <c r="K77" s="388">
        <f t="shared" si="21"/>
        <v>2018</v>
      </c>
      <c r="L77" s="332">
        <f>'Input - Customer Data'!K$89</f>
        <v>606042.11775878421</v>
      </c>
      <c r="M77" s="332">
        <f>'Input - Customer Data'!K$90</f>
        <v>1951.2900000000013</v>
      </c>
      <c r="N77" s="332">
        <f>'Input - Customer Data'!K$91</f>
        <v>698.25</v>
      </c>
      <c r="O77" s="332">
        <f t="shared" si="22"/>
        <v>867.9443147279402</v>
      </c>
      <c r="P77" s="333">
        <f t="shared" si="20"/>
        <v>2.7945435016111726</v>
      </c>
      <c r="Q77" s="334">
        <f t="shared" si="23"/>
        <v>3.2197267200109849E-3</v>
      </c>
    </row>
    <row r="78" spans="1:17" ht="15" x14ac:dyDescent="0.2">
      <c r="A78" s="454" t="s">
        <v>96</v>
      </c>
      <c r="B78" s="455"/>
      <c r="C78" s="455"/>
      <c r="D78" s="455"/>
      <c r="E78" s="455"/>
      <c r="F78" s="455"/>
      <c r="G78" s="456"/>
      <c r="I78" s="227"/>
      <c r="K78" s="388">
        <f t="shared" si="21"/>
        <v>2019</v>
      </c>
      <c r="L78" s="332">
        <f>'Input - Customer Data'!L$89</f>
        <v>565913.01442882093</v>
      </c>
      <c r="M78" s="332">
        <f>'Input - Customer Data'!L$90</f>
        <v>1856.1200000000003</v>
      </c>
      <c r="N78" s="332">
        <f>'Input - Customer Data'!L$91</f>
        <v>669.41666666666663</v>
      </c>
      <c r="O78" s="332">
        <f t="shared" si="22"/>
        <v>845.38231957498465</v>
      </c>
      <c r="P78" s="333">
        <f t="shared" si="20"/>
        <v>2.7727424374455376</v>
      </c>
      <c r="Q78" s="334">
        <f t="shared" si="23"/>
        <v>3.279868023309894E-3</v>
      </c>
    </row>
    <row r="79" spans="1:17" x14ac:dyDescent="0.2">
      <c r="A79" s="215"/>
      <c r="B79" s="165"/>
      <c r="C79" s="165"/>
      <c r="D79" s="165"/>
      <c r="E79" s="165"/>
      <c r="F79" s="165"/>
      <c r="G79" s="216"/>
      <c r="I79" s="227"/>
      <c r="K79" s="389">
        <f t="shared" si="21"/>
        <v>2020</v>
      </c>
      <c r="L79" s="332">
        <f>'Input - Customer Data'!M$89</f>
        <v>525914.78338748356</v>
      </c>
      <c r="M79" s="332">
        <f>'Input - Customer Data'!M$90</f>
        <v>1722.9099999999978</v>
      </c>
      <c r="N79" s="332">
        <f>'Input - Customer Data'!M$91</f>
        <v>644.66666666666663</v>
      </c>
      <c r="O79" s="335">
        <f t="shared" si="22"/>
        <v>815.79335582339752</v>
      </c>
      <c r="P79" s="336">
        <f t="shared" si="20"/>
        <v>2.6725594622543918</v>
      </c>
      <c r="Q79" s="337">
        <f t="shared" si="23"/>
        <v>3.2760250413622466E-3</v>
      </c>
    </row>
    <row r="80" spans="1:17" ht="12.75" customHeight="1" x14ac:dyDescent="0.2">
      <c r="A80" s="153" t="s">
        <v>105</v>
      </c>
      <c r="B80" s="153"/>
      <c r="C80" s="153"/>
      <c r="D80" s="153"/>
      <c r="E80" s="153"/>
      <c r="F80" s="153"/>
      <c r="G80" s="153"/>
      <c r="I80" s="227"/>
      <c r="K80" s="276">
        <f t="shared" si="21"/>
        <v>2021</v>
      </c>
      <c r="L80" s="268">
        <f>N80*O83</f>
        <v>528556.71089588641</v>
      </c>
      <c r="M80" s="268">
        <f>L80*$Q$61</f>
        <v>1614.8803877717298</v>
      </c>
      <c r="N80" s="268">
        <f>'Input - Customer Data'!O24</f>
        <v>626.96516530576287</v>
      </c>
      <c r="O80" s="268">
        <f>L80/N80</f>
        <v>843.0399967087742</v>
      </c>
      <c r="P80" s="270">
        <f>M80/N80</f>
        <v>2.5757099072389029</v>
      </c>
      <c r="Q80" s="269">
        <f t="shared" si="23"/>
        <v>3.0552641835434463E-3</v>
      </c>
    </row>
    <row r="81" spans="1:17" ht="38.25" x14ac:dyDescent="0.2">
      <c r="A81" s="318" t="s">
        <v>74</v>
      </c>
      <c r="B81" s="318" t="s">
        <v>94</v>
      </c>
      <c r="C81" s="318" t="s">
        <v>93</v>
      </c>
      <c r="D81" s="353" t="s">
        <v>171</v>
      </c>
      <c r="E81" s="353" t="s">
        <v>174</v>
      </c>
      <c r="F81" s="321"/>
      <c r="G81" s="189" t="s">
        <v>77</v>
      </c>
      <c r="I81" s="227"/>
      <c r="K81" s="276">
        <f t="shared" si="21"/>
        <v>2022</v>
      </c>
      <c r="L81" s="268">
        <f>N81*O83</f>
        <v>514043.40065197996</v>
      </c>
      <c r="M81" s="268">
        <f>L81*$Q$61</f>
        <v>1570.5383907988682</v>
      </c>
      <c r="N81" s="268">
        <f>'Input - Customer Data'!O25</f>
        <v>609.74971846982817</v>
      </c>
      <c r="O81" s="268">
        <f>L81/N81</f>
        <v>843.0399967087742</v>
      </c>
      <c r="P81" s="270">
        <f>M81/N81</f>
        <v>2.5757099072389029</v>
      </c>
      <c r="Q81" s="269">
        <f t="shared" si="23"/>
        <v>3.0552641835434463E-3</v>
      </c>
    </row>
    <row r="82" spans="1:17" x14ac:dyDescent="0.2">
      <c r="A82" s="315">
        <f>A26</f>
        <v>2021</v>
      </c>
      <c r="B82" s="354">
        <f>'Input - Customer Data'!I24-'Input - Customer Data'!I15</f>
        <v>2.8755107997664595</v>
      </c>
      <c r="C82" s="237">
        <f>G71</f>
        <v>920771.82945178763</v>
      </c>
      <c r="D82" s="237">
        <f>B82*C82</f>
        <v>2647689.3397093359</v>
      </c>
      <c r="E82" s="237">
        <v>3717774.7210013554</v>
      </c>
      <c r="F82" s="237"/>
      <c r="G82" s="316">
        <f>F71+D82+E82</f>
        <v>184227889.11648101</v>
      </c>
      <c r="I82" s="227"/>
      <c r="K82" s="242">
        <f>'Bridge&amp;Test Year Class Forecast'!K17</f>
        <v>2022</v>
      </c>
      <c r="L82" s="243">
        <f>N82*O84</f>
        <v>0</v>
      </c>
      <c r="M82" s="243">
        <f>N82*P84</f>
        <v>0</v>
      </c>
      <c r="N82" s="325">
        <f>'Input - Customer Data'!O25</f>
        <v>609.74971846982817</v>
      </c>
      <c r="O82" s="243">
        <f t="shared" si="22"/>
        <v>0</v>
      </c>
      <c r="P82" s="249">
        <f t="shared" si="20"/>
        <v>0</v>
      </c>
      <c r="Q82" s="244" t="e">
        <f t="shared" si="23"/>
        <v>#DIV/0!</v>
      </c>
    </row>
    <row r="83" spans="1:17" x14ac:dyDescent="0.2">
      <c r="A83" s="317">
        <f>A27</f>
        <v>2022</v>
      </c>
      <c r="B83" s="355">
        <f>'Input - Customer Data'!I25-'Input - Customer Data'!I24</f>
        <v>2.9183161269083371</v>
      </c>
      <c r="C83" s="268">
        <f>G72</f>
        <v>923035.01589777786</v>
      </c>
      <c r="D83" s="268">
        <f>B83*C83</f>
        <v>2693707.9725955785</v>
      </c>
      <c r="E83" s="268"/>
      <c r="F83" s="268"/>
      <c r="G83" s="316">
        <f>F72+D82+E82+D83+E83</f>
        <v>187358769.27089369</v>
      </c>
      <c r="K83" s="185"/>
      <c r="L83" s="172"/>
      <c r="M83" s="237"/>
      <c r="N83" s="237"/>
      <c r="O83" s="180">
        <f>AVERAGE(O77:O79)</f>
        <v>843.0399967087742</v>
      </c>
      <c r="P83" s="183">
        <f>AVERAGE(P77:P79)</f>
        <v>2.746615133770367</v>
      </c>
      <c r="Q83" s="183">
        <f>AVERAGE(Q77:Q79)</f>
        <v>3.2585399282277082E-3</v>
      </c>
    </row>
    <row r="84" spans="1:17" x14ac:dyDescent="0.2">
      <c r="K84" s="181"/>
      <c r="L84" s="180"/>
      <c r="M84" s="180"/>
      <c r="N84" s="180"/>
      <c r="O84" s="180"/>
      <c r="P84" s="183"/>
      <c r="Q84" s="182"/>
    </row>
    <row r="85" spans="1:17" ht="13.5" thickBot="1" x14ac:dyDescent="0.25">
      <c r="K85" s="175"/>
      <c r="L85" s="174"/>
      <c r="M85" s="174"/>
      <c r="N85" s="174"/>
      <c r="O85" s="174"/>
      <c r="P85" s="174"/>
      <c r="Q85" s="173"/>
    </row>
    <row r="86" spans="1:17" ht="13.5" thickBot="1" x14ac:dyDescent="0.25"/>
    <row r="87" spans="1:17" ht="15.75" x14ac:dyDescent="0.2">
      <c r="A87" s="450" t="s">
        <v>146</v>
      </c>
      <c r="B87" s="451"/>
      <c r="C87" s="451"/>
      <c r="D87" s="451"/>
      <c r="E87" s="451"/>
      <c r="F87" s="451"/>
      <c r="G87" s="452"/>
    </row>
    <row r="88" spans="1:17" ht="26.25" thickBot="1" x14ac:dyDescent="0.25">
      <c r="A88" s="328" t="s">
        <v>74</v>
      </c>
      <c r="B88" s="329" t="s">
        <v>108</v>
      </c>
      <c r="C88" s="329" t="s">
        <v>173</v>
      </c>
      <c r="D88" s="329" t="s">
        <v>98</v>
      </c>
      <c r="E88" s="329" t="s">
        <v>124</v>
      </c>
      <c r="F88" s="329" t="s">
        <v>198</v>
      </c>
      <c r="G88" s="330" t="s">
        <v>97</v>
      </c>
    </row>
    <row r="89" spans="1:17" ht="15.75" x14ac:dyDescent="0.2">
      <c r="A89" s="186">
        <f t="shared" ref="A89:A100" si="24">A33</f>
        <v>2011</v>
      </c>
      <c r="B89" s="190">
        <f>'Input - Customer Data'!D$79</f>
        <v>5010546.66</v>
      </c>
      <c r="C89" s="172">
        <f t="shared" ref="C89:C98" si="25">C33</f>
        <v>535581625.16999984</v>
      </c>
      <c r="D89" s="326">
        <f>B89/C89</f>
        <v>9.3553371223473059E-3</v>
      </c>
      <c r="E89" s="172">
        <f t="shared" ref="E89:E98" si="26">E33</f>
        <v>518929580.99797904</v>
      </c>
      <c r="F89" s="172">
        <f t="shared" ref="F89:F100" si="27">E89*D89</f>
        <v>4854761.1729945261</v>
      </c>
      <c r="G89" s="171">
        <f>F89/'Input - Customer Data'!K6</f>
        <v>4854761.1729945261</v>
      </c>
      <c r="K89" s="450" t="s">
        <v>121</v>
      </c>
      <c r="L89" s="451"/>
      <c r="M89" s="451"/>
      <c r="N89" s="451"/>
      <c r="O89" s="451"/>
      <c r="P89" s="451"/>
      <c r="Q89" s="452"/>
    </row>
    <row r="90" spans="1:17" x14ac:dyDescent="0.2">
      <c r="A90" s="186">
        <f t="shared" si="24"/>
        <v>2012</v>
      </c>
      <c r="B90" s="190">
        <f>'Input - Customer Data'!E$79</f>
        <v>5264498.6195</v>
      </c>
      <c r="C90" s="172">
        <f t="shared" si="25"/>
        <v>520912441.87000012</v>
      </c>
      <c r="D90" s="326">
        <f t="shared" ref="D90:D98" si="28">B90/C90</f>
        <v>1.0106302319447801E-2</v>
      </c>
      <c r="E90" s="172">
        <f t="shared" si="26"/>
        <v>515117168.87478459</v>
      </c>
      <c r="F90" s="172">
        <f t="shared" si="27"/>
        <v>5205929.8385866201</v>
      </c>
      <c r="G90" s="171">
        <f>F90/'Input - Customer Data'!K7</f>
        <v>5205929.8385866201</v>
      </c>
      <c r="K90" s="251" t="s">
        <v>74</v>
      </c>
      <c r="L90" s="324" t="s">
        <v>75</v>
      </c>
      <c r="M90" s="324" t="s">
        <v>76</v>
      </c>
      <c r="N90" s="324" t="s">
        <v>101</v>
      </c>
      <c r="O90" s="324" t="s">
        <v>193</v>
      </c>
      <c r="P90" s="324" t="s">
        <v>194</v>
      </c>
      <c r="Q90" s="250" t="s">
        <v>102</v>
      </c>
    </row>
    <row r="91" spans="1:17" x14ac:dyDescent="0.2">
      <c r="A91" s="186">
        <f t="shared" si="24"/>
        <v>2013</v>
      </c>
      <c r="B91" s="190">
        <f>'Input - Customer Data'!F$79</f>
        <v>4854403.5</v>
      </c>
      <c r="C91" s="172">
        <f t="shared" si="25"/>
        <v>509774030.71999979</v>
      </c>
      <c r="D91" s="326">
        <f t="shared" si="28"/>
        <v>9.5226575060006272E-3</v>
      </c>
      <c r="E91" s="172">
        <f t="shared" si="26"/>
        <v>518327601.57164294</v>
      </c>
      <c r="F91" s="172">
        <f t="shared" si="27"/>
        <v>4935856.2256735079</v>
      </c>
      <c r="G91" s="171">
        <f>F91/'Input - Customer Data'!K8</f>
        <v>4935856.2256735079</v>
      </c>
      <c r="K91" s="384">
        <f>K5</f>
        <v>2011</v>
      </c>
      <c r="L91" s="190">
        <f>'Input - Customer Data'!D$94</f>
        <v>1527928.1810000001</v>
      </c>
      <c r="M91" s="190"/>
      <c r="N91" s="190">
        <f>'Input - Customer Data'!D$96</f>
        <v>38.666666666666664</v>
      </c>
      <c r="O91" s="172">
        <f>L91/N91</f>
        <v>39515.383991379313</v>
      </c>
      <c r="P91" s="188">
        <f t="shared" ref="P91:P100" si="29">M91/N91</f>
        <v>0</v>
      </c>
      <c r="Q91" s="187">
        <f>M91/L91</f>
        <v>0</v>
      </c>
    </row>
    <row r="92" spans="1:17" x14ac:dyDescent="0.2">
      <c r="A92" s="186">
        <f t="shared" si="24"/>
        <v>2014</v>
      </c>
      <c r="B92" s="190">
        <f>'Input - Customer Data'!G$79</f>
        <v>4975331.1999999993</v>
      </c>
      <c r="C92" s="172">
        <f t="shared" si="25"/>
        <v>504927925.73999989</v>
      </c>
      <c r="D92" s="326">
        <f t="shared" si="28"/>
        <v>9.8535473012477479E-3</v>
      </c>
      <c r="E92" s="172">
        <f t="shared" si="26"/>
        <v>508460829.24787956</v>
      </c>
      <c r="F92" s="172">
        <f t="shared" si="27"/>
        <v>5010142.8318256354</v>
      </c>
      <c r="G92" s="171">
        <f>F92/'Input - Customer Data'!K9</f>
        <v>5010142.8318256354</v>
      </c>
      <c r="K92" s="386">
        <f t="shared" ref="K92:K102" si="30">K6</f>
        <v>2012</v>
      </c>
      <c r="L92" s="190">
        <f>'Input - Customer Data'!E$94</f>
        <v>1530261.9540000001</v>
      </c>
      <c r="M92" s="190"/>
      <c r="N92" s="190">
        <f>'Input - Customer Data'!E$96</f>
        <v>38.083333333333336</v>
      </c>
      <c r="O92" s="172">
        <f t="shared" ref="O92:O100" si="31">L92/N92</f>
        <v>40181.933146608317</v>
      </c>
      <c r="P92" s="188">
        <f t="shared" si="29"/>
        <v>0</v>
      </c>
      <c r="Q92" s="187">
        <f t="shared" ref="Q92:Q100" si="32">M92/L92</f>
        <v>0</v>
      </c>
    </row>
    <row r="93" spans="1:17" x14ac:dyDescent="0.2">
      <c r="A93" s="186">
        <f t="shared" si="24"/>
        <v>2015</v>
      </c>
      <c r="B93" s="190">
        <f>'Input - Customer Data'!H$79</f>
        <v>5138938.0000000009</v>
      </c>
      <c r="C93" s="172">
        <f t="shared" si="25"/>
        <v>494324941.81999999</v>
      </c>
      <c r="D93" s="326">
        <f t="shared" si="28"/>
        <v>1.0395870337999772E-2</v>
      </c>
      <c r="E93" s="172">
        <f t="shared" si="26"/>
        <v>502015716.69585413</v>
      </c>
      <c r="F93" s="172">
        <f t="shared" si="27"/>
        <v>5218890.2984081265</v>
      </c>
      <c r="G93" s="171">
        <f>F93/'Input - Customer Data'!K10</f>
        <v>5218890.2984081265</v>
      </c>
      <c r="K93" s="386">
        <f t="shared" si="30"/>
        <v>2013</v>
      </c>
      <c r="L93" s="190">
        <f>'Input - Customer Data'!F$94</f>
        <v>1532801.659</v>
      </c>
      <c r="M93" s="190"/>
      <c r="N93" s="190">
        <f>'Input - Customer Data'!F$96</f>
        <v>40.083333333333336</v>
      </c>
      <c r="O93" s="172">
        <f t="shared" si="31"/>
        <v>38240.374029106024</v>
      </c>
      <c r="P93" s="188">
        <f t="shared" si="29"/>
        <v>0</v>
      </c>
      <c r="Q93" s="187">
        <f t="shared" si="32"/>
        <v>0</v>
      </c>
    </row>
    <row r="94" spans="1:17" x14ac:dyDescent="0.2">
      <c r="A94" s="186">
        <f t="shared" si="24"/>
        <v>2016</v>
      </c>
      <c r="B94" s="190">
        <f>'Input - Customer Data'!I$79</f>
        <v>5604942.4199999999</v>
      </c>
      <c r="C94" s="172">
        <f t="shared" si="25"/>
        <v>491633276.0999999</v>
      </c>
      <c r="D94" s="326">
        <f t="shared" si="28"/>
        <v>1.1400657141157254E-2</v>
      </c>
      <c r="E94" s="172">
        <f t="shared" si="26"/>
        <v>505760615.8557784</v>
      </c>
      <c r="F94" s="172">
        <f t="shared" si="27"/>
        <v>5766003.3768722704</v>
      </c>
      <c r="G94" s="171">
        <f>F94/'Input - Customer Data'!K11</f>
        <v>5766003.3768722704</v>
      </c>
      <c r="K94" s="386">
        <f t="shared" si="30"/>
        <v>2014</v>
      </c>
      <c r="L94" s="190">
        <f>'Input - Customer Data'!G$94</f>
        <v>1503002.9500000002</v>
      </c>
      <c r="M94" s="190"/>
      <c r="N94" s="190">
        <f>'Input - Customer Data'!G$96</f>
        <v>39.75</v>
      </c>
      <c r="O94" s="172">
        <f t="shared" si="31"/>
        <v>37811.394968553461</v>
      </c>
      <c r="P94" s="188">
        <f t="shared" si="29"/>
        <v>0</v>
      </c>
      <c r="Q94" s="187">
        <f t="shared" si="32"/>
        <v>0</v>
      </c>
    </row>
    <row r="95" spans="1:17" x14ac:dyDescent="0.2">
      <c r="A95" s="186">
        <f t="shared" si="24"/>
        <v>2017</v>
      </c>
      <c r="B95" s="190">
        <f>'Input - Customer Data'!J$79</f>
        <v>4768119.9723423496</v>
      </c>
      <c r="C95" s="172">
        <f t="shared" si="25"/>
        <v>476909006.87999994</v>
      </c>
      <c r="D95" s="326">
        <f t="shared" si="28"/>
        <v>9.9979658667719521E-3</v>
      </c>
      <c r="E95" s="172">
        <f t="shared" si="26"/>
        <v>480615299.0656243</v>
      </c>
      <c r="F95" s="172">
        <f t="shared" si="27"/>
        <v>4805175.3551065056</v>
      </c>
      <c r="G95" s="171">
        <f>F95/'Input - Customer Data'!K12</f>
        <v>4805175.3551065056</v>
      </c>
      <c r="K95" s="386">
        <f t="shared" si="30"/>
        <v>2015</v>
      </c>
      <c r="L95" s="190">
        <f>'Input - Customer Data'!H$94</f>
        <v>1500542.3199999998</v>
      </c>
      <c r="M95" s="190"/>
      <c r="N95" s="190">
        <f>'Input - Customer Data'!H$96</f>
        <v>36.25</v>
      </c>
      <c r="O95" s="172">
        <f t="shared" si="31"/>
        <v>41394.270896551723</v>
      </c>
      <c r="P95" s="188">
        <f t="shared" si="29"/>
        <v>0</v>
      </c>
      <c r="Q95" s="187">
        <f t="shared" si="32"/>
        <v>0</v>
      </c>
    </row>
    <row r="96" spans="1:17" x14ac:dyDescent="0.2">
      <c r="A96" s="186">
        <f t="shared" si="24"/>
        <v>2018</v>
      </c>
      <c r="B96" s="190">
        <f>'Input - Customer Data'!K$79</f>
        <v>5218945.2166489204</v>
      </c>
      <c r="C96" s="172">
        <f t="shared" si="25"/>
        <v>502625267.95999998</v>
      </c>
      <c r="D96" s="326">
        <f t="shared" si="28"/>
        <v>1.0383372164775957E-2</v>
      </c>
      <c r="E96" s="172">
        <f t="shared" si="26"/>
        <v>495247575.67213553</v>
      </c>
      <c r="F96" s="172">
        <f t="shared" si="27"/>
        <v>5142339.8919068268</v>
      </c>
      <c r="G96" s="171">
        <f>F96/'Input - Customer Data'!K13</f>
        <v>5142339.8919068268</v>
      </c>
      <c r="K96" s="386">
        <f t="shared" si="30"/>
        <v>2016</v>
      </c>
      <c r="L96" s="190">
        <f>'Input - Customer Data'!I$94</f>
        <v>1416419.3800000001</v>
      </c>
      <c r="M96" s="190"/>
      <c r="N96" s="190">
        <f>'Input - Customer Data'!I$96</f>
        <v>35.916666666666664</v>
      </c>
      <c r="O96" s="172">
        <f t="shared" si="31"/>
        <v>39436.270440835273</v>
      </c>
      <c r="P96" s="188">
        <f t="shared" si="29"/>
        <v>0</v>
      </c>
      <c r="Q96" s="187">
        <f t="shared" si="32"/>
        <v>0</v>
      </c>
    </row>
    <row r="97" spans="1:17" x14ac:dyDescent="0.2">
      <c r="A97" s="186">
        <f t="shared" si="24"/>
        <v>2019</v>
      </c>
      <c r="B97" s="190">
        <f>'Input - Customer Data'!L$79</f>
        <v>5234524.4083762597</v>
      </c>
      <c r="C97" s="172">
        <f t="shared" si="25"/>
        <v>490029500.53746313</v>
      </c>
      <c r="D97" s="326">
        <f t="shared" si="28"/>
        <v>1.0682059758922773E-2</v>
      </c>
      <c r="E97" s="172">
        <f t="shared" si="26"/>
        <v>478789796.63484049</v>
      </c>
      <c r="F97" s="172">
        <f t="shared" si="27"/>
        <v>5114461.2196158478</v>
      </c>
      <c r="G97" s="171">
        <f>F97/'Input - Customer Data'!K14</f>
        <v>5114461.2196158478</v>
      </c>
      <c r="K97" s="386">
        <f t="shared" si="30"/>
        <v>2017</v>
      </c>
      <c r="L97" s="190">
        <f>'Input - Customer Data'!J$94</f>
        <v>1308270.2299999995</v>
      </c>
      <c r="M97" s="190"/>
      <c r="N97" s="190">
        <f>'Input - Customer Data'!J$96</f>
        <v>49.25</v>
      </c>
      <c r="O97" s="172">
        <f t="shared" si="31"/>
        <v>26563.862538071055</v>
      </c>
      <c r="P97" s="188">
        <f t="shared" si="29"/>
        <v>0</v>
      </c>
      <c r="Q97" s="187">
        <f t="shared" si="32"/>
        <v>0</v>
      </c>
    </row>
    <row r="98" spans="1:17" x14ac:dyDescent="0.2">
      <c r="A98" s="186">
        <f t="shared" si="24"/>
        <v>2020</v>
      </c>
      <c r="B98" s="190">
        <f>'Input - Customer Data'!M$79</f>
        <v>5321959.9988488881</v>
      </c>
      <c r="C98" s="172">
        <f t="shared" si="25"/>
        <v>482494034.60487103</v>
      </c>
      <c r="D98" s="326">
        <f t="shared" si="28"/>
        <v>1.1030105280383834E-2</v>
      </c>
      <c r="E98" s="172">
        <f t="shared" si="26"/>
        <v>485947849.63629538</v>
      </c>
      <c r="F98" s="172">
        <f>E98*D98</f>
        <v>5360055.9422644712</v>
      </c>
      <c r="G98" s="171">
        <f>F98/'Input - Customer Data'!K15</f>
        <v>5360055.9422644712</v>
      </c>
      <c r="K98" s="388">
        <f t="shared" si="30"/>
        <v>2018</v>
      </c>
      <c r="L98" s="332">
        <f>'Input - Customer Data'!K$94</f>
        <v>1307305.7299999995</v>
      </c>
      <c r="M98" s="332"/>
      <c r="N98" s="332">
        <f>'Input - Customer Data'!K$96</f>
        <v>48.083333333333336</v>
      </c>
      <c r="O98" s="332">
        <f t="shared" si="31"/>
        <v>27188.334072790283</v>
      </c>
      <c r="P98" s="333">
        <f t="shared" si="29"/>
        <v>0</v>
      </c>
      <c r="Q98" s="334">
        <f t="shared" si="32"/>
        <v>0</v>
      </c>
    </row>
    <row r="99" spans="1:17" x14ac:dyDescent="0.2">
      <c r="A99" s="275">
        <f t="shared" si="24"/>
        <v>2021</v>
      </c>
      <c r="B99" s="292"/>
      <c r="C99" s="268"/>
      <c r="D99" s="272">
        <f>AVERAGE(D94:D98)</f>
        <v>1.0698832042402354E-2</v>
      </c>
      <c r="E99" s="268">
        <f>E71</f>
        <v>483187133.54933572</v>
      </c>
      <c r="F99" s="268">
        <f>E99*D99</f>
        <v>5169537.9868941782</v>
      </c>
      <c r="G99" s="271">
        <f>F99/'Input - Customer Data'!K19</f>
        <v>5169537.9868941782</v>
      </c>
      <c r="K99" s="388">
        <f t="shared" si="30"/>
        <v>2019</v>
      </c>
      <c r="L99" s="332">
        <f>'Input - Customer Data'!L$94</f>
        <v>1299487.2900000005</v>
      </c>
      <c r="M99" s="332"/>
      <c r="N99" s="332">
        <f>'Input - Customer Data'!L$96</f>
        <v>47.166666666666664</v>
      </c>
      <c r="O99" s="332">
        <f t="shared" si="31"/>
        <v>27550.967279151955</v>
      </c>
      <c r="P99" s="333">
        <f t="shared" si="29"/>
        <v>0</v>
      </c>
      <c r="Q99" s="334">
        <f t="shared" si="32"/>
        <v>0</v>
      </c>
    </row>
    <row r="100" spans="1:17" x14ac:dyDescent="0.2">
      <c r="A100" s="275">
        <f t="shared" si="24"/>
        <v>2022</v>
      </c>
      <c r="B100" s="273"/>
      <c r="C100" s="274" t="s">
        <v>99</v>
      </c>
      <c r="D100" s="272">
        <f>D99</f>
        <v>1.0698832042402354E-2</v>
      </c>
      <c r="E100" s="268">
        <f>E72</f>
        <v>484374770.41717601</v>
      </c>
      <c r="F100" s="268">
        <f t="shared" si="27"/>
        <v>5182244.3142705662</v>
      </c>
      <c r="G100" s="271">
        <f>F100/'Input - Customer Data'!K20</f>
        <v>5182244.3142705662</v>
      </c>
      <c r="K100" s="389">
        <f t="shared" si="30"/>
        <v>2020</v>
      </c>
      <c r="L100" s="332">
        <f>'Input - Customer Data'!M$94</f>
        <v>1307649.58</v>
      </c>
      <c r="M100" s="332"/>
      <c r="N100" s="332">
        <f>'Input - Customer Data'!M$96</f>
        <v>46</v>
      </c>
      <c r="O100" s="335">
        <f t="shared" si="31"/>
        <v>28427.164782608696</v>
      </c>
      <c r="P100" s="336">
        <f t="shared" si="29"/>
        <v>0</v>
      </c>
      <c r="Q100" s="337">
        <f t="shared" si="32"/>
        <v>0</v>
      </c>
    </row>
    <row r="101" spans="1:17" ht="13.5" thickBot="1" x14ac:dyDescent="0.25">
      <c r="A101" s="327" t="s">
        <v>150</v>
      </c>
      <c r="B101" s="245"/>
      <c r="C101" s="245"/>
      <c r="D101" s="246">
        <f>D72</f>
        <v>0.368102568769269</v>
      </c>
      <c r="E101" s="247">
        <f>E45</f>
        <v>484374770.41717601</v>
      </c>
      <c r="F101" s="247">
        <f>E73*D73</f>
        <v>178299597.23758742</v>
      </c>
      <c r="G101" s="248">
        <f>F73/'Input - Customer Data'!I15</f>
        <v>923035.01589777786</v>
      </c>
      <c r="K101" s="276">
        <f t="shared" si="30"/>
        <v>2021</v>
      </c>
      <c r="L101" s="268">
        <f>N101*O105</f>
        <v>1300064.6421148987</v>
      </c>
      <c r="M101" s="268"/>
      <c r="N101" s="268">
        <f>'Input - Customer Data'!Q19</f>
        <v>46.896232431407682</v>
      </c>
      <c r="O101" s="268">
        <f>L101/N101</f>
        <v>27722.155378183645</v>
      </c>
      <c r="P101" s="270">
        <f>M101/N101</f>
        <v>0</v>
      </c>
      <c r="Q101" s="269">
        <f>M101/L101</f>
        <v>0</v>
      </c>
    </row>
    <row r="102" spans="1:17" x14ac:dyDescent="0.2">
      <c r="A102" s="217"/>
      <c r="B102" s="167"/>
      <c r="C102" s="167"/>
      <c r="D102" s="167"/>
      <c r="E102" s="167"/>
      <c r="F102" s="166"/>
      <c r="G102" s="214"/>
      <c r="K102" s="276">
        <f t="shared" si="30"/>
        <v>2022</v>
      </c>
      <c r="L102" s="268">
        <f>N102*O105</f>
        <v>1325394.2094016334</v>
      </c>
      <c r="M102" s="268"/>
      <c r="N102" s="268">
        <f>'Input - Customer Data'!Q20</f>
        <v>47.809926440448123</v>
      </c>
      <c r="O102" s="268">
        <f>L102/N102</f>
        <v>27722.155378183645</v>
      </c>
      <c r="P102" s="270">
        <f>M102/N102</f>
        <v>0</v>
      </c>
      <c r="Q102" s="269">
        <f>M102/L102</f>
        <v>0</v>
      </c>
    </row>
    <row r="103" spans="1:17" x14ac:dyDescent="0.2">
      <c r="A103" s="217"/>
      <c r="B103" s="167"/>
      <c r="C103" s="167"/>
      <c r="D103" s="167"/>
      <c r="E103" s="167"/>
      <c r="F103" s="166"/>
      <c r="G103" s="214"/>
      <c r="K103" s="242">
        <f>'Bridge&amp;Test Year Class Forecast'!K38</f>
        <v>2022</v>
      </c>
      <c r="L103" s="243">
        <f>N103*O105</f>
        <v>0</v>
      </c>
      <c r="M103" s="243">
        <f>N103*P105</f>
        <v>0</v>
      </c>
      <c r="N103" s="325">
        <f>'Input - Customer Data'!O46</f>
        <v>0</v>
      </c>
      <c r="O103" s="243" t="e">
        <f>L103/N103</f>
        <v>#DIV/0!</v>
      </c>
      <c r="P103" s="249" t="e">
        <f>M103/N103</f>
        <v>#DIV/0!</v>
      </c>
      <c r="Q103" s="244" t="e">
        <f>M103/L103</f>
        <v>#DIV/0!</v>
      </c>
    </row>
    <row r="104" spans="1:17" x14ac:dyDescent="0.2">
      <c r="A104" s="217"/>
      <c r="B104" s="167"/>
      <c r="C104" s="167"/>
      <c r="D104" s="167"/>
      <c r="E104" s="167"/>
      <c r="F104" s="166"/>
      <c r="G104" s="214"/>
      <c r="K104" s="185"/>
      <c r="L104" s="172"/>
      <c r="M104" s="237"/>
      <c r="N104" s="237"/>
      <c r="O104" s="237"/>
      <c r="P104" s="237"/>
      <c r="Q104" s="184"/>
    </row>
    <row r="105" spans="1:17" x14ac:dyDescent="0.2">
      <c r="A105" s="217"/>
      <c r="B105" s="167"/>
      <c r="C105" s="167"/>
      <c r="D105" s="167"/>
      <c r="E105" s="167"/>
      <c r="F105" s="166"/>
      <c r="G105" s="214"/>
      <c r="K105" s="181" t="s">
        <v>99</v>
      </c>
      <c r="L105" s="180"/>
      <c r="M105" s="180"/>
      <c r="N105" s="180"/>
      <c r="O105" s="180">
        <f>AVERAGE(O98:O100)</f>
        <v>27722.155378183645</v>
      </c>
      <c r="P105" s="180">
        <f>AVERAGE(P98:P100)</f>
        <v>0</v>
      </c>
      <c r="Q105" s="179">
        <f>AVERAGE(Q98:Q100)</f>
        <v>0</v>
      </c>
    </row>
    <row r="106" spans="1:17" ht="15.75" thickBot="1" x14ac:dyDescent="0.25">
      <c r="A106" s="454" t="s">
        <v>96</v>
      </c>
      <c r="B106" s="455"/>
      <c r="C106" s="455"/>
      <c r="D106" s="455"/>
      <c r="E106" s="455"/>
      <c r="F106" s="455"/>
      <c r="G106" s="456"/>
      <c r="K106" s="175"/>
      <c r="L106" s="174"/>
      <c r="M106" s="174"/>
      <c r="N106" s="174"/>
      <c r="O106" s="174"/>
      <c r="P106" s="174"/>
      <c r="Q106" s="173"/>
    </row>
    <row r="107" spans="1:17" ht="13.5" thickBot="1" x14ac:dyDescent="0.25">
      <c r="A107" s="215"/>
      <c r="B107" s="165"/>
      <c r="C107" s="165"/>
      <c r="D107" s="165"/>
      <c r="E107" s="165"/>
      <c r="F107" s="165"/>
      <c r="G107" s="216"/>
    </row>
    <row r="108" spans="1:17" ht="13.5" thickBot="1" x14ac:dyDescent="0.25">
      <c r="A108" s="233" t="s">
        <v>146</v>
      </c>
      <c r="B108" s="234"/>
      <c r="C108" s="234"/>
      <c r="D108" s="234"/>
      <c r="E108" s="234"/>
      <c r="F108" s="234"/>
      <c r="G108" s="235"/>
    </row>
    <row r="109" spans="1:17" ht="38.25" x14ac:dyDescent="0.2">
      <c r="A109" s="161" t="s">
        <v>74</v>
      </c>
      <c r="B109" s="236" t="s">
        <v>94</v>
      </c>
      <c r="C109" s="236" t="s">
        <v>93</v>
      </c>
      <c r="D109" s="238" t="s">
        <v>92</v>
      </c>
      <c r="E109" s="236"/>
      <c r="F109" s="239"/>
      <c r="G109" s="160" t="s">
        <v>77</v>
      </c>
    </row>
    <row r="110" spans="1:17" x14ac:dyDescent="0.2">
      <c r="A110" s="275">
        <f>A99</f>
        <v>2021</v>
      </c>
      <c r="B110" s="237">
        <f>'Input - Customer Data'!I24-'Input - Customer Data'!I19</f>
        <v>0</v>
      </c>
      <c r="C110" s="237">
        <f>G99</f>
        <v>5169537.9868941782</v>
      </c>
      <c r="D110" s="237">
        <f>B110*C110</f>
        <v>0</v>
      </c>
      <c r="E110" s="237"/>
      <c r="F110" s="237"/>
      <c r="G110" s="316">
        <f>F99+D110</f>
        <v>5169537.9868941782</v>
      </c>
    </row>
    <row r="111" spans="1:17" x14ac:dyDescent="0.2">
      <c r="A111" s="275">
        <f>A100</f>
        <v>2022</v>
      </c>
      <c r="B111" s="292">
        <v>0</v>
      </c>
      <c r="C111" s="268">
        <f>G100</f>
        <v>5182244.3142705662</v>
      </c>
      <c r="D111" s="268">
        <f>B111*C111</f>
        <v>0</v>
      </c>
      <c r="E111" s="268"/>
      <c r="F111" s="268"/>
      <c r="G111" s="316">
        <f>F100+D110+D111</f>
        <v>5182244.3142705662</v>
      </c>
    </row>
  </sheetData>
  <sheetProtection selectLockedCells="1" selectUnlockedCells="1"/>
  <mergeCells count="17">
    <mergeCell ref="A106:G106"/>
    <mergeCell ref="K89:Q89"/>
    <mergeCell ref="K46:Q46"/>
    <mergeCell ref="K68:Q68"/>
    <mergeCell ref="K25:N25"/>
    <mergeCell ref="A59:G59"/>
    <mergeCell ref="A31:G31"/>
    <mergeCell ref="A50:G50"/>
    <mergeCell ref="A87:G87"/>
    <mergeCell ref="A78:G78"/>
    <mergeCell ref="K23:P23"/>
    <mergeCell ref="K1:N1"/>
    <mergeCell ref="K3:N3"/>
    <mergeCell ref="A3:G3"/>
    <mergeCell ref="A1:G1"/>
    <mergeCell ref="A22:G22"/>
    <mergeCell ref="K22:P22"/>
  </mergeCells>
  <phoneticPr fontId="26" type="noConversion"/>
  <pageMargins left="0.7" right="0.7" top="0.75" bottom="0.75" header="0.3" footer="0.3"/>
  <pageSetup scale="44" orientation="landscape" horizontalDpi="4294967293"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sheetPr>
  <dimension ref="B3:L44"/>
  <sheetViews>
    <sheetView showGridLines="0" tabSelected="1" zoomScaleNormal="100" workbookViewId="0">
      <selection activeCell="L36" sqref="L36"/>
    </sheetView>
  </sheetViews>
  <sheetFormatPr defaultColWidth="10.5" defaultRowHeight="12.75" x14ac:dyDescent="0.2"/>
  <cols>
    <col min="1" max="1" width="10.5" style="141"/>
    <col min="2" max="2" width="36.5" style="141" bestFit="1" customWidth="1"/>
    <col min="3" max="3" width="14.5" style="141" bestFit="1" customWidth="1"/>
    <col min="4" max="4" width="14.5" style="141" customWidth="1"/>
    <col min="5" max="9" width="14.33203125" style="141" customWidth="1"/>
    <col min="10" max="11" width="10.6640625" style="141" customWidth="1"/>
    <col min="12" max="16384" width="10.5" style="141"/>
  </cols>
  <sheetData>
    <row r="3" spans="2:12" ht="15" customHeight="1" x14ac:dyDescent="0.2">
      <c r="B3" s="459" t="s">
        <v>104</v>
      </c>
      <c r="C3" s="460"/>
      <c r="D3" s="460"/>
      <c r="E3" s="460"/>
      <c r="F3" s="460"/>
      <c r="G3" s="460"/>
      <c r="H3" s="460"/>
      <c r="I3" s="460"/>
    </row>
    <row r="4" spans="2:12" x14ac:dyDescent="0.2">
      <c r="B4" s="225"/>
      <c r="C4" s="225" t="s">
        <v>151</v>
      </c>
      <c r="D4" s="277">
        <f>'Input - Customer Data'!$B$7-5</f>
        <v>2017</v>
      </c>
      <c r="E4" s="277">
        <f>'Input - Customer Data'!$B$7-4</f>
        <v>2018</v>
      </c>
      <c r="F4" s="277">
        <f>'Input - Customer Data'!$B$7-3</f>
        <v>2019</v>
      </c>
      <c r="G4" s="277">
        <f>'Input - Customer Data'!$B$7-2</f>
        <v>2020</v>
      </c>
      <c r="H4" s="277">
        <f>'Input - Customer Data'!$B$7-1</f>
        <v>2021</v>
      </c>
      <c r="I4" s="277">
        <f>'Input - Customer Data'!$B$7</f>
        <v>2022</v>
      </c>
      <c r="J4" s="223"/>
      <c r="K4" s="223"/>
      <c r="L4" s="224"/>
    </row>
    <row r="5" spans="2:12" x14ac:dyDescent="0.2">
      <c r="B5" s="211" t="str">
        <f>'Input - Customer Data'!A65</f>
        <v>Residential</v>
      </c>
      <c r="C5" s="156"/>
      <c r="D5" s="156"/>
      <c r="E5" s="229"/>
      <c r="F5" s="229"/>
      <c r="G5" s="229"/>
      <c r="H5" s="229"/>
      <c r="I5" s="229"/>
    </row>
    <row r="6" spans="2:12" x14ac:dyDescent="0.2">
      <c r="B6" s="211" t="s">
        <v>201</v>
      </c>
      <c r="C6" s="339">
        <v>201294289</v>
      </c>
      <c r="D6" s="229">
        <f>'Bridge&amp;Test Year Class Forecast'!B11</f>
        <v>192333396.59142745</v>
      </c>
      <c r="E6" s="229">
        <f>'Bridge&amp;Test Year Class Forecast'!B12</f>
        <v>213384791.97681683</v>
      </c>
      <c r="F6" s="229">
        <f>'Bridge&amp;Test Year Class Forecast'!B13</f>
        <v>208333695.23086321</v>
      </c>
      <c r="G6" s="229">
        <f>'Bridge&amp;Test Year Class Forecast'!B14</f>
        <v>220200219.65924728</v>
      </c>
      <c r="H6" s="229">
        <f>'Bridge&amp;Test Year Class Forecast'!G26</f>
        <v>206480063.21135274</v>
      </c>
      <c r="I6" s="229">
        <f>'Bridge&amp;Test Year Class Forecast'!G27</f>
        <v>208549682.44878626</v>
      </c>
    </row>
    <row r="7" spans="2:12" x14ac:dyDescent="0.2">
      <c r="B7" s="211" t="str">
        <f>'Input - Customer Data'!A67</f>
        <v xml:space="preserve"> Cust Count</v>
      </c>
      <c r="C7" s="156">
        <v>26074</v>
      </c>
      <c r="D7" s="229">
        <f>'Input - Customer Data'!J67</f>
        <v>26228.416666666668</v>
      </c>
      <c r="E7" s="229">
        <f>'Input - Customer Data'!K67</f>
        <v>26464.833333333332</v>
      </c>
      <c r="F7" s="229">
        <f>'Input - Customer Data'!L67</f>
        <v>26647</v>
      </c>
      <c r="G7" s="229">
        <f>'Input - Customer Data'!M67</f>
        <v>26915.666666666668</v>
      </c>
      <c r="H7" s="229">
        <f>'Input - Customer Data'!E24</f>
        <v>27119.291062038195</v>
      </c>
      <c r="I7" s="229">
        <f>'Input - Customer Data'!E25</f>
        <v>27324.455931770026</v>
      </c>
    </row>
    <row r="8" spans="2:12" x14ac:dyDescent="0.2">
      <c r="B8" s="211" t="s">
        <v>57</v>
      </c>
      <c r="C8" s="156"/>
      <c r="D8" s="156"/>
      <c r="E8" s="229"/>
      <c r="F8" s="229"/>
      <c r="G8" s="229"/>
      <c r="H8" s="229"/>
      <c r="I8" s="229"/>
    </row>
    <row r="9" spans="2:12" x14ac:dyDescent="0.2">
      <c r="B9" s="211" t="str">
        <f>'Input - Customer Data'!A69</f>
        <v>General Service &lt; 50 kW</v>
      </c>
      <c r="C9" s="156"/>
      <c r="D9" s="156"/>
      <c r="E9" s="229"/>
      <c r="F9" s="229"/>
      <c r="G9" s="229"/>
      <c r="H9" s="229"/>
      <c r="I9" s="229"/>
    </row>
    <row r="10" spans="2:12" x14ac:dyDescent="0.2">
      <c r="B10" s="211" t="s">
        <v>201</v>
      </c>
      <c r="C10" s="339">
        <v>69390323</v>
      </c>
      <c r="D10" s="229">
        <f>'Bridge&amp;Test Year Class Forecast'!B39</f>
        <v>66385178.073323995</v>
      </c>
      <c r="E10" s="229">
        <f>'Bridge&amp;Test Year Class Forecast'!B40</f>
        <v>68552191.048737228</v>
      </c>
      <c r="F10" s="229">
        <f>'Bridge&amp;Test Year Class Forecast'!B41</f>
        <v>68296619.869135812</v>
      </c>
      <c r="G10" s="229">
        <f>'Bridge&amp;Test Year Class Forecast'!B42</f>
        <v>63219121.669230707</v>
      </c>
      <c r="H10" s="229">
        <f>'Bridge&amp;Test Year Class Forecast'!G54</f>
        <v>66457920.441924997</v>
      </c>
      <c r="I10" s="229">
        <f>'Bridge&amp;Test Year Class Forecast'!G55</f>
        <v>66735101.232368931</v>
      </c>
    </row>
    <row r="11" spans="2:12" x14ac:dyDescent="0.2">
      <c r="B11" s="211" t="str">
        <f>'Input - Customer Data'!A71</f>
        <v xml:space="preserve"> Cust Count</v>
      </c>
      <c r="C11" s="156">
        <v>2489</v>
      </c>
      <c r="D11" s="229">
        <f>'Input - Customer Data'!G12</f>
        <v>2506.6666666666665</v>
      </c>
      <c r="E11" s="229">
        <f>'Input - Customer Data'!G13</f>
        <v>2490.75</v>
      </c>
      <c r="F11" s="229">
        <f>'Input - Customer Data'!G14</f>
        <v>2495.6666666666665</v>
      </c>
      <c r="G11" s="229">
        <f>'Input - Customer Data'!G15</f>
        <v>2513.5833333333335</v>
      </c>
      <c r="H11" s="229">
        <f>'Input - Customer Data'!G24</f>
        <v>2517.8887017843663</v>
      </c>
      <c r="I11" s="229">
        <f>'Input - Customer Data'!G25</f>
        <v>2522.2014446467638</v>
      </c>
    </row>
    <row r="12" spans="2:12" x14ac:dyDescent="0.2">
      <c r="B12" s="211" t="s">
        <v>57</v>
      </c>
      <c r="C12" s="156"/>
      <c r="D12" s="156"/>
      <c r="E12" s="229"/>
      <c r="F12" s="229"/>
      <c r="G12" s="229"/>
      <c r="H12" s="229"/>
      <c r="I12" s="229"/>
    </row>
    <row r="13" spans="2:12" x14ac:dyDescent="0.2">
      <c r="B13" s="211" t="str">
        <f>'Input - Customer Data'!A73</f>
        <v>General Service 50 to 4999 kW</v>
      </c>
      <c r="C13" s="156"/>
      <c r="D13" s="156"/>
      <c r="E13" s="229"/>
      <c r="F13" s="229"/>
      <c r="G13" s="229"/>
      <c r="H13" s="229"/>
      <c r="I13" s="229"/>
    </row>
    <row r="14" spans="2:12" x14ac:dyDescent="0.2">
      <c r="B14" s="211" t="s">
        <v>201</v>
      </c>
      <c r="C14" s="339">
        <v>190144345</v>
      </c>
      <c r="D14" s="229">
        <f>'Input - Customer Data'!J74</f>
        <v>185980426.04825354</v>
      </c>
      <c r="E14" s="229">
        <f>'Input - Customer Data'!K74</f>
        <v>186317853.54878309</v>
      </c>
      <c r="F14" s="229">
        <f>'Input - Customer Data'!L74</f>
        <v>183204907.69893607</v>
      </c>
      <c r="G14" s="229">
        <f>'Input - Customer Data'!M74</f>
        <v>169630766.96221483</v>
      </c>
      <c r="H14" s="229">
        <f>'Bridge&amp;Test Year Class Forecast'!G82</f>
        <v>184227889.11648101</v>
      </c>
      <c r="I14" s="229">
        <f>'Bridge&amp;Test Year Class Forecast'!G83</f>
        <v>187358769.27089369</v>
      </c>
    </row>
    <row r="15" spans="2:12" x14ac:dyDescent="0.2">
      <c r="B15" s="211" t="str">
        <f>'Input - Customer Data'!A75</f>
        <v xml:space="preserve"> kW</v>
      </c>
      <c r="C15" s="339">
        <v>610067</v>
      </c>
      <c r="D15" s="229">
        <f>'Input - Customer Data'!J75</f>
        <v>588371.79999999993</v>
      </c>
      <c r="E15" s="229">
        <f>'Input - Customer Data'!K75</f>
        <v>580250.94000000006</v>
      </c>
      <c r="F15" s="229">
        <f>'Input - Customer Data'!L75</f>
        <v>553966.00999999966</v>
      </c>
      <c r="G15" s="229">
        <f>'Input - Customer Data'!M75</f>
        <v>527483.83000000007</v>
      </c>
      <c r="H15" s="229">
        <f>'Bridge&amp;Test Year Class Forecast'!M15</f>
        <v>563904.69608462264</v>
      </c>
      <c r="I15" s="229">
        <f>'Bridge&amp;Test Year Class Forecast'!M16</f>
        <v>573343.4664192904</v>
      </c>
    </row>
    <row r="16" spans="2:12" x14ac:dyDescent="0.2">
      <c r="B16" s="211" t="str">
        <f>'Input - Customer Data'!A76</f>
        <v xml:space="preserve"> Cust Count</v>
      </c>
      <c r="C16" s="156">
        <v>217</v>
      </c>
      <c r="D16" s="229">
        <f>'Input - Customer Data'!I12</f>
        <v>198</v>
      </c>
      <c r="E16" s="229">
        <f>'Input - Customer Data'!I13</f>
        <v>197.66666666666666</v>
      </c>
      <c r="F16" s="229">
        <f>'Input - Customer Data'!I14</f>
        <v>190.33333333333334</v>
      </c>
      <c r="G16" s="229">
        <f>'Input - Customer Data'!I15</f>
        <v>193.16666666666666</v>
      </c>
      <c r="H16" s="229">
        <f>'Input - Customer Data'!I19</f>
        <v>196.04217746643312</v>
      </c>
      <c r="I16" s="229">
        <f>'Input - Customer Data'!I25</f>
        <v>198.96049359334145</v>
      </c>
    </row>
    <row r="17" spans="2:9" x14ac:dyDescent="0.2">
      <c r="B17" s="211" t="s">
        <v>57</v>
      </c>
      <c r="C17" s="156"/>
      <c r="D17" s="156"/>
      <c r="E17" s="229"/>
      <c r="F17" s="229"/>
      <c r="G17" s="229"/>
      <c r="H17" s="229"/>
      <c r="I17" s="229"/>
    </row>
    <row r="18" spans="2:9" x14ac:dyDescent="0.2">
      <c r="B18" s="211" t="str">
        <f>'Input - Customer Data'!A78</f>
        <v>Embedded</v>
      </c>
      <c r="C18" s="156"/>
      <c r="D18" s="156"/>
      <c r="E18" s="229"/>
      <c r="F18" s="229"/>
      <c r="G18" s="229"/>
      <c r="H18" s="229"/>
      <c r="I18" s="229"/>
    </row>
    <row r="19" spans="2:9" x14ac:dyDescent="0.2">
      <c r="B19" s="211" t="s">
        <v>201</v>
      </c>
      <c r="C19" s="339">
        <v>5205754</v>
      </c>
      <c r="D19" s="229">
        <f>'Bridge&amp;Test Year Class Forecast'!B95</f>
        <v>4768119.9723423496</v>
      </c>
      <c r="E19" s="229">
        <f>'Bridge&amp;Test Year Class Forecast'!B96</f>
        <v>5218945.2166489204</v>
      </c>
      <c r="F19" s="229">
        <f>'Bridge&amp;Test Year Class Forecast'!B97</f>
        <v>5234524.4083762597</v>
      </c>
      <c r="G19" s="229">
        <f>'Bridge&amp;Test Year Class Forecast'!B98</f>
        <v>5321959.9988488881</v>
      </c>
      <c r="H19" s="229">
        <f>'Bridge&amp;Test Year Class Forecast'!G110</f>
        <v>5169537.9868941782</v>
      </c>
      <c r="I19" s="229">
        <f>'Bridge&amp;Test Year Class Forecast'!G111</f>
        <v>5182244.3142705662</v>
      </c>
    </row>
    <row r="20" spans="2:9" x14ac:dyDescent="0.2">
      <c r="B20" s="211" t="str">
        <f>'Input - Customer Data'!A80</f>
        <v xml:space="preserve"> kW</v>
      </c>
      <c r="C20" s="339">
        <v>13921</v>
      </c>
      <c r="D20" s="229">
        <f>'Bridge&amp;Test Year Class Forecast'!M33</f>
        <v>12501.41</v>
      </c>
      <c r="E20" s="229">
        <f>'Bridge&amp;Test Year Class Forecast'!M34</f>
        <v>13532.36</v>
      </c>
      <c r="F20" s="229">
        <f>'Bridge&amp;Test Year Class Forecast'!M35</f>
        <v>13275.64</v>
      </c>
      <c r="G20" s="229">
        <f>'Bridge&amp;Test Year Class Forecast'!M36</f>
        <v>14339.56</v>
      </c>
      <c r="H20" s="229">
        <f>'Bridge&amp;Test Year Class Forecast'!M37</f>
        <v>13820.288209308164</v>
      </c>
      <c r="I20" s="229">
        <f>'Bridge&amp;Test Year Class Forecast'!M38</f>
        <v>13854.257416395663</v>
      </c>
    </row>
    <row r="21" spans="2:9" x14ac:dyDescent="0.2">
      <c r="B21" s="211" t="str">
        <f>'Input - Customer Data'!A81</f>
        <v xml:space="preserve"> Cust Count</v>
      </c>
      <c r="C21" s="156">
        <v>1</v>
      </c>
      <c r="D21" s="229">
        <f>'Input - Customer Data'!K12</f>
        <v>1</v>
      </c>
      <c r="E21" s="229">
        <f>'Input - Customer Data'!K13</f>
        <v>1</v>
      </c>
      <c r="F21" s="229">
        <f>'Input - Customer Data'!K14</f>
        <v>1</v>
      </c>
      <c r="G21" s="229">
        <f>'Input - Customer Data'!K15</f>
        <v>1</v>
      </c>
      <c r="H21" s="229">
        <f>'Input - Customer Data'!K24</f>
        <v>1</v>
      </c>
      <c r="I21" s="229">
        <f>'Input - Customer Data'!K25</f>
        <v>1</v>
      </c>
    </row>
    <row r="22" spans="2:9" x14ac:dyDescent="0.2">
      <c r="B22" s="211" t="s">
        <v>57</v>
      </c>
      <c r="C22" s="156"/>
      <c r="D22" s="156"/>
      <c r="E22" s="229"/>
      <c r="F22" s="229"/>
      <c r="G22" s="229"/>
      <c r="H22" s="229"/>
      <c r="I22" s="229"/>
    </row>
    <row r="23" spans="2:9" x14ac:dyDescent="0.2">
      <c r="B23" s="211" t="str">
        <f>'Input - Customer Data'!A83</f>
        <v xml:space="preserve">Street Lighting </v>
      </c>
      <c r="C23" s="156"/>
      <c r="D23" s="156"/>
      <c r="E23" s="229"/>
      <c r="F23" s="229"/>
      <c r="G23" s="229"/>
      <c r="H23" s="229"/>
      <c r="I23" s="229"/>
    </row>
    <row r="24" spans="2:9" x14ac:dyDescent="0.2">
      <c r="B24" s="211" t="s">
        <v>201</v>
      </c>
      <c r="C24" s="339">
        <v>2991556</v>
      </c>
      <c r="D24" s="229">
        <f>'Bridge&amp;Test Year Class Forecast'!L54</f>
        <v>1392668.2526115859</v>
      </c>
      <c r="E24" s="229">
        <f>'Bridge&amp;Test Year Class Forecast'!L55</f>
        <v>1390046.9705603039</v>
      </c>
      <c r="F24" s="229">
        <f>'Bridge&amp;Test Year Class Forecast'!L56</f>
        <v>1401777.7587844254</v>
      </c>
      <c r="G24" s="229">
        <f>'Bridge&amp;Test Year Class Forecast'!L57</f>
        <v>1425844.3209876544</v>
      </c>
      <c r="H24" s="229">
        <f>'Bridge&amp;Test Year Class Forecast'!L58</f>
        <v>1441120.2815711428</v>
      </c>
      <c r="I24" s="339">
        <f>'Bridge&amp;Test Year Class Forecast'!L59</f>
        <v>1449102.1671553131</v>
      </c>
    </row>
    <row r="25" spans="2:9" x14ac:dyDescent="0.2">
      <c r="B25" s="211" t="str">
        <f>'Input - Customer Data'!A85</f>
        <v xml:space="preserve"> kW</v>
      </c>
      <c r="C25" s="351">
        <v>9240</v>
      </c>
      <c r="D25" s="229">
        <f>'Bridge&amp;Test Year Class Forecast'!M54</f>
        <v>4209.0200000000004</v>
      </c>
      <c r="E25" s="229">
        <f>'Bridge&amp;Test Year Class Forecast'!M55</f>
        <v>4251.8</v>
      </c>
      <c r="F25" s="229">
        <f>'Bridge&amp;Test Year Class Forecast'!M56</f>
        <v>4285.630000000001</v>
      </c>
      <c r="G25" s="229">
        <f>'Bridge&amp;Test Year Class Forecast'!M57</f>
        <v>4348.49</v>
      </c>
      <c r="H25" s="229">
        <f>'Bridge&amp;Test Year Class Forecast'!M58</f>
        <v>4403.0031804623595</v>
      </c>
      <c r="I25" s="229">
        <f>'Bridge&amp;Test Year Class Forecast'!M59</f>
        <v>4427.3899496048161</v>
      </c>
    </row>
    <row r="26" spans="2:9" x14ac:dyDescent="0.2">
      <c r="B26" s="211" t="str">
        <f>'Input - Customer Data'!A86</f>
        <v xml:space="preserve"> Connections</v>
      </c>
      <c r="C26" s="290">
        <v>5713</v>
      </c>
      <c r="D26" s="229">
        <f>'Input - Customer Data'!M12</f>
        <v>5742.916666666667</v>
      </c>
      <c r="E26" s="229">
        <f>'Input - Customer Data'!M13</f>
        <v>5774.416666666667</v>
      </c>
      <c r="F26" s="229">
        <f>'Input - Customer Data'!M14</f>
        <v>5878.666666666667</v>
      </c>
      <c r="G26" s="229">
        <f>'Input - Customer Data'!M15</f>
        <v>5997.166666666667</v>
      </c>
      <c r="H26" s="229">
        <f>'Input - Customer Data'!M24</f>
        <v>6030.3829767656025</v>
      </c>
      <c r="I26" s="229">
        <f>'Input - Customer Data'!M25</f>
        <v>6063.7832609506213</v>
      </c>
    </row>
    <row r="27" spans="2:9" x14ac:dyDescent="0.2">
      <c r="B27" s="211" t="s">
        <v>57</v>
      </c>
      <c r="C27" s="290"/>
      <c r="D27" s="290"/>
      <c r="E27" s="229"/>
      <c r="F27" s="229"/>
      <c r="G27" s="229"/>
      <c r="H27" s="229"/>
      <c r="I27" s="229"/>
    </row>
    <row r="28" spans="2:9" x14ac:dyDescent="0.2">
      <c r="B28" s="211" t="str">
        <f>'Input - Customer Data'!A88</f>
        <v>Sentinel</v>
      </c>
      <c r="C28" s="290"/>
      <c r="D28" s="290"/>
      <c r="E28" s="229"/>
      <c r="F28" s="229"/>
      <c r="G28" s="229"/>
      <c r="H28" s="229"/>
      <c r="I28" s="229"/>
    </row>
    <row r="29" spans="2:9" x14ac:dyDescent="0.2">
      <c r="B29" s="211" t="s">
        <v>201</v>
      </c>
      <c r="C29" s="351">
        <v>629014</v>
      </c>
      <c r="D29" s="229">
        <f>'Bridge&amp;Test Year Class Forecast'!L76</f>
        <v>631149.96201329515</v>
      </c>
      <c r="E29" s="229">
        <f>'Bridge&amp;Test Year Class Forecast'!L77</f>
        <v>606042.11775878421</v>
      </c>
      <c r="F29" s="229">
        <f>'Bridge&amp;Test Year Class Forecast'!L78</f>
        <v>565913.01442882093</v>
      </c>
      <c r="G29" s="229">
        <f>'Bridge&amp;Test Year Class Forecast'!L79</f>
        <v>525914.78338748356</v>
      </c>
      <c r="H29" s="229">
        <f>'Bridge&amp;Test Year Class Forecast'!L80</f>
        <v>528556.71089588641</v>
      </c>
      <c r="I29" s="229">
        <f>'Bridge&amp;Test Year Class Forecast'!L81</f>
        <v>514043.40065197996</v>
      </c>
    </row>
    <row r="30" spans="2:9" x14ac:dyDescent="0.2">
      <c r="B30" s="211" t="str">
        <f>'Input - Customer Data'!A90</f>
        <v xml:space="preserve"> kW</v>
      </c>
      <c r="C30" s="351">
        <v>1916</v>
      </c>
      <c r="D30" s="229">
        <f>'Bridge&amp;Test Year Class Forecast'!M76</f>
        <v>2037.9700000000007</v>
      </c>
      <c r="E30" s="229">
        <f>'Bridge&amp;Test Year Class Forecast'!M77</f>
        <v>1951.2900000000013</v>
      </c>
      <c r="F30" s="229">
        <f>'Bridge&amp;Test Year Class Forecast'!M78</f>
        <v>1856.1200000000003</v>
      </c>
      <c r="G30" s="229">
        <f>'Bridge&amp;Test Year Class Forecast'!M79</f>
        <v>1722.9099999999978</v>
      </c>
      <c r="H30" s="229">
        <f>'Bridge&amp;Test Year Class Forecast'!M80</f>
        <v>1614.8803877717298</v>
      </c>
      <c r="I30" s="229">
        <f>'Bridge&amp;Test Year Class Forecast'!M81</f>
        <v>1570.5383907988682</v>
      </c>
    </row>
    <row r="31" spans="2:9" x14ac:dyDescent="0.2">
      <c r="B31" s="211" t="str">
        <f>'Input - Customer Data'!A91</f>
        <v xml:space="preserve"> Connections</v>
      </c>
      <c r="C31" s="290">
        <v>695</v>
      </c>
      <c r="D31" s="229">
        <f>'Input - Customer Data'!O12</f>
        <v>705.66666666666663</v>
      </c>
      <c r="E31" s="229">
        <f>'Input - Customer Data'!O13</f>
        <v>698.25</v>
      </c>
      <c r="F31" s="229">
        <f>'Input - Customer Data'!O14</f>
        <v>669.41666666666663</v>
      </c>
      <c r="G31" s="229">
        <f>'Input - Customer Data'!O15</f>
        <v>644.66666666666663</v>
      </c>
      <c r="H31" s="229">
        <f>'Input - Customer Data'!O24</f>
        <v>626.96516530576287</v>
      </c>
      <c r="I31" s="229">
        <f>'Input - Customer Data'!O25</f>
        <v>609.74971846982817</v>
      </c>
    </row>
    <row r="32" spans="2:9" x14ac:dyDescent="0.2">
      <c r="B32" s="211" t="s">
        <v>57</v>
      </c>
      <c r="C32" s="290"/>
      <c r="D32" s="290"/>
      <c r="E32" s="229"/>
      <c r="F32" s="229"/>
      <c r="G32" s="229"/>
      <c r="H32" s="229"/>
      <c r="I32" s="229"/>
    </row>
    <row r="33" spans="2:9" x14ac:dyDescent="0.2">
      <c r="B33" s="211" t="str">
        <f>'Input - Customer Data'!A93</f>
        <v>USL</v>
      </c>
      <c r="C33" s="156"/>
      <c r="D33" s="156"/>
      <c r="E33" s="229"/>
      <c r="F33" s="229"/>
      <c r="G33" s="229"/>
      <c r="H33" s="229"/>
      <c r="I33" s="156"/>
    </row>
    <row r="34" spans="2:9" x14ac:dyDescent="0.2">
      <c r="B34" s="211" t="s">
        <v>201</v>
      </c>
      <c r="C34" s="339">
        <v>1462761</v>
      </c>
      <c r="D34" s="229">
        <f>'Bridge&amp;Test Year Class Forecast'!L97</f>
        <v>1308270.2299999995</v>
      </c>
      <c r="E34" s="229">
        <f>'Bridge&amp;Test Year Class Forecast'!L98</f>
        <v>1307305.7299999995</v>
      </c>
      <c r="F34" s="229">
        <f>'Bridge&amp;Test Year Class Forecast'!L99</f>
        <v>1299487.2900000005</v>
      </c>
      <c r="G34" s="229">
        <f>'Bridge&amp;Test Year Class Forecast'!L100</f>
        <v>1307649.58</v>
      </c>
      <c r="H34" s="229">
        <f>'Bridge&amp;Test Year Class Forecast'!L101</f>
        <v>1300064.6421148987</v>
      </c>
      <c r="I34" s="229">
        <f>'Bridge&amp;Test Year Class Forecast'!L102</f>
        <v>1325394.2094016334</v>
      </c>
    </row>
    <row r="35" spans="2:9" x14ac:dyDescent="0.2">
      <c r="B35" s="211" t="str">
        <f>'Input - Customer Data'!A95</f>
        <v xml:space="preserve"> kW</v>
      </c>
      <c r="C35" s="211"/>
      <c r="D35" s="211"/>
      <c r="E35" s="230"/>
      <c r="F35" s="230"/>
      <c r="G35" s="230"/>
      <c r="H35" s="230"/>
      <c r="I35" s="230"/>
    </row>
    <row r="36" spans="2:9" x14ac:dyDescent="0.2">
      <c r="B36" s="211" t="str">
        <f>'Input - Customer Data'!A96</f>
        <v xml:space="preserve"> Cust Count</v>
      </c>
      <c r="C36" s="211">
        <v>35</v>
      </c>
      <c r="D36" s="229">
        <f>'Input - Customer Data'!Q12</f>
        <v>49.25</v>
      </c>
      <c r="E36" s="229">
        <f>'Input - Customer Data'!Q13</f>
        <v>48.083333333333336</v>
      </c>
      <c r="F36" s="229">
        <f>'Input - Customer Data'!Q14</f>
        <v>47.166666666666664</v>
      </c>
      <c r="G36" s="229">
        <f>'Input - Customer Data'!Q15</f>
        <v>46</v>
      </c>
      <c r="H36" s="229">
        <f>'Input - Customer Data'!Q24</f>
        <v>46.896232431407682</v>
      </c>
      <c r="I36" s="229">
        <f>'Input - Customer Data'!Q25</f>
        <v>47.809926440448123</v>
      </c>
    </row>
    <row r="37" spans="2:9" x14ac:dyDescent="0.2">
      <c r="B37" s="211"/>
      <c r="C37" s="211"/>
      <c r="D37" s="211"/>
      <c r="E37" s="230"/>
      <c r="F37" s="230"/>
      <c r="G37" s="230"/>
      <c r="H37" s="230"/>
      <c r="I37" s="230"/>
    </row>
    <row r="38" spans="2:9" x14ac:dyDescent="0.2">
      <c r="B38" s="402" t="s">
        <v>204</v>
      </c>
      <c r="C38" s="156"/>
      <c r="D38" s="403">
        <v>62186.419000000002</v>
      </c>
      <c r="E38" s="403">
        <v>67752.883000000002</v>
      </c>
      <c r="F38" s="403">
        <v>79649.066000000006</v>
      </c>
      <c r="G38" s="403">
        <v>83061.953999999998</v>
      </c>
      <c r="H38" s="403">
        <v>75171.740000000005</v>
      </c>
      <c r="I38" s="403">
        <v>75171.740000000005</v>
      </c>
    </row>
    <row r="39" spans="2:9" x14ac:dyDescent="0.2">
      <c r="B39" s="211"/>
      <c r="C39" s="156"/>
      <c r="D39" s="156"/>
      <c r="E39" s="156"/>
      <c r="F39" s="156"/>
      <c r="G39" s="156"/>
      <c r="H39" s="156"/>
      <c r="I39" s="156"/>
    </row>
    <row r="40" spans="2:9" ht="15.75" customHeight="1" x14ac:dyDescent="0.2">
      <c r="B40" s="211" t="str">
        <f>'Input - Customer Data'!A100</f>
        <v>Total</v>
      </c>
      <c r="C40" s="156"/>
      <c r="D40" s="156"/>
      <c r="E40" s="156"/>
      <c r="F40" s="156"/>
      <c r="G40" s="156"/>
      <c r="H40" s="156"/>
      <c r="I40" s="156"/>
    </row>
    <row r="41" spans="2:9" x14ac:dyDescent="0.2">
      <c r="B41" s="211" t="s">
        <v>201</v>
      </c>
      <c r="C41" s="338">
        <f t="shared" ref="C41:I41" si="0">C6+C10+C14+C19+C24+C29+C34</f>
        <v>471118042</v>
      </c>
      <c r="D41" s="338">
        <f t="shared" ref="D41" si="1">D6+D10+D14+D19+D24+D29+D34</f>
        <v>452799209.12997222</v>
      </c>
      <c r="E41" s="338">
        <f t="shared" si="0"/>
        <v>476777176.6093052</v>
      </c>
      <c r="F41" s="338">
        <f t="shared" si="0"/>
        <v>468336925.27052456</v>
      </c>
      <c r="G41" s="338">
        <f t="shared" si="0"/>
        <v>461631476.97391683</v>
      </c>
      <c r="H41" s="338">
        <f t="shared" si="0"/>
        <v>465605152.39123487</v>
      </c>
      <c r="I41" s="338">
        <f t="shared" si="0"/>
        <v>471114337.04352838</v>
      </c>
    </row>
    <row r="42" spans="2:9" x14ac:dyDescent="0.2">
      <c r="B42" s="211" t="str">
        <f>'Input - Customer Data'!A102</f>
        <v xml:space="preserve"> kW</v>
      </c>
      <c r="C42" s="338">
        <f>C15+C20+C25+C30+C35+C38</f>
        <v>635144</v>
      </c>
      <c r="D42" s="338">
        <f t="shared" ref="D42:I42" si="2">D15+D20+D25+D30+D35+D38</f>
        <v>669306.61899999995</v>
      </c>
      <c r="E42" s="338">
        <f t="shared" si="2"/>
        <v>667739.27300000016</v>
      </c>
      <c r="F42" s="338">
        <f t="shared" si="2"/>
        <v>653032.46599999967</v>
      </c>
      <c r="G42" s="338">
        <f t="shared" si="2"/>
        <v>630956.74400000018</v>
      </c>
      <c r="H42" s="338">
        <f t="shared" si="2"/>
        <v>658914.60786216496</v>
      </c>
      <c r="I42" s="338">
        <f t="shared" si="2"/>
        <v>668367.39217608981</v>
      </c>
    </row>
    <row r="43" spans="2:9" x14ac:dyDescent="0.2">
      <c r="B43" s="211" t="str">
        <f>'Input - Customer Data'!A103</f>
        <v xml:space="preserve"> Cust Count (Excl SL, Sent, USL)</v>
      </c>
      <c r="C43" s="338">
        <f t="shared" ref="C43:I43" si="3">C7+C11+C16+C21</f>
        <v>28781</v>
      </c>
      <c r="D43" s="338">
        <f t="shared" ref="D43" si="4">D7+D11+D16+D21</f>
        <v>28934.083333333336</v>
      </c>
      <c r="E43" s="338">
        <f t="shared" si="3"/>
        <v>29154.25</v>
      </c>
      <c r="F43" s="338">
        <f t="shared" si="3"/>
        <v>29334</v>
      </c>
      <c r="G43" s="338">
        <f t="shared" si="3"/>
        <v>29623.416666666668</v>
      </c>
      <c r="H43" s="338">
        <f t="shared" si="3"/>
        <v>29834.221941288994</v>
      </c>
      <c r="I43" s="338">
        <f t="shared" si="3"/>
        <v>30046.617870010134</v>
      </c>
    </row>
    <row r="44" spans="2:9" x14ac:dyDescent="0.2">
      <c r="B44" s="211" t="str">
        <f>'Input - Customer Data'!A104</f>
        <v xml:space="preserve"> Connection Count</v>
      </c>
      <c r="C44" s="338">
        <f t="shared" ref="C44:I44" si="5">C26+C31+C36</f>
        <v>6443</v>
      </c>
      <c r="D44" s="338">
        <f t="shared" ref="D44" si="6">D26+D31+D36</f>
        <v>6497.8333333333339</v>
      </c>
      <c r="E44" s="338">
        <f t="shared" si="5"/>
        <v>6520.75</v>
      </c>
      <c r="F44" s="338">
        <f t="shared" si="5"/>
        <v>6595.2500000000009</v>
      </c>
      <c r="G44" s="338">
        <f t="shared" si="5"/>
        <v>6687.8333333333339</v>
      </c>
      <c r="H44" s="338">
        <f t="shared" si="5"/>
        <v>6704.2443745027731</v>
      </c>
      <c r="I44" s="338">
        <f t="shared" si="5"/>
        <v>6721.3429058608981</v>
      </c>
    </row>
  </sheetData>
  <sheetProtection selectLockedCells="1" selectUnlockedCells="1"/>
  <mergeCells count="1">
    <mergeCell ref="B3:I3"/>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DDBCF84A15234B94FA587B5B322BBC" ma:contentTypeVersion="4" ma:contentTypeDescription="Create a new document." ma:contentTypeScope="" ma:versionID="34d9eac91df77308b72c1906c4d9eb8a">
  <xsd:schema xmlns:xsd="http://www.w3.org/2001/XMLSchema" xmlns:xs="http://www.w3.org/2001/XMLSchema" xmlns:p="http://schemas.microsoft.com/office/2006/metadata/properties" xmlns:ns2="da8e68a1-6a8f-40e2-acc8-c68b6b15aa5e" targetNamespace="http://schemas.microsoft.com/office/2006/metadata/properties" ma:root="true" ma:fieldsID="f55dbdc90faf1f3062011e09a65e5fdf" ns2:_="">
    <xsd:import namespace="da8e68a1-6a8f-40e2-acc8-c68b6b15aa5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e68a1-6a8f-40e2-acc8-c68b6b15a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945B0D-2F5A-42C5-A42A-B313D3660DC0}"/>
</file>

<file path=customXml/itemProps2.xml><?xml version="1.0" encoding="utf-8"?>
<ds:datastoreItem xmlns:ds="http://schemas.openxmlformats.org/officeDocument/2006/customXml" ds:itemID="{94373E3E-2226-4554-8F28-F90A0E55FD67}"/>
</file>

<file path=customXml/itemProps3.xml><?xml version="1.0" encoding="utf-8"?>
<ds:datastoreItem xmlns:ds="http://schemas.openxmlformats.org/officeDocument/2006/customXml" ds:itemID="{C60C7302-708B-4BF2-A504-3ABDC665DA4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Input - Customer Data</vt:lpstr>
      <vt:lpstr>Input - CDM</vt:lpstr>
      <vt:lpstr>Input - Adjustments &amp; Variables</vt:lpstr>
      <vt:lpstr>Input</vt:lpstr>
      <vt:lpstr>Output</vt:lpstr>
      <vt:lpstr>Forecast</vt:lpstr>
      <vt:lpstr>DW</vt:lpstr>
      <vt:lpstr>Bridge&amp;Test Year Class Forecast</vt:lpstr>
      <vt:lpstr>Final LF </vt:lpstr>
      <vt:lpstr>dwL</vt:lpstr>
      <vt:lpstr>dwU</vt:lpstr>
      <vt:lpstr>keyflag</vt:lpstr>
      <vt:lpstr>DW!Print_Area</vt:lpstr>
      <vt:lpstr>'Final LF '!Print_Area</vt:lpstr>
      <vt:lpstr>Forecast!Print_Area</vt:lpstr>
      <vt:lpstr>Input!Print_Area</vt:lpstr>
      <vt:lpstr>Output!Print_Area</vt:lpstr>
      <vt:lpstr>Forecast!Print_Titles</vt:lpstr>
      <vt:lpstr>Input!Print_Titles</vt:lpstr>
      <vt:lpstr>Output!Print_Titles</vt:lpstr>
    </vt:vector>
  </TitlesOfParts>
  <Company>Business-Spreadsheets.com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Regression Analysis and Forecasting Model</dc:title>
  <dc:subject>Forecasting</dc:subject>
  <dc:creator>Business Spreadsheets</dc:creator>
  <cp:keywords>multiple, regression, analysis, forecasting</cp:keywords>
  <dc:description>The Multiple Regression Forecasting model provides a solid basis for identifying value drivers and forecasting data.  While it utilizes a range of commonly employed statistical measures to test the validity of the analysis, results are summarized in text for ease of use.  Once relationships have been identified, forecasting can be accomplished based on a range of available methodologies.  _x000d_
The intuitive step-by-step usage flow enables you to develop strong forecasts for your projects in a timely manner.</dc:description>
  <cp:lastModifiedBy>Beharriell, Greg</cp:lastModifiedBy>
  <cp:lastPrinted>2015-05-04T14:23:48Z</cp:lastPrinted>
  <dcterms:created xsi:type="dcterms:W3CDTF">2001-05-23T22:53:47Z</dcterms:created>
  <dcterms:modified xsi:type="dcterms:W3CDTF">2021-10-06T20:53:59Z</dcterms:modified>
  <cp:category>Multiple Regression Forecasting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0x010100E2DDBCF84A15234B94FA587B5B322BBC</vt:lpwstr>
  </property>
  <property fmtid="{D5CDD505-2E9C-101B-9397-08002B2CF9AE}" pid="3" name="xd_Signature">
    <vt:bool>false</vt:bool>
  </property>
  <property fmtid="{D5CDD505-2E9C-101B-9397-08002B2CF9AE}" pid="4" name="ForCEOreview">
    <vt:bool>false</vt:bool>
  </property>
  <property fmtid="{D5CDD505-2E9C-101B-9397-08002B2CF9AE}" pid="5" name="ReadyforVPReview2">
    <vt:bool>false</vt:bool>
  </property>
  <property fmtid="{D5CDD505-2E9C-101B-9397-08002B2CF9AE}" pid="6" name="VPReview">
    <vt:bool>false</vt:bool>
  </property>
  <property fmtid="{D5CDD505-2E9C-101B-9397-08002B2CF9AE}" pid="7" name="xd_ProgID">
    <vt:lpwstr/>
  </property>
  <property fmtid="{D5CDD505-2E9C-101B-9397-08002B2CF9AE}" pid="8" name="ReadyforCEOreview2">
    <vt:bool>false</vt:bool>
  </property>
  <property fmtid="{D5CDD505-2E9C-101B-9397-08002B2CF9AE}" pid="9" name="CEO3">
    <vt:bool>false</vt:bool>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ReadyforVPReview3">
    <vt:bool>false</vt:bool>
  </property>
  <property fmtid="{D5CDD505-2E9C-101B-9397-08002B2CF9AE}" pid="15" name="VP4">
    <vt:bool>false</vt:bool>
  </property>
  <property fmtid="{D5CDD505-2E9C-101B-9397-08002B2CF9AE}" pid="16" name="_ExtendedDescription">
    <vt:lpwstr/>
  </property>
  <property fmtid="{D5CDD505-2E9C-101B-9397-08002B2CF9AE}" pid="17" name="TriggerFlowInfo">
    <vt:lpwstr/>
  </property>
  <property fmtid="{D5CDD505-2E9C-101B-9397-08002B2CF9AE}" pid="18" name="VP5">
    <vt:bool>false</vt:bool>
  </property>
</Properties>
</file>