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updateLinks="never"/>
  <mc:AlternateContent xmlns:mc="http://schemas.openxmlformats.org/markup-compatibility/2006">
    <mc:Choice Requires="x15">
      <x15ac:absPath xmlns:x15ac="http://schemas.microsoft.com/office/spreadsheetml/2010/11/ac" url="V:\ACTIVE APPLICATIONS\CNP 2022 COS\Settlement\Models for Filing\"/>
    </mc:Choice>
  </mc:AlternateContent>
  <xr:revisionPtr revIDLastSave="0" documentId="13_ncr:1_{0F1AF830-06A4-4A14-9D45-FCB100669280}" xr6:coauthVersionLast="36" xr6:coauthVersionMax="45" xr10:uidLastSave="{00000000-0000-0000-0000-000000000000}"/>
  <bookViews>
    <workbookView xWindow="0" yWindow="0" windowWidth="28800" windowHeight="13125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5" l="1"/>
  <c r="L91" i="4"/>
  <c r="M91" i="4"/>
  <c r="K112" i="4"/>
  <c r="M112" i="4"/>
  <c r="K114" i="4"/>
  <c r="L114" i="4"/>
  <c r="M114" i="4"/>
  <c r="L112" i="4" l="1"/>
  <c r="L78" i="4"/>
  <c r="L86" i="4"/>
  <c r="K91" i="4"/>
  <c r="L109" i="4"/>
  <c r="M64" i="4"/>
  <c r="L64" i="4"/>
  <c r="M109" i="4"/>
  <c r="K109" i="4"/>
  <c r="K64" i="4"/>
  <c r="M78" i="4"/>
  <c r="K78" i="4"/>
  <c r="K115" i="4" s="1"/>
  <c r="K86" i="4"/>
  <c r="M86" i="4"/>
  <c r="L115" i="4" l="1"/>
  <c r="M115" i="4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M145" i="1" l="1"/>
  <c r="M157" i="1" s="1"/>
  <c r="G22" i="4"/>
  <c r="M110" i="1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M93" i="1" s="1"/>
  <c r="M115" i="1" s="1"/>
  <c r="G9" i="4"/>
  <c r="L222" i="1"/>
  <c r="F10" i="5"/>
  <c r="H145" i="1" l="1"/>
  <c r="M98" i="1"/>
  <c r="M130" i="1" s="1"/>
  <c r="G120" i="4"/>
  <c r="G119" i="4"/>
  <c r="M97" i="1"/>
  <c r="M96" i="1"/>
  <c r="G118" i="4"/>
  <c r="M92" i="1"/>
  <c r="M114" i="1" s="1"/>
  <c r="G29" i="4"/>
  <c r="M99" i="1"/>
  <c r="M142" i="1"/>
  <c r="H135" i="1"/>
  <c r="G37" i="4"/>
  <c r="G27" i="4" s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H98" i="1"/>
  <c r="H130" i="1" s="1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I110" i="1"/>
  <c r="I93" i="1"/>
  <c r="I115" i="1" s="1"/>
  <c r="I92" i="1"/>
  <c r="I114" i="1" s="1"/>
  <c r="I112" i="1"/>
  <c r="J112" i="1" s="1"/>
  <c r="K112" i="1" s="1"/>
  <c r="L112" i="1" s="1"/>
  <c r="H113" i="1"/>
  <c r="M218" i="1" l="1"/>
  <c r="M136" i="1"/>
  <c r="M112" i="1"/>
  <c r="M116" i="1" s="1"/>
  <c r="K145" i="1"/>
  <c r="I113" i="1"/>
  <c r="I139" i="1" s="1"/>
  <c r="J110" i="1"/>
  <c r="J113" i="1" s="1"/>
  <c r="J92" i="1"/>
  <c r="J114" i="1" s="1"/>
  <c r="J93" i="1"/>
  <c r="J115" i="1" s="1"/>
  <c r="G31" i="4"/>
  <c r="H117" i="1"/>
  <c r="H137" i="1"/>
  <c r="H152" i="1" s="1"/>
  <c r="H206" i="1" s="1"/>
  <c r="H131" i="1"/>
  <c r="H153" i="1"/>
  <c r="H207" i="1" s="1"/>
  <c r="H128" i="1"/>
  <c r="H157" i="1" s="1"/>
  <c r="H221" i="1" s="1"/>
  <c r="H143" i="1"/>
  <c r="H139" i="1"/>
  <c r="H116" i="1"/>
  <c r="H118" i="1" l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0" i="1"/>
  <c r="H247" i="1"/>
  <c r="J139" i="1"/>
  <c r="H156" i="1"/>
  <c r="H220" i="1" s="1"/>
  <c r="H154" i="1"/>
  <c r="H208" i="1" s="1"/>
  <c r="H215" i="1" s="1"/>
  <c r="H211" i="1"/>
  <c r="I136" i="1"/>
  <c r="I137" i="1" s="1"/>
  <c r="K120" i="4" l="1"/>
  <c r="K121" i="4"/>
  <c r="K118" i="4"/>
  <c r="K119" i="4"/>
  <c r="I117" i="1"/>
  <c r="I118" i="1" s="1"/>
  <c r="J11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J116" i="1"/>
  <c r="I247" i="1"/>
  <c r="I152" i="1"/>
  <c r="I206" i="1" s="1"/>
  <c r="K129" i="1"/>
  <c r="K155" i="1"/>
  <c r="K209" i="1" s="1"/>
  <c r="K213" i="1" s="1"/>
  <c r="J136" i="1"/>
  <c r="J137" i="1" s="1"/>
  <c r="H217" i="1"/>
  <c r="K29" i="4" l="1"/>
  <c r="L121" i="4"/>
  <c r="L118" i="4"/>
  <c r="L120" i="4"/>
  <c r="M119" i="4"/>
  <c r="L119" i="4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I210" i="1"/>
  <c r="K153" i="1"/>
  <c r="K207" i="1" s="1"/>
  <c r="K128" i="1"/>
  <c r="K157" i="1" s="1"/>
  <c r="K221" i="1" s="1"/>
  <c r="L29" i="4" l="1"/>
  <c r="L31" i="4" s="1"/>
  <c r="L89" i="1" s="1"/>
  <c r="L107" i="1" s="1"/>
  <c r="M120" i="4"/>
  <c r="M121" i="4"/>
  <c r="M118" i="4"/>
  <c r="K31" i="4"/>
  <c r="K89" i="1" s="1"/>
  <c r="K107" i="1" s="1"/>
  <c r="L137" i="1"/>
  <c r="J119" i="1"/>
  <c r="K118" i="1"/>
  <c r="L211" i="1"/>
  <c r="L218" i="1"/>
  <c r="K211" i="1"/>
  <c r="K218" i="1"/>
  <c r="K247" i="1"/>
  <c r="K152" i="1"/>
  <c r="K206" i="1" s="1"/>
  <c r="J210" i="1"/>
  <c r="M29" i="4" l="1"/>
  <c r="M31" i="4" s="1"/>
  <c r="M89" i="1" s="1"/>
  <c r="M107" i="1" s="1"/>
  <c r="L247" i="1"/>
  <c r="M137" i="1"/>
  <c r="L152" i="1"/>
  <c r="L206" i="1" s="1"/>
  <c r="K119" i="1"/>
  <c r="K121" i="1" s="1"/>
  <c r="L117" i="1"/>
  <c r="L118" i="1" s="1"/>
  <c r="K214" i="1"/>
  <c r="K210" i="1"/>
  <c r="K216" i="1"/>
  <c r="M247" i="1" l="1"/>
  <c r="M152" i="1"/>
  <c r="M206" i="1" s="1"/>
  <c r="L119" i="1"/>
  <c r="L121" i="1" s="1"/>
  <c r="L256" i="1" s="1"/>
  <c r="M117" i="1"/>
  <c r="M118" i="1" s="1"/>
  <c r="M119" i="1" s="1"/>
  <c r="M121" i="1" s="1"/>
  <c r="L216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M256" i="1" l="1"/>
  <c r="G258" i="1"/>
  <c r="G259" i="1" s="1"/>
  <c r="F12" i="5"/>
  <c r="F16" i="5" s="1"/>
  <c r="I173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L167" i="1"/>
  <c r="K231" i="1"/>
  <c r="K178" i="1"/>
  <c r="I226" i="1"/>
  <c r="J162" i="1"/>
  <c r="J169" i="1"/>
  <c r="J168" i="1"/>
  <c r="J176" i="1"/>
  <c r="K170" i="1"/>
  <c r="J172" i="1"/>
  <c r="J166" i="1"/>
  <c r="J179" i="1"/>
  <c r="I243" i="1"/>
  <c r="J164" i="1"/>
  <c r="J174" i="1"/>
  <c r="J177" i="1"/>
  <c r="J175" i="1"/>
  <c r="J163" i="1"/>
  <c r="I227" i="1"/>
  <c r="J171" i="1"/>
  <c r="L231" i="1" l="1"/>
  <c r="M167" i="1"/>
  <c r="K174" i="1"/>
  <c r="K164" i="1"/>
  <c r="L170" i="1"/>
  <c r="K234" i="1"/>
  <c r="K169" i="1"/>
  <c r="K171" i="1"/>
  <c r="K163" i="1"/>
  <c r="J227" i="1"/>
  <c r="K175" i="1"/>
  <c r="K176" i="1"/>
  <c r="K237" i="1"/>
  <c r="L173" i="1"/>
  <c r="K162" i="1"/>
  <c r="J226" i="1"/>
  <c r="K179" i="1"/>
  <c r="J243" i="1"/>
  <c r="K172" i="1"/>
  <c r="K177" i="1"/>
  <c r="K166" i="1"/>
  <c r="K168" i="1"/>
  <c r="L178" i="1"/>
  <c r="K242" i="1"/>
  <c r="K165" i="1"/>
  <c r="M231" i="1" l="1"/>
  <c r="L237" i="1"/>
  <c r="M173" i="1"/>
  <c r="L234" i="1"/>
  <c r="M170" i="1"/>
  <c r="L242" i="1"/>
  <c r="M178" i="1"/>
  <c r="L172" i="1"/>
  <c r="K230" i="1"/>
  <c r="L166" i="1"/>
  <c r="L162" i="1"/>
  <c r="K226" i="1"/>
  <c r="L176" i="1"/>
  <c r="L163" i="1"/>
  <c r="K227" i="1"/>
  <c r="L169" i="1"/>
  <c r="L164" i="1"/>
  <c r="K228" i="1"/>
  <c r="L174" i="1"/>
  <c r="L165" i="1"/>
  <c r="K232" i="1"/>
  <c r="L168" i="1"/>
  <c r="L177" i="1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M165" i="1"/>
  <c r="L227" i="1"/>
  <c r="M163" i="1"/>
  <c r="M177" i="1"/>
  <c r="M169" i="1"/>
  <c r="M172" i="1"/>
  <c r="M176" i="1"/>
  <c r="L228" i="1"/>
  <c r="M164" i="1"/>
  <c r="M174" i="1"/>
  <c r="L239" i="1"/>
  <c r="M175" i="1"/>
  <c r="L232" i="1"/>
  <c r="M168" i="1"/>
  <c r="L230" i="1"/>
  <c r="M166" i="1"/>
  <c r="M232" i="1" l="1"/>
  <c r="M227" i="1"/>
  <c r="M243" i="1"/>
  <c r="M226" i="1"/>
  <c r="M230" i="1"/>
  <c r="M239" i="1"/>
  <c r="M228" i="1"/>
  <c r="M235" i="1"/>
  <c r="J98" i="1" l="1"/>
  <c r="J130" i="1" s="1"/>
  <c r="I98" i="1"/>
  <c r="I130" i="1" s="1"/>
  <c r="I131" i="1" s="1"/>
  <c r="I154" i="1" l="1"/>
  <c r="I208" i="1" s="1"/>
  <c r="J131" i="1"/>
  <c r="I142" i="1"/>
  <c r="I143" i="1" s="1"/>
  <c r="I99" i="1"/>
  <c r="J99" i="1"/>
  <c r="J142" i="1"/>
  <c r="K131" i="1" l="1"/>
  <c r="J154" i="1"/>
  <c r="J208" i="1" s="1"/>
  <c r="I212" i="1"/>
  <c r="I233" i="1" s="1"/>
  <c r="I215" i="1"/>
  <c r="I236" i="1" s="1"/>
  <c r="I229" i="1"/>
  <c r="J143" i="1"/>
  <c r="I156" i="1"/>
  <c r="I220" i="1" s="1"/>
  <c r="I241" i="1" s="1"/>
  <c r="J212" i="1" l="1"/>
  <c r="J233" i="1" s="1"/>
  <c r="J215" i="1"/>
  <c r="J236" i="1" s="1"/>
  <c r="J229" i="1"/>
  <c r="K154" i="1"/>
  <c r="K208" i="1" s="1"/>
  <c r="L131" i="1"/>
  <c r="K143" i="1"/>
  <c r="J156" i="1"/>
  <c r="J220" i="1" s="1"/>
  <c r="J241" i="1" s="1"/>
  <c r="L154" i="1" l="1"/>
  <c r="L208" i="1" s="1"/>
  <c r="M131" i="1"/>
  <c r="M154" i="1" s="1"/>
  <c r="M208" i="1" s="1"/>
  <c r="K215" i="1"/>
  <c r="K236" i="1" s="1"/>
  <c r="K217" i="1"/>
  <c r="K238" i="1" s="1"/>
  <c r="K212" i="1"/>
  <c r="K233" i="1" s="1"/>
  <c r="K219" i="1"/>
  <c r="K240" i="1" s="1"/>
  <c r="K229" i="1"/>
  <c r="K245" i="1" s="1"/>
  <c r="K246" i="1" s="1"/>
  <c r="K248" i="1" s="1"/>
  <c r="K257" i="1" s="1"/>
  <c r="L143" i="1"/>
  <c r="K156" i="1"/>
  <c r="K220" i="1" s="1"/>
  <c r="K241" i="1" s="1"/>
  <c r="K258" i="1" l="1"/>
  <c r="K259" i="1" s="1"/>
  <c r="K261" i="1"/>
  <c r="J12" i="5"/>
  <c r="J10" i="5" s="1"/>
  <c r="J14" i="5" s="1"/>
  <c r="J16" i="5" s="1"/>
  <c r="M217" i="1"/>
  <c r="M238" i="1" s="1"/>
  <c r="M212" i="1"/>
  <c r="M233" i="1" s="1"/>
  <c r="M219" i="1"/>
  <c r="M240" i="1" s="1"/>
  <c r="M215" i="1"/>
  <c r="M236" i="1" s="1"/>
  <c r="M229" i="1"/>
  <c r="L217" i="1"/>
  <c r="L238" i="1" s="1"/>
  <c r="L219" i="1"/>
  <c r="L240" i="1" s="1"/>
  <c r="L212" i="1"/>
  <c r="L233" i="1" s="1"/>
  <c r="L215" i="1"/>
  <c r="L236" i="1" s="1"/>
  <c r="L229" i="1"/>
  <c r="L156" i="1"/>
  <c r="L220" i="1" s="1"/>
  <c r="L241" i="1" s="1"/>
  <c r="M143" i="1"/>
  <c r="M156" i="1" s="1"/>
  <c r="M220" i="1" s="1"/>
  <c r="M241" i="1" s="1"/>
  <c r="J22" i="5" l="1"/>
  <c r="L245" i="1"/>
  <c r="L246" i="1" s="1"/>
  <c r="L248" i="1" s="1"/>
  <c r="L257" i="1" s="1"/>
  <c r="M245" i="1"/>
  <c r="M246" i="1" s="1"/>
  <c r="M248" i="1" s="1"/>
  <c r="M257" i="1" s="1"/>
  <c r="L12" i="5" s="1"/>
  <c r="L10" i="5" s="1"/>
  <c r="L14" i="5" s="1"/>
  <c r="L16" i="5" s="1"/>
  <c r="L22" i="5" s="1"/>
  <c r="M258" i="1" l="1"/>
  <c r="M259" i="1" s="1"/>
  <c r="M261" i="1"/>
  <c r="L258" i="1"/>
  <c r="L259" i="1" s="1"/>
  <c r="L261" i="1"/>
  <c r="K12" i="5"/>
  <c r="K10" i="5" s="1"/>
  <c r="K14" i="5" s="1"/>
  <c r="K16" i="5" s="1"/>
  <c r="L18" i="5" s="1"/>
  <c r="L24" i="5" s="1"/>
  <c r="J145" i="1"/>
  <c r="K22" i="5" l="1"/>
  <c r="J96" i="1"/>
  <c r="I145" i="1"/>
  <c r="I96" i="1"/>
  <c r="I128" i="1" l="1"/>
  <c r="I157" i="1" s="1"/>
  <c r="I221" i="1" s="1"/>
  <c r="I242" i="1" s="1"/>
  <c r="I153" i="1"/>
  <c r="I207" i="1" s="1"/>
  <c r="J153" i="1"/>
  <c r="J207" i="1" s="1"/>
  <c r="J128" i="1"/>
  <c r="J157" i="1" s="1"/>
  <c r="J221" i="1" s="1"/>
  <c r="J242" i="1" s="1"/>
  <c r="J211" i="1" l="1"/>
  <c r="J232" i="1" s="1"/>
  <c r="J214" i="1"/>
  <c r="J235" i="1" s="1"/>
  <c r="J228" i="1"/>
  <c r="J217" i="1"/>
  <c r="J238" i="1" s="1"/>
  <c r="I214" i="1"/>
  <c r="I235" i="1" s="1"/>
  <c r="I211" i="1"/>
  <c r="I232" i="1" s="1"/>
  <c r="I228" i="1"/>
  <c r="I217" i="1"/>
  <c r="I238" i="1" s="1"/>
  <c r="J97" i="1" l="1"/>
  <c r="I97" i="1"/>
  <c r="I129" i="1" l="1"/>
  <c r="I155" i="1"/>
  <c r="I209" i="1" s="1"/>
  <c r="J155" i="1"/>
  <c r="J209" i="1" s="1"/>
  <c r="J129" i="1"/>
  <c r="H97" i="1"/>
  <c r="H155" i="1" l="1"/>
  <c r="H209" i="1" s="1"/>
  <c r="H129" i="1"/>
  <c r="J216" i="1"/>
  <c r="J237" i="1" s="1"/>
  <c r="J230" i="1"/>
  <c r="J219" i="1"/>
  <c r="J240" i="1" s="1"/>
  <c r="J213" i="1"/>
  <c r="J234" i="1" s="1"/>
  <c r="J218" i="1"/>
  <c r="J239" i="1" s="1"/>
  <c r="I216" i="1"/>
  <c r="I237" i="1" s="1"/>
  <c r="I219" i="1"/>
  <c r="I240" i="1" s="1"/>
  <c r="I213" i="1"/>
  <c r="I234" i="1" s="1"/>
  <c r="I230" i="1"/>
  <c r="I218" i="1"/>
  <c r="I239" i="1" s="1"/>
  <c r="J245" i="1" l="1"/>
  <c r="J246" i="1" s="1"/>
  <c r="J248" i="1" s="1"/>
  <c r="J257" i="1" s="1"/>
  <c r="I12" i="5" s="1"/>
  <c r="I245" i="1"/>
  <c r="I246" i="1" s="1"/>
  <c r="I248" i="1" s="1"/>
  <c r="I257" i="1" s="1"/>
  <c r="H12" i="5" s="1"/>
  <c r="H219" i="1"/>
  <c r="H240" i="1" s="1"/>
  <c r="H230" i="1"/>
  <c r="H213" i="1"/>
  <c r="H234" i="1" s="1"/>
  <c r="H216" i="1"/>
  <c r="H237" i="1" s="1"/>
  <c r="H218" i="1"/>
  <c r="H239" i="1" s="1"/>
  <c r="H245" i="1" l="1"/>
  <c r="H246" i="1" s="1"/>
  <c r="H248" i="1" s="1"/>
  <c r="H257" i="1" s="1"/>
  <c r="G12" i="5" s="1"/>
  <c r="I120" i="4" l="1"/>
  <c r="I119" i="4"/>
  <c r="H112" i="4"/>
  <c r="J112" i="4"/>
  <c r="J120" i="4"/>
  <c r="I114" i="4"/>
  <c r="H114" i="4"/>
  <c r="I112" i="4"/>
  <c r="J119" i="4"/>
  <c r="J114" i="4"/>
  <c r="I64" i="4" l="1"/>
  <c r="I109" i="4"/>
  <c r="H109" i="4"/>
  <c r="J64" i="4"/>
  <c r="I86" i="4"/>
  <c r="J78" i="4"/>
  <c r="J86" i="4"/>
  <c r="I91" i="4"/>
  <c r="I78" i="4"/>
  <c r="J118" i="4"/>
  <c r="J121" i="4"/>
  <c r="H118" i="4"/>
  <c r="J109" i="4"/>
  <c r="H86" i="4"/>
  <c r="H91" i="4"/>
  <c r="J91" i="4"/>
  <c r="I121" i="4"/>
  <c r="I118" i="4"/>
  <c r="H120" i="4"/>
  <c r="H119" i="4"/>
  <c r="I115" i="4" l="1"/>
  <c r="I29" i="4" s="1"/>
  <c r="I31" i="4" s="1"/>
  <c r="I89" i="1" s="1"/>
  <c r="I107" i="1" s="1"/>
  <c r="I121" i="1" s="1"/>
  <c r="I256" i="1" s="1"/>
  <c r="H78" i="4"/>
  <c r="H64" i="4"/>
  <c r="J115" i="4"/>
  <c r="J29" i="4" s="1"/>
  <c r="J31" i="4" s="1"/>
  <c r="J89" i="1" s="1"/>
  <c r="J107" i="1" s="1"/>
  <c r="J121" i="1" s="1"/>
  <c r="H121" i="4"/>
  <c r="H10" i="5" l="1"/>
  <c r="J256" i="1"/>
  <c r="I10" i="5"/>
  <c r="I14" i="5" s="1"/>
  <c r="I16" i="5" s="1"/>
  <c r="H115" i="4"/>
  <c r="H29" i="4" s="1"/>
  <c r="H31" i="4" s="1"/>
  <c r="H89" i="1" s="1"/>
  <c r="H107" i="1" s="1"/>
  <c r="H121" i="1" s="1"/>
  <c r="H16" i="5"/>
  <c r="H14" i="5"/>
  <c r="I261" i="1"/>
  <c r="I258" i="1"/>
  <c r="I259" i="1" s="1"/>
  <c r="I22" i="5" l="1"/>
  <c r="K18" i="5"/>
  <c r="K24" i="5" s="1"/>
  <c r="H22" i="5"/>
  <c r="J18" i="5"/>
  <c r="J24" i="5" s="1"/>
  <c r="G10" i="5"/>
  <c r="H256" i="1"/>
  <c r="J261" i="1"/>
  <c r="J258" i="1"/>
  <c r="J259" i="1" s="1"/>
  <c r="H261" i="1" l="1"/>
  <c r="H258" i="1"/>
  <c r="H259" i="1" s="1"/>
  <c r="G16" i="5"/>
  <c r="G14" i="5"/>
  <c r="I18" i="5" l="1"/>
  <c r="I24" i="5" s="1"/>
  <c r="G22" i="5"/>
  <c r="H18" i="5"/>
  <c r="H24" i="5" s="1"/>
</calcChain>
</file>

<file path=xl/sharedStrings.xml><?xml version="1.0" encoding="utf-8"?>
<sst xmlns="http://schemas.openxmlformats.org/spreadsheetml/2006/main" count="511" uniqueCount="267">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</sst>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8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124"/>
  <sheetViews>
    <sheetView tabSelected="1" zoomScale="90" zoomScaleNormal="90" workbookViewId="0">
      <selection activeCell="J9" sqref="J9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</cols>
  <sheetData>
    <row r="2" spans="2:15" ht="23.25" x14ac:dyDescent="0.35">
      <c r="C2" s="268" t="s">
        <v>190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2:15" ht="19.5" customHeight="1" x14ac:dyDescent="0.25">
      <c r="C3" s="269" t="str">
        <f>IF(F5="Click to Choose an LDC","",F5)</f>
        <v>Canadian Niagara Power Inc.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</row>
    <row r="4" spans="2:15" s="89" customFormat="1" ht="19.5" customHeight="1" thickBot="1" x14ac:dyDescent="0.3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188</v>
      </c>
      <c r="E5" s="75"/>
      <c r="F5" s="126" t="s">
        <v>208</v>
      </c>
      <c r="G5" s="13" t="s">
        <v>175</v>
      </c>
      <c r="H5" s="13" t="s">
        <v>175</v>
      </c>
      <c r="I5" s="13" t="s">
        <v>176</v>
      </c>
      <c r="J5" s="37" t="s">
        <v>174</v>
      </c>
      <c r="K5" s="271" t="s">
        <v>177</v>
      </c>
      <c r="L5" s="271"/>
      <c r="M5" s="271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ref="I6:M6" si="0">H6+1</f>
        <v>2021</v>
      </c>
      <c r="J6" s="202">
        <f t="shared" si="0"/>
        <v>2022</v>
      </c>
      <c r="K6" s="202">
        <f t="shared" si="0"/>
        <v>2023</v>
      </c>
      <c r="L6" s="202">
        <f t="shared" si="0"/>
        <v>2024</v>
      </c>
      <c r="M6" s="202">
        <f t="shared" si="0"/>
        <v>2025</v>
      </c>
      <c r="N6" s="131" t="s">
        <v>266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70"/>
      <c r="I8" s="270"/>
      <c r="J8" s="270"/>
      <c r="K8" s="270"/>
      <c r="L8" s="270"/>
      <c r="M8" s="27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15443000</v>
      </c>
      <c r="H9" s="118">
        <v>15952967.539999997</v>
      </c>
      <c r="I9" s="118">
        <v>14221135.440000001</v>
      </c>
      <c r="J9" s="118">
        <v>14987797.399999999</v>
      </c>
      <c r="K9" s="118">
        <v>11796000</v>
      </c>
      <c r="L9" s="118">
        <v>12732000</v>
      </c>
      <c r="M9" s="118">
        <v>11579000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29456</v>
      </c>
      <c r="H13" s="118">
        <v>29719</v>
      </c>
      <c r="I13" s="118">
        <v>29930.710560873631</v>
      </c>
      <c r="J13" s="118">
        <v>30144.019209864549</v>
      </c>
      <c r="K13" s="118">
        <v>30358.848055966788</v>
      </c>
      <c r="L13" s="118">
        <v>30575.207933242949</v>
      </c>
      <c r="M13" s="118">
        <v>30793.109752967277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465069748</v>
      </c>
      <c r="H14" s="118">
        <v>458372068.28954172</v>
      </c>
      <c r="I14" s="118">
        <v>470634489.97400326</v>
      </c>
      <c r="J14" s="118">
        <v>476071353.43813455</v>
      </c>
      <c r="K14" s="118">
        <v>481571024.6330151</v>
      </c>
      <c r="L14" s="118">
        <v>487134229.12607324</v>
      </c>
      <c r="M14" s="118">
        <v>492761700.86663693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92987</v>
      </c>
      <c r="H15" s="118">
        <v>101773.9</v>
      </c>
      <c r="I15" s="118">
        <v>101773.9</v>
      </c>
      <c r="J15" s="118">
        <v>101773.9</v>
      </c>
      <c r="K15" s="118">
        <v>101773.9</v>
      </c>
      <c r="L15" s="118">
        <v>101773.9</v>
      </c>
      <c r="M15" s="118">
        <v>101773.9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1602</v>
      </c>
      <c r="H16" s="118">
        <v>1555</v>
      </c>
      <c r="I16" s="118">
        <v>1555</v>
      </c>
      <c r="J16" s="118">
        <v>1555</v>
      </c>
      <c r="K16" s="118">
        <v>1555</v>
      </c>
      <c r="L16" s="118">
        <v>1555</v>
      </c>
      <c r="M16" s="118">
        <v>1555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4.1179173588773814E-2</v>
      </c>
      <c r="H17" s="262">
        <v>4.7734884540807432E-2</v>
      </c>
      <c r="I17" s="262">
        <v>5.4009598227757527E-2</v>
      </c>
      <c r="J17" s="262">
        <v>5.7759113266353745E-2</v>
      </c>
      <c r="K17" s="262">
        <v>6.2092361319856737E-2</v>
      </c>
      <c r="L17" s="262">
        <v>6.8054910861876872E-2</v>
      </c>
      <c r="M17" s="262">
        <v>7.2444876988377205E-2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70"/>
      <c r="I19" s="270"/>
      <c r="J19" s="270"/>
      <c r="K19" s="270"/>
      <c r="L19" s="270"/>
      <c r="M19" s="270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v>2.7168734507591063E-2</v>
      </c>
      <c r="I20" s="117">
        <v>2.7168734507591063E-2</v>
      </c>
      <c r="J20" s="117">
        <v>2.7168734507591063E-2</v>
      </c>
      <c r="K20" s="117">
        <v>2.7168734507591063E-2</v>
      </c>
      <c r="L20" s="117">
        <v>2.7168734507591063E-2</v>
      </c>
      <c r="M20" s="117">
        <v>2.7168734507591063E-2</v>
      </c>
      <c r="N20" s="75" t="s">
        <v>260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v>1.9544596072970565E-2</v>
      </c>
      <c r="I21" s="117">
        <v>1.9544596072970565E-2</v>
      </c>
      <c r="J21" s="117">
        <v>1.9544596072970565E-2</v>
      </c>
      <c r="K21" s="117">
        <v>1.9544596072970565E-2</v>
      </c>
      <c r="L21" s="117">
        <v>1.9544596072970565E-2</v>
      </c>
      <c r="M21" s="117">
        <v>1.9544596072970565E-2</v>
      </c>
      <c r="N21" s="75" t="s">
        <v>260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7">
        <v>6.0176E-2</v>
      </c>
      <c r="I22" s="117">
        <v>6.0176E-2</v>
      </c>
      <c r="J22" s="117">
        <v>6.0176E-2</v>
      </c>
      <c r="K22" s="117">
        <v>6.0176E-2</v>
      </c>
      <c r="L22" s="117">
        <v>6.0176E-2</v>
      </c>
      <c r="M22" s="117">
        <v>6.0176E-2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3" t="s">
        <v>197</v>
      </c>
      <c r="G27" s="50">
        <f>G35-G36+G37</f>
        <v>10005215.690000001</v>
      </c>
      <c r="H27" s="50">
        <f t="shared" ref="H27:M27" si="1">H35-H36+H37</f>
        <v>0</v>
      </c>
      <c r="I27" s="50">
        <f t="shared" si="1"/>
        <v>0</v>
      </c>
      <c r="J27" s="50">
        <f>J35-J36+J37</f>
        <v>0</v>
      </c>
      <c r="K27" s="50">
        <f t="shared" si="1"/>
        <v>0</v>
      </c>
      <c r="L27" s="50">
        <f t="shared" si="1"/>
        <v>0</v>
      </c>
      <c r="M27" s="50">
        <f t="shared" si="1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3" t="s">
        <v>201</v>
      </c>
      <c r="G29" s="50">
        <f>G115-G121+G122</f>
        <v>10005215.690000001</v>
      </c>
      <c r="H29" s="50">
        <f>H115-H121+H122</f>
        <v>9411250.8699999992</v>
      </c>
      <c r="I29" s="50">
        <f t="shared" ref="I29:M29" si="2">I115-I121+I122</f>
        <v>9462182.5199999996</v>
      </c>
      <c r="J29" s="50">
        <f t="shared" si="2"/>
        <v>9425367.7616829239</v>
      </c>
      <c r="K29" s="50">
        <f t="shared" si="2"/>
        <v>9613875.116916582</v>
      </c>
      <c r="L29" s="50">
        <f t="shared" si="2"/>
        <v>9806152.6192549169</v>
      </c>
      <c r="M29" s="50">
        <f t="shared" si="2"/>
        <v>10002275.671640014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3">IF($E$27="Y",G27,IF($E$29="Y",G29,"Error: Please enter Y for one method"))</f>
        <v>10005215.690000001</v>
      </c>
      <c r="H31" s="50">
        <f>IF($E$27="Y",H27,IF($E$29="Y",H29,"Error: Please enter Y for one method"))</f>
        <v>9411250.8699999992</v>
      </c>
      <c r="I31" s="50">
        <f t="shared" si="3"/>
        <v>9462182.5199999996</v>
      </c>
      <c r="J31" s="50">
        <f t="shared" si="3"/>
        <v>9425367.7616829239</v>
      </c>
      <c r="K31" s="50">
        <f t="shared" si="3"/>
        <v>9613875.116916582</v>
      </c>
      <c r="L31" s="50">
        <f t="shared" si="3"/>
        <v>9806152.6192549169</v>
      </c>
      <c r="M31" s="50">
        <f t="shared" si="3"/>
        <v>10002275.671640014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67" t="s">
        <v>183</v>
      </c>
      <c r="I34" s="267"/>
      <c r="J34" s="267"/>
      <c r="K34" s="267"/>
      <c r="L34" s="267"/>
      <c r="M34" s="267"/>
      <c r="N34" s="135"/>
    </row>
    <row r="35" spans="2:27" x14ac:dyDescent="0.2">
      <c r="C35" s="134"/>
      <c r="D35" s="150" t="s">
        <v>194</v>
      </c>
      <c r="E35" s="25" t="s">
        <v>202</v>
      </c>
      <c r="F35" s="25"/>
      <c r="G35" s="82">
        <f>G115</f>
        <v>10005215.690000001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66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66"/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66"/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66"/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84173.97</v>
      </c>
      <c r="H44" s="123">
        <v>89107.89</v>
      </c>
      <c r="I44" s="123">
        <v>168066.12</v>
      </c>
      <c r="J44" s="123">
        <v>153974.63999999998</v>
      </c>
      <c r="K44" s="123">
        <v>157054.13279999999</v>
      </c>
      <c r="L44" s="123">
        <v>160195.21545600001</v>
      </c>
      <c r="M44" s="123">
        <v>163399.11976512001</v>
      </c>
      <c r="N44" s="135" t="s">
        <v>172</v>
      </c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215901.84</v>
      </c>
      <c r="H45" s="123">
        <v>243919.9</v>
      </c>
      <c r="I45" s="123">
        <v>206159.4</v>
      </c>
      <c r="J45" s="123">
        <v>196563</v>
      </c>
      <c r="K45" s="123">
        <v>200494.26</v>
      </c>
      <c r="L45" s="123">
        <v>204504.1452</v>
      </c>
      <c r="M45" s="123">
        <v>208594.22810400001</v>
      </c>
      <c r="N45" s="135" t="s">
        <v>172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121030.29</v>
      </c>
      <c r="H46" s="123">
        <v>135448.63</v>
      </c>
      <c r="I46" s="123">
        <v>155239.56</v>
      </c>
      <c r="J46" s="123">
        <v>159687.35999999999</v>
      </c>
      <c r="K46" s="123">
        <v>162881.1072</v>
      </c>
      <c r="L46" s="123">
        <v>166138.72934399999</v>
      </c>
      <c r="M46" s="123">
        <v>169461.50393087999</v>
      </c>
      <c r="N46" s="135" t="s">
        <v>172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35" t="s">
        <v>172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v>0</v>
      </c>
      <c r="I48" s="123">
        <v>0</v>
      </c>
      <c r="J48" s="123">
        <v>0</v>
      </c>
      <c r="K48" s="123">
        <v>0</v>
      </c>
      <c r="L48" s="123">
        <v>0</v>
      </c>
      <c r="M48" s="123">
        <v>0</v>
      </c>
      <c r="N48" s="135" t="s">
        <v>172</v>
      </c>
    </row>
    <row r="49" spans="3:14" x14ac:dyDescent="0.2">
      <c r="C49" s="139"/>
      <c r="D49" s="25"/>
      <c r="E49" s="75">
        <v>5016</v>
      </c>
      <c r="F49" s="131" t="s">
        <v>13</v>
      </c>
      <c r="G49" s="57">
        <f>'Benchmarking Calculations'!G15</f>
        <v>81977.460000000006</v>
      </c>
      <c r="H49" s="123">
        <v>93269.21</v>
      </c>
      <c r="I49" s="123">
        <v>58707</v>
      </c>
      <c r="J49" s="123">
        <v>54606.239999999998</v>
      </c>
      <c r="K49" s="123">
        <v>55698.364799999996</v>
      </c>
      <c r="L49" s="123">
        <v>56812.332095999998</v>
      </c>
      <c r="M49" s="123">
        <v>57948.578737919997</v>
      </c>
      <c r="N49" s="135" t="s">
        <v>172</v>
      </c>
    </row>
    <row r="50" spans="3:14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7462.61</v>
      </c>
      <c r="H50" s="123">
        <v>38172.46</v>
      </c>
      <c r="I50" s="123">
        <v>20899.919999999998</v>
      </c>
      <c r="J50" s="123">
        <v>25899.96</v>
      </c>
      <c r="K50" s="123">
        <v>26417.959200000001</v>
      </c>
      <c r="L50" s="123">
        <v>26946.318384000002</v>
      </c>
      <c r="M50" s="123">
        <v>27485.244751680002</v>
      </c>
      <c r="N50" s="135" t="s">
        <v>172</v>
      </c>
    </row>
    <row r="51" spans="3:14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166598.13</v>
      </c>
      <c r="H51" s="123">
        <v>118073.91</v>
      </c>
      <c r="I51" s="123">
        <v>146453.4</v>
      </c>
      <c r="J51" s="123">
        <v>77069.88</v>
      </c>
      <c r="K51" s="123">
        <v>78611.277600000001</v>
      </c>
      <c r="L51" s="123">
        <v>80183.503152000005</v>
      </c>
      <c r="M51" s="123">
        <v>81787.173215040006</v>
      </c>
      <c r="N51" s="135" t="s">
        <v>172</v>
      </c>
    </row>
    <row r="52" spans="3:14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40914.620000000003</v>
      </c>
      <c r="H52" s="123">
        <v>40311.53</v>
      </c>
      <c r="I52" s="123">
        <v>6000</v>
      </c>
      <c r="J52" s="123">
        <v>34999.919999999998</v>
      </c>
      <c r="K52" s="123">
        <v>35699.918400000002</v>
      </c>
      <c r="L52" s="123">
        <v>36413.916768000003</v>
      </c>
      <c r="M52" s="123">
        <v>37142.195103360005</v>
      </c>
      <c r="N52" s="135" t="s">
        <v>172</v>
      </c>
    </row>
    <row r="53" spans="3:14" x14ac:dyDescent="0.2">
      <c r="C53" s="139"/>
      <c r="D53" s="25"/>
      <c r="E53" s="75">
        <v>5035</v>
      </c>
      <c r="F53" s="131" t="s">
        <v>17</v>
      </c>
      <c r="G53" s="57">
        <f>'Benchmarking Calculations'!G19</f>
        <v>23190.44</v>
      </c>
      <c r="H53" s="123">
        <v>33162.31</v>
      </c>
      <c r="I53" s="123">
        <v>40746.239999999998</v>
      </c>
      <c r="J53" s="123">
        <v>41172.480000000003</v>
      </c>
      <c r="K53" s="123">
        <v>41995.929600000003</v>
      </c>
      <c r="L53" s="123">
        <v>42835.848192000005</v>
      </c>
      <c r="M53" s="123">
        <v>43692.565155840006</v>
      </c>
      <c r="N53" s="135" t="s">
        <v>172</v>
      </c>
    </row>
    <row r="54" spans="3:14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91555.7</v>
      </c>
      <c r="H54" s="123">
        <v>98176.53</v>
      </c>
      <c r="I54" s="123">
        <v>61470.48</v>
      </c>
      <c r="J54" s="123">
        <v>64352.88</v>
      </c>
      <c r="K54" s="123">
        <v>65639.937600000005</v>
      </c>
      <c r="L54" s="123">
        <v>66952.736352000007</v>
      </c>
      <c r="M54" s="123">
        <v>68291.791079040006</v>
      </c>
      <c r="N54" s="135" t="s">
        <v>172</v>
      </c>
    </row>
    <row r="55" spans="3:14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100929.19</v>
      </c>
      <c r="H55" s="123">
        <v>197492.16</v>
      </c>
      <c r="I55" s="123">
        <v>97749.96</v>
      </c>
      <c r="J55" s="123">
        <v>122950.08</v>
      </c>
      <c r="K55" s="123">
        <v>125409.0816</v>
      </c>
      <c r="L55" s="123">
        <v>127917.26323200001</v>
      </c>
      <c r="M55" s="123">
        <v>130475.60849664001</v>
      </c>
      <c r="N55" s="135" t="s">
        <v>172</v>
      </c>
    </row>
    <row r="56" spans="3:14" x14ac:dyDescent="0.2">
      <c r="C56" s="139"/>
      <c r="D56" s="25"/>
      <c r="E56" s="75">
        <v>5055</v>
      </c>
      <c r="F56" s="131" t="s">
        <v>20</v>
      </c>
      <c r="G56" s="57">
        <f>'Benchmarking Calculations'!G22</f>
        <v>2524.86</v>
      </c>
      <c r="H56" s="123">
        <v>7767.07</v>
      </c>
      <c r="I56" s="123">
        <v>9129.6</v>
      </c>
      <c r="J56" s="123">
        <v>9225.1200000000008</v>
      </c>
      <c r="K56" s="123">
        <v>9409.6224000000002</v>
      </c>
      <c r="L56" s="123">
        <v>9597.814848</v>
      </c>
      <c r="M56" s="123">
        <v>9789.771144960001</v>
      </c>
      <c r="N56" s="135" t="s">
        <v>172</v>
      </c>
    </row>
    <row r="57" spans="3:14" x14ac:dyDescent="0.2">
      <c r="C57" s="139"/>
      <c r="D57" s="25"/>
      <c r="E57" s="75">
        <v>5065</v>
      </c>
      <c r="F57" s="131" t="s">
        <v>21</v>
      </c>
      <c r="G57" s="57">
        <f>'Benchmarking Calculations'!G23</f>
        <v>334239.28000000003</v>
      </c>
      <c r="H57" s="123">
        <v>292513.53999999998</v>
      </c>
      <c r="I57" s="123">
        <v>419345.16000000003</v>
      </c>
      <c r="J57" s="123">
        <v>378665.76</v>
      </c>
      <c r="K57" s="123">
        <v>386239.07520000002</v>
      </c>
      <c r="L57" s="123">
        <v>393963.85670400003</v>
      </c>
      <c r="M57" s="123">
        <v>401843.13383808004</v>
      </c>
      <c r="N57" s="135" t="s">
        <v>172</v>
      </c>
    </row>
    <row r="58" spans="3:14" x14ac:dyDescent="0.2">
      <c r="C58" s="139"/>
      <c r="D58" s="25"/>
      <c r="E58" s="75">
        <v>5070</v>
      </c>
      <c r="F58" s="131" t="s">
        <v>22</v>
      </c>
      <c r="G58" s="57">
        <f>'Benchmarking Calculations'!G24</f>
        <v>2194.33</v>
      </c>
      <c r="H58" s="123">
        <v>3478.26</v>
      </c>
      <c r="I58" s="123">
        <v>0</v>
      </c>
      <c r="J58" s="123">
        <v>0</v>
      </c>
      <c r="K58" s="123">
        <v>0</v>
      </c>
      <c r="L58" s="123">
        <v>0</v>
      </c>
      <c r="M58" s="123">
        <v>0</v>
      </c>
      <c r="N58" s="135" t="s">
        <v>172</v>
      </c>
    </row>
    <row r="59" spans="3:14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200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35" t="s">
        <v>172</v>
      </c>
    </row>
    <row r="60" spans="3:14" x14ac:dyDescent="0.2">
      <c r="C60" s="139"/>
      <c r="D60" s="25"/>
      <c r="E60" s="75">
        <v>5085</v>
      </c>
      <c r="F60" s="131" t="s">
        <v>24</v>
      </c>
      <c r="G60" s="57">
        <f>'Benchmarking Calculations'!G26</f>
        <v>606768.23</v>
      </c>
      <c r="H60" s="123">
        <v>583284.89</v>
      </c>
      <c r="I60" s="123">
        <v>604148.9</v>
      </c>
      <c r="J60" s="123">
        <v>600461.83000000007</v>
      </c>
      <c r="K60" s="123">
        <v>612471.06660000014</v>
      </c>
      <c r="L60" s="123">
        <v>624720.48793200019</v>
      </c>
      <c r="M60" s="123">
        <v>637214.89769064018</v>
      </c>
      <c r="N60" s="135" t="s">
        <v>172</v>
      </c>
    </row>
    <row r="61" spans="3:14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v>2520.1799999999998</v>
      </c>
      <c r="I61" s="123">
        <v>9999.9599999999991</v>
      </c>
      <c r="J61" s="123">
        <v>9999.9599999999991</v>
      </c>
      <c r="K61" s="123">
        <v>10199.959199999999</v>
      </c>
      <c r="L61" s="123">
        <v>10403.958384</v>
      </c>
      <c r="M61" s="123">
        <v>10612.03755168</v>
      </c>
      <c r="N61" s="135" t="s">
        <v>172</v>
      </c>
    </row>
    <row r="62" spans="3:14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41571.360000000001</v>
      </c>
      <c r="H62" s="123">
        <v>99665.63</v>
      </c>
      <c r="I62" s="123">
        <v>73749.959999999992</v>
      </c>
      <c r="J62" s="123">
        <v>60000</v>
      </c>
      <c r="K62" s="123">
        <v>61200</v>
      </c>
      <c r="L62" s="123">
        <v>62424</v>
      </c>
      <c r="M62" s="123">
        <v>63672.480000000003</v>
      </c>
      <c r="N62" s="135" t="s">
        <v>172</v>
      </c>
    </row>
    <row r="63" spans="3:14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35" t="s">
        <v>172</v>
      </c>
    </row>
    <row r="64" spans="3:14" x14ac:dyDescent="0.2">
      <c r="C64" s="139"/>
      <c r="D64" s="25"/>
      <c r="E64" s="15"/>
      <c r="F64" s="77" t="s">
        <v>28</v>
      </c>
      <c r="G64" s="105">
        <f>'Benchmarking Calculations'!G30</f>
        <v>1921232.3100000003</v>
      </c>
      <c r="H64" s="78">
        <f>SUM(H44:H63)</f>
        <v>2076364.1</v>
      </c>
      <c r="I64" s="78">
        <f t="shared" ref="I64:J64" si="4">SUM(I44:I63)</f>
        <v>2077865.6600000001</v>
      </c>
      <c r="J64" s="78">
        <f t="shared" si="4"/>
        <v>1989629.1099999999</v>
      </c>
      <c r="K64" s="78">
        <f t="shared" ref="K64:M64" si="5">SUM(K44:K63)</f>
        <v>2029421.6921999999</v>
      </c>
      <c r="L64" s="78">
        <f t="shared" si="5"/>
        <v>2070010.1260440003</v>
      </c>
      <c r="M64" s="78">
        <f t="shared" si="5"/>
        <v>2111410.3285648804</v>
      </c>
      <c r="N64" s="140" t="s">
        <v>29</v>
      </c>
    </row>
    <row r="65" spans="3:14" x14ac:dyDescent="0.2">
      <c r="C65" s="139"/>
      <c r="D65" s="25"/>
      <c r="E65" s="75">
        <v>5105</v>
      </c>
      <c r="F65" s="131" t="s">
        <v>30</v>
      </c>
      <c r="G65" s="57">
        <f>'Benchmarking Calculations'!G31</f>
        <v>17716.64</v>
      </c>
      <c r="H65" s="123">
        <v>18489.41</v>
      </c>
      <c r="I65" s="123">
        <v>39978.120000000003</v>
      </c>
      <c r="J65" s="123">
        <v>40332.6</v>
      </c>
      <c r="K65" s="123">
        <v>41139.252</v>
      </c>
      <c r="L65" s="123">
        <v>41962.037040000003</v>
      </c>
      <c r="M65" s="123">
        <v>42801.277780800003</v>
      </c>
      <c r="N65" s="135" t="s">
        <v>172</v>
      </c>
    </row>
    <row r="66" spans="3:14" x14ac:dyDescent="0.2">
      <c r="C66" s="139"/>
      <c r="D66" s="25"/>
      <c r="E66" s="75">
        <v>5110</v>
      </c>
      <c r="F66" s="131" t="s">
        <v>31</v>
      </c>
      <c r="G66" s="57">
        <f>'Benchmarking Calculations'!G32</f>
        <v>67554.19</v>
      </c>
      <c r="H66" s="123">
        <v>67559.55</v>
      </c>
      <c r="I66" s="123">
        <v>65565.84</v>
      </c>
      <c r="J66" s="123">
        <v>74421.119999999995</v>
      </c>
      <c r="K66" s="123">
        <v>75909.542399999991</v>
      </c>
      <c r="L66" s="123">
        <v>77427.73324799999</v>
      </c>
      <c r="M66" s="123">
        <v>78976.28791295999</v>
      </c>
      <c r="N66" s="135" t="s">
        <v>172</v>
      </c>
    </row>
    <row r="67" spans="3:14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v>0</v>
      </c>
      <c r="I67" s="123">
        <v>0</v>
      </c>
      <c r="J67" s="123">
        <v>0</v>
      </c>
      <c r="K67" s="123">
        <v>0</v>
      </c>
      <c r="L67" s="123">
        <v>0</v>
      </c>
      <c r="M67" s="123">
        <v>0</v>
      </c>
      <c r="N67" s="135" t="s">
        <v>172</v>
      </c>
    </row>
    <row r="68" spans="3:14" x14ac:dyDescent="0.2">
      <c r="C68" s="139"/>
      <c r="D68" s="25"/>
      <c r="E68" s="75">
        <v>5114</v>
      </c>
      <c r="F68" s="131" t="s">
        <v>33</v>
      </c>
      <c r="G68" s="57">
        <f>'Benchmarking Calculations'!G34</f>
        <v>39903.46</v>
      </c>
      <c r="H68" s="123">
        <v>70239</v>
      </c>
      <c r="I68" s="123">
        <v>44713.919999999998</v>
      </c>
      <c r="J68" s="123">
        <v>48856.799999999996</v>
      </c>
      <c r="K68" s="123">
        <v>49833.935999999994</v>
      </c>
      <c r="L68" s="123">
        <v>50830.614719999998</v>
      </c>
      <c r="M68" s="123">
        <v>51847.227014399999</v>
      </c>
      <c r="N68" s="135" t="s">
        <v>172</v>
      </c>
    </row>
    <row r="69" spans="3:14" x14ac:dyDescent="0.2">
      <c r="C69" s="139"/>
      <c r="D69" s="25"/>
      <c r="E69" s="75">
        <v>5120</v>
      </c>
      <c r="F69" s="131" t="s">
        <v>34</v>
      </c>
      <c r="G69" s="57">
        <f>'Benchmarking Calculations'!G35</f>
        <v>124428.39</v>
      </c>
      <c r="H69" s="123">
        <v>161877.78</v>
      </c>
      <c r="I69" s="123">
        <v>150109.68</v>
      </c>
      <c r="J69" s="123">
        <v>155518.32</v>
      </c>
      <c r="K69" s="123">
        <v>158628.68640000001</v>
      </c>
      <c r="L69" s="123">
        <v>161801.26012799999</v>
      </c>
      <c r="M69" s="123">
        <v>165037.28533056</v>
      </c>
      <c r="N69" s="135" t="s">
        <v>172</v>
      </c>
    </row>
    <row r="70" spans="3:14" x14ac:dyDescent="0.2">
      <c r="C70" s="139"/>
      <c r="D70" s="25"/>
      <c r="E70" s="75">
        <v>5125</v>
      </c>
      <c r="F70" s="131" t="s">
        <v>35</v>
      </c>
      <c r="G70" s="57">
        <f>'Benchmarking Calculations'!G36</f>
        <v>394076</v>
      </c>
      <c r="H70" s="123">
        <v>455368.55</v>
      </c>
      <c r="I70" s="123">
        <v>347587.34</v>
      </c>
      <c r="J70" s="123">
        <v>338865.48000000004</v>
      </c>
      <c r="K70" s="123">
        <v>345642.78960000002</v>
      </c>
      <c r="L70" s="123">
        <v>352555.64539200003</v>
      </c>
      <c r="M70" s="123">
        <v>359606.75829984003</v>
      </c>
      <c r="N70" s="135" t="s">
        <v>172</v>
      </c>
    </row>
    <row r="71" spans="3:14" x14ac:dyDescent="0.2">
      <c r="C71" s="139"/>
      <c r="D71" s="25"/>
      <c r="E71" s="75">
        <v>5130</v>
      </c>
      <c r="F71" s="131" t="s">
        <v>36</v>
      </c>
      <c r="G71" s="57">
        <f>'Benchmarking Calculations'!G37</f>
        <v>249251.43</v>
      </c>
      <c r="H71" s="123">
        <v>316969.67000000004</v>
      </c>
      <c r="I71" s="123">
        <v>250042.68</v>
      </c>
      <c r="J71" s="123">
        <v>248661</v>
      </c>
      <c r="K71" s="123">
        <v>253634.22</v>
      </c>
      <c r="L71" s="123">
        <v>258706.9044</v>
      </c>
      <c r="M71" s="123">
        <v>263881.04248800001</v>
      </c>
      <c r="N71" s="135" t="s">
        <v>172</v>
      </c>
    </row>
    <row r="72" spans="3:14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530239.96</v>
      </c>
      <c r="H72" s="123">
        <v>492409.46</v>
      </c>
      <c r="I72" s="123">
        <v>509713.44</v>
      </c>
      <c r="J72" s="123">
        <v>577630.56000000006</v>
      </c>
      <c r="K72" s="123">
        <v>589183.1712000001</v>
      </c>
      <c r="L72" s="123">
        <v>600966.83462400013</v>
      </c>
      <c r="M72" s="123">
        <v>612986.17131648015</v>
      </c>
      <c r="N72" s="135" t="s">
        <v>172</v>
      </c>
    </row>
    <row r="73" spans="3:14" x14ac:dyDescent="0.2">
      <c r="C73" s="139"/>
      <c r="D73" s="25"/>
      <c r="E73" s="75">
        <v>5145</v>
      </c>
      <c r="F73" s="131" t="s">
        <v>38</v>
      </c>
      <c r="G73" s="57">
        <f>'Benchmarking Calculations'!G39</f>
        <v>2154.81</v>
      </c>
      <c r="H73" s="123">
        <v>3312.31</v>
      </c>
      <c r="I73" s="123">
        <v>8119.08</v>
      </c>
      <c r="J73" s="123">
        <v>8251.08</v>
      </c>
      <c r="K73" s="123">
        <v>8416.1016</v>
      </c>
      <c r="L73" s="123">
        <v>8584.423632</v>
      </c>
      <c r="M73" s="123">
        <v>8756.1121046400003</v>
      </c>
      <c r="N73" s="135" t="s">
        <v>172</v>
      </c>
    </row>
    <row r="74" spans="3:14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38309.9</v>
      </c>
      <c r="H74" s="123">
        <v>26950.2</v>
      </c>
      <c r="I74" s="123">
        <v>31158.6</v>
      </c>
      <c r="J74" s="123">
        <v>31438.079999999998</v>
      </c>
      <c r="K74" s="123">
        <v>32066.8416</v>
      </c>
      <c r="L74" s="123">
        <v>32708.178432000001</v>
      </c>
      <c r="M74" s="123">
        <v>33362.342000640005</v>
      </c>
      <c r="N74" s="135" t="s">
        <v>172</v>
      </c>
    </row>
    <row r="75" spans="3:14" x14ac:dyDescent="0.2">
      <c r="C75" s="139"/>
      <c r="D75" s="25"/>
      <c r="E75" s="75">
        <v>5155</v>
      </c>
      <c r="F75" s="131" t="s">
        <v>40</v>
      </c>
      <c r="G75" s="57">
        <f>'Benchmarking Calculations'!G41</f>
        <v>50028.98</v>
      </c>
      <c r="H75" s="123">
        <v>57938.05</v>
      </c>
      <c r="I75" s="123">
        <v>69885.240000000005</v>
      </c>
      <c r="J75" s="123">
        <v>70693.440000000002</v>
      </c>
      <c r="K75" s="123">
        <v>72107.308799999999</v>
      </c>
      <c r="L75" s="123">
        <v>73549.454975999994</v>
      </c>
      <c r="M75" s="123">
        <v>75020.44407551999</v>
      </c>
      <c r="N75" s="135" t="s">
        <v>172</v>
      </c>
    </row>
    <row r="76" spans="3:14" x14ac:dyDescent="0.2">
      <c r="C76" s="139"/>
      <c r="D76" s="25"/>
      <c r="E76" s="75">
        <v>5160</v>
      </c>
      <c r="F76" s="131" t="s">
        <v>41</v>
      </c>
      <c r="G76" s="57">
        <f>'Benchmarking Calculations'!G42</f>
        <v>90458.559999999998</v>
      </c>
      <c r="H76" s="123">
        <v>44943.34</v>
      </c>
      <c r="I76" s="123">
        <v>91957.200000000012</v>
      </c>
      <c r="J76" s="123">
        <v>90382.68</v>
      </c>
      <c r="K76" s="123">
        <v>92190.333599999998</v>
      </c>
      <c r="L76" s="123">
        <v>94034.140272000004</v>
      </c>
      <c r="M76" s="123">
        <v>95914.82307744</v>
      </c>
      <c r="N76" s="135" t="s">
        <v>172</v>
      </c>
    </row>
    <row r="77" spans="3:14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454529.84</v>
      </c>
      <c r="H77" s="123">
        <v>422210.5</v>
      </c>
      <c r="I77" s="123">
        <v>460431.72</v>
      </c>
      <c r="J77" s="123">
        <v>450352.08</v>
      </c>
      <c r="K77" s="123">
        <v>459359.12160000001</v>
      </c>
      <c r="L77" s="123">
        <v>468546.30403200001</v>
      </c>
      <c r="M77" s="123">
        <v>477917.23011264001</v>
      </c>
      <c r="N77" s="135" t="s">
        <v>172</v>
      </c>
    </row>
    <row r="78" spans="3:14" x14ac:dyDescent="0.2">
      <c r="C78" s="139"/>
      <c r="D78" s="25"/>
      <c r="E78" s="15"/>
      <c r="F78" s="77" t="s">
        <v>43</v>
      </c>
      <c r="G78" s="105">
        <f>'Benchmarking Calculations'!G44</f>
        <v>2058652.16</v>
      </c>
      <c r="H78" s="78">
        <f>SUM(H65:H77)</f>
        <v>2138267.8200000003</v>
      </c>
      <c r="I78" s="78">
        <f t="shared" ref="I78:J78" si="6">SUM(I65:I77)</f>
        <v>2069262.86</v>
      </c>
      <c r="J78" s="78">
        <f t="shared" si="6"/>
        <v>2135403.2400000002</v>
      </c>
      <c r="K78" s="78">
        <f t="shared" ref="K78:M78" si="7">SUM(K65:K77)</f>
        <v>2178111.3048</v>
      </c>
      <c r="L78" s="78">
        <f t="shared" si="7"/>
        <v>2221673.5308960006</v>
      </c>
      <c r="M78" s="78">
        <f t="shared" si="7"/>
        <v>2266107.0015139203</v>
      </c>
      <c r="N78" s="140" t="s">
        <v>29</v>
      </c>
    </row>
    <row r="79" spans="3:14" x14ac:dyDescent="0.2">
      <c r="C79" s="139"/>
      <c r="D79" s="25"/>
      <c r="E79" s="75">
        <v>5305</v>
      </c>
      <c r="F79" s="75" t="s">
        <v>44</v>
      </c>
      <c r="G79" s="57">
        <f>'Benchmarking Calculations'!G45</f>
        <v>164163.76</v>
      </c>
      <c r="H79" s="123">
        <v>174516.66</v>
      </c>
      <c r="I79" s="123">
        <v>173778.47999999998</v>
      </c>
      <c r="J79" s="123">
        <v>163803.96</v>
      </c>
      <c r="K79" s="123">
        <v>167080.0392</v>
      </c>
      <c r="L79" s="123">
        <v>170421.63998400001</v>
      </c>
      <c r="M79" s="123">
        <v>173830.07278368002</v>
      </c>
      <c r="N79" s="135" t="s">
        <v>172</v>
      </c>
    </row>
    <row r="80" spans="3:14" x14ac:dyDescent="0.2">
      <c r="C80" s="139"/>
      <c r="D80" s="25"/>
      <c r="E80" s="75">
        <v>5310</v>
      </c>
      <c r="F80" s="75" t="s">
        <v>45</v>
      </c>
      <c r="G80" s="57">
        <f>'Benchmarking Calculations'!G46</f>
        <v>77993.22</v>
      </c>
      <c r="H80" s="123">
        <v>89227.489999999991</v>
      </c>
      <c r="I80" s="123">
        <v>105445.92000000001</v>
      </c>
      <c r="J80" s="123">
        <v>117488.76</v>
      </c>
      <c r="K80" s="123">
        <v>119838.5352</v>
      </c>
      <c r="L80" s="123">
        <v>122235.30590399999</v>
      </c>
      <c r="M80" s="123">
        <v>124680.01202208</v>
      </c>
      <c r="N80" s="135" t="s">
        <v>172</v>
      </c>
    </row>
    <row r="81" spans="3:14" x14ac:dyDescent="0.2">
      <c r="C81" s="139"/>
      <c r="D81" s="25"/>
      <c r="E81" s="75">
        <v>5315</v>
      </c>
      <c r="F81" s="75" t="s">
        <v>46</v>
      </c>
      <c r="G81" s="57">
        <f>'Benchmarking Calculations'!G47</f>
        <v>423352.82</v>
      </c>
      <c r="H81" s="123">
        <v>393655.66</v>
      </c>
      <c r="I81" s="123">
        <v>466999.44</v>
      </c>
      <c r="J81" s="123">
        <v>390268.07999999996</v>
      </c>
      <c r="K81" s="123">
        <v>398073.44159999996</v>
      </c>
      <c r="L81" s="123">
        <v>406034.91043199995</v>
      </c>
      <c r="M81" s="123">
        <v>414155.60864063993</v>
      </c>
      <c r="N81" s="135" t="s">
        <v>172</v>
      </c>
    </row>
    <row r="82" spans="3:14" x14ac:dyDescent="0.2">
      <c r="C82" s="139"/>
      <c r="D82" s="25"/>
      <c r="E82" s="75">
        <v>5320</v>
      </c>
      <c r="F82" s="75" t="s">
        <v>47</v>
      </c>
      <c r="G82" s="57">
        <f>'Benchmarking Calculations'!G48</f>
        <v>280542.68</v>
      </c>
      <c r="H82" s="123">
        <v>280511.78999999998</v>
      </c>
      <c r="I82" s="123">
        <v>370773.6</v>
      </c>
      <c r="J82" s="123">
        <v>374923.92</v>
      </c>
      <c r="K82" s="123">
        <v>382422.39840000001</v>
      </c>
      <c r="L82" s="123">
        <v>390070.84636800003</v>
      </c>
      <c r="M82" s="123">
        <v>397872.26329536003</v>
      </c>
      <c r="N82" s="135" t="s">
        <v>172</v>
      </c>
    </row>
    <row r="83" spans="3:14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35" t="s">
        <v>172</v>
      </c>
    </row>
    <row r="84" spans="3:14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35" t="s">
        <v>172</v>
      </c>
    </row>
    <row r="85" spans="3:14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522306.28</v>
      </c>
      <c r="H85" s="123">
        <v>488741.31</v>
      </c>
      <c r="I85" s="123">
        <v>519858</v>
      </c>
      <c r="J85" s="123">
        <v>583470.77</v>
      </c>
      <c r="K85" s="123">
        <v>595140.18540000007</v>
      </c>
      <c r="L85" s="123">
        <v>607042.98910800007</v>
      </c>
      <c r="M85" s="123">
        <v>619183.84889016009</v>
      </c>
      <c r="N85" s="135" t="s">
        <v>172</v>
      </c>
    </row>
    <row r="86" spans="3:14" x14ac:dyDescent="0.2">
      <c r="C86" s="139"/>
      <c r="D86" s="25"/>
      <c r="E86" s="15"/>
      <c r="F86" s="77" t="s">
        <v>51</v>
      </c>
      <c r="G86" s="105">
        <f>'Benchmarking Calculations'!G52</f>
        <v>1468358.76</v>
      </c>
      <c r="H86" s="78">
        <f>SUM(H79:H85)</f>
        <v>1426652.9100000001</v>
      </c>
      <c r="I86" s="78">
        <f t="shared" ref="I86:J86" si="8">SUM(I79:I85)</f>
        <v>1636855.44</v>
      </c>
      <c r="J86" s="78">
        <f t="shared" si="8"/>
        <v>1629955.49</v>
      </c>
      <c r="K86" s="78">
        <f t="shared" ref="K86:M86" si="9">SUM(K79:K85)</f>
        <v>1662554.5998</v>
      </c>
      <c r="L86" s="78">
        <f t="shared" si="9"/>
        <v>1695805.6917960001</v>
      </c>
      <c r="M86" s="78">
        <f t="shared" si="9"/>
        <v>1729721.8056319202</v>
      </c>
      <c r="N86" s="140" t="s">
        <v>29</v>
      </c>
    </row>
    <row r="87" spans="3:14" x14ac:dyDescent="0.2">
      <c r="C87" s="139"/>
      <c r="D87" s="25"/>
      <c r="E87" s="75">
        <v>5405</v>
      </c>
      <c r="F87" s="75" t="s">
        <v>52</v>
      </c>
      <c r="G87" s="57">
        <f>'Benchmarking Calculations'!G53</f>
        <v>0</v>
      </c>
      <c r="H87" s="123">
        <v>0</v>
      </c>
      <c r="I87" s="123">
        <v>6500.04</v>
      </c>
      <c r="J87" s="123">
        <v>6500.04</v>
      </c>
      <c r="K87" s="123">
        <v>6630.0407999999998</v>
      </c>
      <c r="L87" s="123">
        <v>6762.6416159999999</v>
      </c>
      <c r="M87" s="123">
        <v>6897.8944483200003</v>
      </c>
      <c r="N87" s="135" t="s">
        <v>172</v>
      </c>
    </row>
    <row r="88" spans="3:14" x14ac:dyDescent="0.2">
      <c r="C88" s="139"/>
      <c r="D88" s="25"/>
      <c r="E88" s="75">
        <v>5410</v>
      </c>
      <c r="F88" s="75" t="s">
        <v>53</v>
      </c>
      <c r="G88" s="57">
        <f>'Benchmarking Calculations'!G54</f>
        <v>0</v>
      </c>
      <c r="H88" s="123">
        <v>0</v>
      </c>
      <c r="I88" s="123">
        <v>0</v>
      </c>
      <c r="J88" s="123">
        <v>0</v>
      </c>
      <c r="K88" s="123">
        <v>0</v>
      </c>
      <c r="L88" s="123">
        <v>0</v>
      </c>
      <c r="M88" s="123">
        <v>0</v>
      </c>
      <c r="N88" s="135" t="s">
        <v>172</v>
      </c>
    </row>
    <row r="89" spans="3:14" x14ac:dyDescent="0.2">
      <c r="C89" s="139"/>
      <c r="D89" s="25"/>
      <c r="E89" s="75">
        <v>5420</v>
      </c>
      <c r="F89" s="75" t="s">
        <v>54</v>
      </c>
      <c r="G89" s="57">
        <f>'Benchmarking Calculations'!G55</f>
        <v>2290</v>
      </c>
      <c r="H89" s="123">
        <v>0</v>
      </c>
      <c r="I89" s="123">
        <v>5000.04</v>
      </c>
      <c r="J89" s="123">
        <v>5000.04</v>
      </c>
      <c r="K89" s="123">
        <v>5100.0407999999998</v>
      </c>
      <c r="L89" s="123">
        <v>5202.0416159999995</v>
      </c>
      <c r="M89" s="123">
        <v>5306.0824483199995</v>
      </c>
      <c r="N89" s="135" t="s">
        <v>172</v>
      </c>
    </row>
    <row r="90" spans="3:14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53472.73</v>
      </c>
      <c r="H90" s="123">
        <v>39402.410000000003</v>
      </c>
      <c r="I90" s="123">
        <v>93554.76</v>
      </c>
      <c r="J90" s="123">
        <v>67260.72</v>
      </c>
      <c r="K90" s="123">
        <v>68605.934399999998</v>
      </c>
      <c r="L90" s="123">
        <v>69978.053088000001</v>
      </c>
      <c r="M90" s="123">
        <v>71377.614149760004</v>
      </c>
      <c r="N90" s="135" t="s">
        <v>172</v>
      </c>
    </row>
    <row r="91" spans="3:14" x14ac:dyDescent="0.2">
      <c r="C91" s="139"/>
      <c r="D91" s="25"/>
      <c r="E91" s="15"/>
      <c r="F91" s="77" t="s">
        <v>56</v>
      </c>
      <c r="G91" s="105">
        <f>'Benchmarking Calculations'!G57</f>
        <v>55762.73</v>
      </c>
      <c r="H91" s="78">
        <f>SUM(H87:H90)</f>
        <v>39402.410000000003</v>
      </c>
      <c r="I91" s="78">
        <f t="shared" ref="I91:J91" si="10">SUM(I87:I90)</f>
        <v>105054.84</v>
      </c>
      <c r="J91" s="78">
        <f t="shared" si="10"/>
        <v>78760.800000000003</v>
      </c>
      <c r="K91" s="78">
        <f t="shared" ref="K91:M91" si="11">SUM(K87:K90)</f>
        <v>80336.016000000003</v>
      </c>
      <c r="L91" s="78">
        <f t="shared" si="11"/>
        <v>81942.736319999996</v>
      </c>
      <c r="M91" s="78">
        <f t="shared" si="11"/>
        <v>83581.591046400004</v>
      </c>
      <c r="N91" s="140" t="s">
        <v>29</v>
      </c>
    </row>
    <row r="92" spans="3:14" x14ac:dyDescent="0.2">
      <c r="C92" s="139"/>
      <c r="D92" s="25"/>
      <c r="E92" s="75">
        <v>5605</v>
      </c>
      <c r="F92" s="75" t="s">
        <v>57</v>
      </c>
      <c r="G92" s="57">
        <f>'Benchmarking Calculations'!G58</f>
        <v>647507.05000000005</v>
      </c>
      <c r="H92" s="123">
        <v>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35" t="s">
        <v>172</v>
      </c>
    </row>
    <row r="93" spans="3:14" x14ac:dyDescent="0.2">
      <c r="C93" s="139"/>
      <c r="D93" s="25"/>
      <c r="E93" s="75">
        <v>5610</v>
      </c>
      <c r="F93" s="75" t="s">
        <v>58</v>
      </c>
      <c r="G93" s="57">
        <f>'Benchmarking Calculations'!G59</f>
        <v>569910.48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35" t="s">
        <v>172</v>
      </c>
    </row>
    <row r="94" spans="3:14" x14ac:dyDescent="0.2">
      <c r="C94" s="139"/>
      <c r="D94" s="25"/>
      <c r="E94" s="75">
        <v>5615</v>
      </c>
      <c r="F94" s="75" t="s">
        <v>59</v>
      </c>
      <c r="G94" s="57">
        <f>'Benchmarking Calculations'!G60</f>
        <v>3675062.89</v>
      </c>
      <c r="H94" s="123">
        <v>5421090.209999999</v>
      </c>
      <c r="I94" s="123">
        <v>5308489.75</v>
      </c>
      <c r="J94" s="123">
        <v>5202253.3599999994</v>
      </c>
      <c r="K94" s="123">
        <v>5306298.4271999998</v>
      </c>
      <c r="L94" s="123">
        <v>5412424.3957439996</v>
      </c>
      <c r="M94" s="123">
        <v>5520672.8836588794</v>
      </c>
      <c r="N94" s="135" t="s">
        <v>172</v>
      </c>
    </row>
    <row r="95" spans="3:14" x14ac:dyDescent="0.2">
      <c r="C95" s="139"/>
      <c r="D95" s="25"/>
      <c r="E95" s="75">
        <v>5620</v>
      </c>
      <c r="F95" s="75" t="s">
        <v>60</v>
      </c>
      <c r="G95" s="57">
        <f>'Benchmarking Calculations'!G61</f>
        <v>586866.47</v>
      </c>
      <c r="H95" s="123">
        <v>429196.07999999996</v>
      </c>
      <c r="I95" s="123">
        <v>535277.88</v>
      </c>
      <c r="J95" s="123">
        <v>527298.84</v>
      </c>
      <c r="K95" s="123">
        <v>537844.81680000003</v>
      </c>
      <c r="L95" s="123">
        <v>548601.71313600009</v>
      </c>
      <c r="M95" s="123">
        <v>559573.74739872012</v>
      </c>
      <c r="N95" s="135" t="s">
        <v>172</v>
      </c>
    </row>
    <row r="96" spans="3:14" x14ac:dyDescent="0.2">
      <c r="C96" s="139"/>
      <c r="D96" s="25"/>
      <c r="E96" s="75">
        <v>5625</v>
      </c>
      <c r="F96" s="75" t="s">
        <v>61</v>
      </c>
      <c r="G96" s="57">
        <f>'Benchmarking Calculations'!G62</f>
        <v>-4211514.53</v>
      </c>
      <c r="H96" s="123">
        <v>-4476188.3899999997</v>
      </c>
      <c r="I96" s="123">
        <v>-4801869.4800000004</v>
      </c>
      <c r="J96" s="123">
        <v>-4613533.2</v>
      </c>
      <c r="K96" s="123">
        <v>-4705803.8640000001</v>
      </c>
      <c r="L96" s="123">
        <v>-4799919.9412799999</v>
      </c>
      <c r="M96" s="123">
        <v>-4895918.3401055997</v>
      </c>
      <c r="N96" s="135" t="s">
        <v>172</v>
      </c>
    </row>
    <row r="97" spans="3:14" x14ac:dyDescent="0.2">
      <c r="C97" s="139"/>
      <c r="D97" s="25"/>
      <c r="E97" s="75">
        <v>5630</v>
      </c>
      <c r="F97" s="75" t="s">
        <v>62</v>
      </c>
      <c r="G97" s="57">
        <f>'Benchmarking Calculations'!G63</f>
        <v>713548.53</v>
      </c>
      <c r="H97" s="123">
        <v>711169.34000000008</v>
      </c>
      <c r="I97" s="123">
        <v>844179.96</v>
      </c>
      <c r="J97" s="123">
        <v>877327.84</v>
      </c>
      <c r="K97" s="123">
        <v>894874.39679999999</v>
      </c>
      <c r="L97" s="123">
        <v>912771.88473599998</v>
      </c>
      <c r="M97" s="123">
        <v>931027.32243071997</v>
      </c>
      <c r="N97" s="135" t="s">
        <v>172</v>
      </c>
    </row>
    <row r="98" spans="3:14" x14ac:dyDescent="0.2">
      <c r="C98" s="139"/>
      <c r="D98" s="25"/>
      <c r="E98" s="75">
        <v>5640</v>
      </c>
      <c r="F98" s="75" t="s">
        <v>63</v>
      </c>
      <c r="G98" s="57">
        <f>'Benchmarking Calculations'!G64</f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35" t="s">
        <v>172</v>
      </c>
    </row>
    <row r="99" spans="3:14" x14ac:dyDescent="0.2">
      <c r="C99" s="139"/>
      <c r="D99" s="25"/>
      <c r="E99" s="75">
        <v>5645</v>
      </c>
      <c r="F99" s="75" t="s">
        <v>64</v>
      </c>
      <c r="G99" s="57">
        <f>'Benchmarking Calculations'!G65</f>
        <v>810776.77</v>
      </c>
      <c r="H99" s="123">
        <v>857727.3</v>
      </c>
      <c r="I99" s="123">
        <v>967149.64999999991</v>
      </c>
      <c r="J99" s="123">
        <v>1009523.7600000002</v>
      </c>
      <c r="K99" s="123">
        <v>1029714.2352000002</v>
      </c>
      <c r="L99" s="123">
        <v>1050308.5199040002</v>
      </c>
      <c r="M99" s="123">
        <v>1071314.6903020802</v>
      </c>
      <c r="N99" s="135" t="s">
        <v>172</v>
      </c>
    </row>
    <row r="100" spans="3:14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v>0</v>
      </c>
      <c r="I100" s="123">
        <v>0</v>
      </c>
      <c r="J100" s="123">
        <v>0</v>
      </c>
      <c r="K100" s="123">
        <v>0</v>
      </c>
      <c r="L100" s="123">
        <v>0</v>
      </c>
      <c r="M100" s="123">
        <v>0</v>
      </c>
      <c r="N100" s="135" t="s">
        <v>172</v>
      </c>
    </row>
    <row r="101" spans="3:14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35" t="s">
        <v>172</v>
      </c>
    </row>
    <row r="102" spans="3:14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35" t="s">
        <v>172</v>
      </c>
    </row>
    <row r="103" spans="3:14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225698.14</v>
      </c>
      <c r="H103" s="123">
        <v>250938.5</v>
      </c>
      <c r="I103" s="123">
        <v>263056.2</v>
      </c>
      <c r="J103" s="123">
        <v>222403.44</v>
      </c>
      <c r="K103" s="123">
        <v>226851.50880000001</v>
      </c>
      <c r="L103" s="123">
        <v>231388.53897600001</v>
      </c>
      <c r="M103" s="123">
        <v>236016.30975552002</v>
      </c>
      <c r="N103" s="135" t="s">
        <v>172</v>
      </c>
    </row>
    <row r="104" spans="3:14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421240.64</v>
      </c>
      <c r="H104" s="123">
        <v>508799.86000000004</v>
      </c>
      <c r="I104" s="123">
        <v>419407.04</v>
      </c>
      <c r="J104" s="123">
        <v>200802.07999999996</v>
      </c>
      <c r="K104" s="123">
        <v>204818.12159999995</v>
      </c>
      <c r="L104" s="123">
        <v>208914.48403199995</v>
      </c>
      <c r="M104" s="123">
        <v>213092.77371263996</v>
      </c>
      <c r="N104" s="135" t="s">
        <v>172</v>
      </c>
    </row>
    <row r="105" spans="3:14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356339.64</v>
      </c>
      <c r="H105" s="123">
        <v>363466.44</v>
      </c>
      <c r="I105" s="123">
        <v>370735.8</v>
      </c>
      <c r="J105" s="123">
        <v>410315.04</v>
      </c>
      <c r="K105" s="123">
        <v>418521.34080000001</v>
      </c>
      <c r="L105" s="123">
        <v>426891.76761600003</v>
      </c>
      <c r="M105" s="123">
        <v>435429.60296832002</v>
      </c>
      <c r="N105" s="135" t="s">
        <v>172</v>
      </c>
    </row>
    <row r="106" spans="3:14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v>0</v>
      </c>
      <c r="I106" s="123">
        <v>22500</v>
      </c>
      <c r="J106" s="123">
        <v>23000.04</v>
      </c>
      <c r="K106" s="123">
        <v>23460.040800000002</v>
      </c>
      <c r="L106" s="123">
        <v>23929.241616000003</v>
      </c>
      <c r="M106" s="123">
        <v>24407.826448320004</v>
      </c>
      <c r="N106" s="135" t="s">
        <v>172</v>
      </c>
    </row>
    <row r="107" spans="3:14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634923.46</v>
      </c>
      <c r="H107" s="123">
        <v>-416720.65000000014</v>
      </c>
      <c r="I107" s="123">
        <v>-433283.04000000004</v>
      </c>
      <c r="J107" s="123">
        <v>-400172.15831707628</v>
      </c>
      <c r="K107" s="123">
        <v>-408175.60148341779</v>
      </c>
      <c r="L107" s="123">
        <v>-416339.11351308617</v>
      </c>
      <c r="M107" s="123">
        <v>-424665.89578334789</v>
      </c>
      <c r="N107" s="135" t="s">
        <v>172</v>
      </c>
    </row>
    <row r="108" spans="3:14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14451.48</v>
      </c>
      <c r="H108" s="123">
        <v>14758.15</v>
      </c>
      <c r="I108" s="123">
        <v>17000.04</v>
      </c>
      <c r="J108" s="123">
        <v>22000.080000000002</v>
      </c>
      <c r="K108" s="123">
        <v>22440.081600000001</v>
      </c>
      <c r="L108" s="123">
        <v>22888.883232</v>
      </c>
      <c r="M108" s="123">
        <v>23346.660896640002</v>
      </c>
      <c r="N108" s="135" t="s">
        <v>172</v>
      </c>
    </row>
    <row r="109" spans="3:14" x14ac:dyDescent="0.2">
      <c r="C109" s="139"/>
      <c r="D109" s="25"/>
      <c r="E109" s="12"/>
      <c r="F109" s="77" t="s">
        <v>74</v>
      </c>
      <c r="G109" s="105">
        <f>'Benchmarking Calculations'!G75</f>
        <v>4444811.0199999996</v>
      </c>
      <c r="H109" s="78">
        <f>SUM(H92:H108)</f>
        <v>3664236.8399999994</v>
      </c>
      <c r="I109" s="78">
        <f t="shared" ref="I109:J109" si="12">SUM(I92:I108)</f>
        <v>3512643.7999999993</v>
      </c>
      <c r="J109" s="78">
        <f t="shared" si="12"/>
        <v>3481219.1216829233</v>
      </c>
      <c r="K109" s="78">
        <f t="shared" ref="K109:M109" si="13">SUM(K92:K108)</f>
        <v>3550843.5041165827</v>
      </c>
      <c r="L109" s="78">
        <f t="shared" si="13"/>
        <v>3621860.3741989145</v>
      </c>
      <c r="M109" s="78">
        <f t="shared" si="13"/>
        <v>3694297.5816828916</v>
      </c>
      <c r="N109" s="140" t="s">
        <v>29</v>
      </c>
    </row>
    <row r="110" spans="3:14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56398.71</v>
      </c>
      <c r="H110" s="123">
        <v>66326.789999999994</v>
      </c>
      <c r="I110" s="123">
        <v>60499.92</v>
      </c>
      <c r="J110" s="123">
        <v>110400</v>
      </c>
      <c r="K110" s="123">
        <v>112608</v>
      </c>
      <c r="L110" s="123">
        <v>114860.16</v>
      </c>
      <c r="M110" s="123">
        <v>117157.36320000001</v>
      </c>
      <c r="N110" s="135" t="s">
        <v>172</v>
      </c>
    </row>
    <row r="111" spans="3:14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v>0</v>
      </c>
      <c r="I111" s="123">
        <v>0</v>
      </c>
      <c r="J111" s="123">
        <v>0</v>
      </c>
      <c r="K111" s="123">
        <v>0</v>
      </c>
      <c r="L111" s="123">
        <v>0</v>
      </c>
      <c r="M111" s="123">
        <v>0</v>
      </c>
      <c r="N111" s="135" t="s">
        <v>172</v>
      </c>
    </row>
    <row r="112" spans="3:14" x14ac:dyDescent="0.2">
      <c r="C112" s="139"/>
      <c r="D112" s="25"/>
      <c r="E112" s="25"/>
      <c r="F112" s="77" t="s">
        <v>77</v>
      </c>
      <c r="G112" s="105">
        <f>'Benchmarking Calculations'!G78</f>
        <v>56398.71</v>
      </c>
      <c r="H112" s="78">
        <f>H110+H111</f>
        <v>66326.789999999994</v>
      </c>
      <c r="I112" s="78">
        <f t="shared" ref="I112:J112" si="14">I110+I111</f>
        <v>60499.92</v>
      </c>
      <c r="J112" s="78">
        <f t="shared" si="14"/>
        <v>110400</v>
      </c>
      <c r="K112" s="78">
        <f t="shared" ref="K112:M112" si="15">K110+K111</f>
        <v>112608</v>
      </c>
      <c r="L112" s="78">
        <f t="shared" si="15"/>
        <v>114860.16</v>
      </c>
      <c r="M112" s="78">
        <f t="shared" si="15"/>
        <v>117157.36320000001</v>
      </c>
      <c r="N112" s="140" t="s">
        <v>29</v>
      </c>
    </row>
    <row r="113" spans="3:14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v>0</v>
      </c>
      <c r="I113" s="123">
        <v>0</v>
      </c>
      <c r="J113" s="123">
        <v>0</v>
      </c>
      <c r="K113" s="123">
        <v>0</v>
      </c>
      <c r="L113" s="123">
        <v>0</v>
      </c>
      <c r="M113" s="123">
        <v>0</v>
      </c>
      <c r="N113" s="135" t="s">
        <v>172</v>
      </c>
    </row>
    <row r="114" spans="3:14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J114" si="16">I113</f>
        <v>0</v>
      </c>
      <c r="J114" s="78">
        <f t="shared" si="16"/>
        <v>0</v>
      </c>
      <c r="K114" s="78">
        <f t="shared" ref="K114:M114" si="17">K113</f>
        <v>0</v>
      </c>
      <c r="L114" s="78">
        <f t="shared" si="17"/>
        <v>0</v>
      </c>
      <c r="M114" s="78">
        <f t="shared" si="17"/>
        <v>0</v>
      </c>
      <c r="N114" s="140" t="s">
        <v>29</v>
      </c>
    </row>
    <row r="115" spans="3:14" x14ac:dyDescent="0.2">
      <c r="C115" s="139"/>
      <c r="D115" s="74"/>
      <c r="E115" s="152" t="s">
        <v>198</v>
      </c>
      <c r="F115" s="77" t="s">
        <v>80</v>
      </c>
      <c r="G115" s="57">
        <f>'Benchmarking Calculations'!G81</f>
        <v>10005215.690000001</v>
      </c>
      <c r="H115" s="78">
        <f>H64+H78+H86+H91+H109+H112</f>
        <v>9411250.8699999992</v>
      </c>
      <c r="I115" s="78">
        <f t="shared" ref="I115:J115" si="18">I64+I78+I86+I91+I109+I112</f>
        <v>9462182.5199999996</v>
      </c>
      <c r="J115" s="78">
        <f t="shared" si="18"/>
        <v>9425367.7616829239</v>
      </c>
      <c r="K115" s="78">
        <f t="shared" ref="K115:M115" si="19">K64+K78+K86+K91+K109+K112</f>
        <v>9613875.116916582</v>
      </c>
      <c r="L115" s="78">
        <f t="shared" si="19"/>
        <v>9806152.6192549169</v>
      </c>
      <c r="M115" s="78">
        <f t="shared" si="19"/>
        <v>10002275.671640014</v>
      </c>
      <c r="N115" s="140" t="s">
        <v>29</v>
      </c>
    </row>
    <row r="116" spans="3:14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</row>
    <row r="117" spans="3:14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</row>
    <row r="118" spans="3:14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20">H47</f>
        <v>0</v>
      </c>
      <c r="I118" s="57">
        <f t="shared" si="20"/>
        <v>0</v>
      </c>
      <c r="J118" s="57">
        <f t="shared" si="20"/>
        <v>0</v>
      </c>
      <c r="K118" s="57">
        <f t="shared" si="20"/>
        <v>0</v>
      </c>
      <c r="L118" s="57">
        <f t="shared" si="20"/>
        <v>0</v>
      </c>
      <c r="M118" s="57">
        <f t="shared" ref="M118" si="21">M47</f>
        <v>0</v>
      </c>
      <c r="N118" s="140" t="s">
        <v>29</v>
      </c>
    </row>
    <row r="119" spans="3:14" x14ac:dyDescent="0.2">
      <c r="C119" s="139"/>
      <c r="D119" s="81"/>
      <c r="F119" s="58">
        <v>5015</v>
      </c>
      <c r="G119" s="57">
        <f>G48</f>
        <v>0</v>
      </c>
      <c r="H119" s="57">
        <f t="shared" ref="H119:L119" si="22">H48</f>
        <v>0</v>
      </c>
      <c r="I119" s="57">
        <f t="shared" si="22"/>
        <v>0</v>
      </c>
      <c r="J119" s="57">
        <f t="shared" si="22"/>
        <v>0</v>
      </c>
      <c r="K119" s="57">
        <f t="shared" si="22"/>
        <v>0</v>
      </c>
      <c r="L119" s="57">
        <f t="shared" si="22"/>
        <v>0</v>
      </c>
      <c r="M119" s="57">
        <f t="shared" ref="M119" si="23">M48</f>
        <v>0</v>
      </c>
      <c r="N119" s="140" t="s">
        <v>29</v>
      </c>
    </row>
    <row r="120" spans="3:14" x14ac:dyDescent="0.2">
      <c r="C120" s="139"/>
      <c r="D120" s="81"/>
      <c r="F120" s="58">
        <v>5112</v>
      </c>
      <c r="G120" s="57">
        <f>G67</f>
        <v>0</v>
      </c>
      <c r="H120" s="57">
        <f t="shared" ref="H120:L120" si="24">H67</f>
        <v>0</v>
      </c>
      <c r="I120" s="57">
        <f t="shared" si="24"/>
        <v>0</v>
      </c>
      <c r="J120" s="57">
        <f t="shared" si="24"/>
        <v>0</v>
      </c>
      <c r="K120" s="57">
        <f t="shared" si="24"/>
        <v>0</v>
      </c>
      <c r="L120" s="57">
        <f t="shared" si="24"/>
        <v>0</v>
      </c>
      <c r="M120" s="57">
        <f t="shared" ref="M120" si="25">M67</f>
        <v>0</v>
      </c>
      <c r="N120" s="140" t="s">
        <v>29</v>
      </c>
    </row>
    <row r="121" spans="3:14" x14ac:dyDescent="0.2">
      <c r="C121" s="139"/>
      <c r="D121" s="74"/>
      <c r="E121" s="152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26">I47+I48+I67</f>
        <v>0</v>
      </c>
      <c r="J121" s="105">
        <f t="shared" si="26"/>
        <v>0</v>
      </c>
      <c r="K121" s="105">
        <f t="shared" si="26"/>
        <v>0</v>
      </c>
      <c r="L121" s="105">
        <f t="shared" si="26"/>
        <v>0</v>
      </c>
      <c r="M121" s="105">
        <f t="shared" ref="M121" si="27">M47+M48+M67</f>
        <v>0</v>
      </c>
      <c r="N121" s="153" t="s">
        <v>29</v>
      </c>
    </row>
    <row r="122" spans="3:14" x14ac:dyDescent="0.2">
      <c r="C122" s="139"/>
      <c r="D122" s="74"/>
      <c r="E122" s="154" t="s">
        <v>200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28">H122</f>
        <v>0</v>
      </c>
      <c r="J122" s="155">
        <f t="shared" si="28"/>
        <v>0</v>
      </c>
      <c r="K122" s="155">
        <f t="shared" si="28"/>
        <v>0</v>
      </c>
      <c r="L122" s="155">
        <f t="shared" si="28"/>
        <v>0</v>
      </c>
      <c r="M122" s="155">
        <f t="shared" si="28"/>
        <v>0</v>
      </c>
      <c r="N122" s="156" t="s">
        <v>172</v>
      </c>
    </row>
    <row r="123" spans="3:14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7">
    <mergeCell ref="O40:O43"/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ignoredErrors>
    <ignoredError sqref="H64:J64 H78:J78 H86:J86 H91:J91 H109:J109 H112:J112 H114:J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282"/>
  <sheetViews>
    <sheetView zoomScaleNormal="100" workbookViewId="0">
      <pane ySplit="5" topLeftCell="A96" activePane="bottomLeft" state="frozen"/>
      <selection activeCell="G33" sqref="G33"/>
      <selection pane="bottomLeft" activeCell="L104" sqref="L104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4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3" customWidth="1"/>
    <col min="15" max="15" width="9.140625" style="109" customWidth="1"/>
    <col min="16" max="16" width="16.140625" style="109" customWidth="1"/>
    <col min="17" max="17" width="19" style="109" customWidth="1"/>
    <col min="18" max="18" width="18.140625" style="109" customWidth="1"/>
    <col min="19" max="19" width="14.28515625" style="109" customWidth="1"/>
    <col min="20" max="20" width="17.140625" style="109" customWidth="1"/>
    <col min="21" max="23" width="14.28515625" style="109" customWidth="1"/>
    <col min="24" max="24" width="17.140625" style="109" customWidth="1"/>
    <col min="25" max="25" width="21.42578125" style="109" customWidth="1"/>
    <col min="26" max="26" width="21" style="109" customWidth="1"/>
    <col min="27" max="27" width="19.42578125" style="109" customWidth="1"/>
    <col min="28" max="29" width="14.28515625" style="109" customWidth="1"/>
    <col min="30" max="30" width="16.42578125" style="109" customWidth="1"/>
    <col min="31" max="31" width="15.42578125" style="109" customWidth="1"/>
    <col min="32" max="32" width="19.28515625" style="109" customWidth="1"/>
    <col min="33" max="33" width="18.85546875" style="109" customWidth="1"/>
    <col min="34" max="34" width="18.140625" style="109" customWidth="1"/>
    <col min="35" max="35" width="14.28515625" style="109" customWidth="1"/>
    <col min="36" max="36" width="18.28515625" style="109" customWidth="1"/>
    <col min="37" max="37" width="14.28515625" style="109" customWidth="1"/>
    <col min="38" max="38" width="17.42578125" style="109" customWidth="1"/>
    <col min="39" max="39" width="16.5703125" style="109" customWidth="1"/>
    <col min="40" max="40" width="18.7109375" style="109" customWidth="1"/>
    <col min="41" max="41" width="16.7109375" style="109" customWidth="1"/>
    <col min="42" max="43" width="13.42578125" style="109" customWidth="1"/>
    <col min="44" max="44" width="19.140625" style="109" customWidth="1"/>
    <col min="45" max="45" width="15.85546875" style="109" customWidth="1"/>
    <col min="46" max="46" width="17.28515625" style="109" customWidth="1"/>
    <col min="47" max="47" width="18" style="109" customWidth="1"/>
    <col min="48" max="48" width="13.42578125" style="109" customWidth="1"/>
    <col min="49" max="49" width="17.28515625" style="109" customWidth="1"/>
    <col min="50" max="50" width="13.42578125" style="109" customWidth="1"/>
    <col min="51" max="51" width="17.28515625" style="109" customWidth="1"/>
    <col min="52" max="52" width="18.140625" style="109" customWidth="1"/>
    <col min="53" max="53" width="21.28515625" style="109" customWidth="1"/>
    <col min="54" max="54" width="18.42578125" style="109" customWidth="1"/>
    <col min="55" max="55" width="18" style="109" customWidth="1"/>
    <col min="56" max="60" width="13.42578125" style="109" customWidth="1"/>
    <col min="61" max="61" width="14.85546875" style="109" customWidth="1"/>
    <col min="62" max="62" width="15.85546875" style="109" customWidth="1"/>
    <col min="63" max="63" width="13.42578125" style="109" customWidth="1"/>
    <col min="64" max="64" width="16.42578125" style="109" customWidth="1"/>
    <col min="65" max="65" width="16.140625" style="109" customWidth="1"/>
    <col min="66" max="69" width="13.42578125" style="109" customWidth="1"/>
    <col min="70" max="70" width="15.28515625" style="109" customWidth="1"/>
    <col min="71" max="71" width="13.42578125" style="109" customWidth="1"/>
    <col min="72" max="72" width="15.85546875" style="109" customWidth="1"/>
    <col min="73" max="73" width="13.42578125" style="109" customWidth="1"/>
    <col min="74" max="74" width="16.140625" style="109" customWidth="1"/>
    <col min="75" max="78" width="13.42578125" style="109" customWidth="1"/>
    <col min="79" max="79" width="17.140625" style="109" customWidth="1"/>
    <col min="80" max="83" width="13.42578125" style="109" customWidth="1"/>
    <col min="84" max="149" width="9.140625" customWidth="1"/>
    <col min="150" max="150" width="9.140625" style="67" customWidth="1"/>
  </cols>
  <sheetData>
    <row r="1" spans="1:150" ht="24" thickBot="1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O1" s="119"/>
      <c r="P1" s="18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Q2" s="160"/>
      <c r="R2" s="160"/>
    </row>
    <row r="3" spans="1:150" s="190" customFormat="1" ht="75.75" customHeight="1" thickBot="1" x14ac:dyDescent="0.3">
      <c r="B3" s="274" t="s">
        <v>1</v>
      </c>
      <c r="C3" s="274"/>
      <c r="D3" s="188"/>
      <c r="E3" s="98" t="str">
        <f>'Model Inputs'!F5</f>
        <v>Canadian Niagara Power Inc.</v>
      </c>
      <c r="F3" s="235"/>
      <c r="G3" s="191"/>
      <c r="H3" s="192"/>
      <c r="I3" s="192"/>
      <c r="J3" s="192"/>
      <c r="K3" s="192"/>
      <c r="N3" s="204"/>
      <c r="O3" s="162">
        <v>1</v>
      </c>
      <c r="P3" s="162" t="s">
        <v>255</v>
      </c>
      <c r="Q3" s="189" t="s">
        <v>256</v>
      </c>
      <c r="R3" s="189" t="s">
        <v>203</v>
      </c>
      <c r="S3" s="189" t="s">
        <v>204</v>
      </c>
      <c r="T3" s="189" t="s">
        <v>205</v>
      </c>
      <c r="U3" s="189" t="s">
        <v>206</v>
      </c>
      <c r="V3" s="189" t="s">
        <v>207</v>
      </c>
      <c r="W3" s="189" t="s">
        <v>208</v>
      </c>
      <c r="X3" s="189" t="s">
        <v>209</v>
      </c>
      <c r="Y3" s="189" t="s">
        <v>210</v>
      </c>
      <c r="Z3" s="189" t="s">
        <v>211</v>
      </c>
      <c r="AA3" s="189" t="s">
        <v>212</v>
      </c>
      <c r="AB3" s="189" t="s">
        <v>261</v>
      </c>
      <c r="AC3" s="189" t="s">
        <v>262</v>
      </c>
      <c r="AD3" s="189" t="s">
        <v>213</v>
      </c>
      <c r="AE3" s="189" t="s">
        <v>263</v>
      </c>
      <c r="AF3" s="189" t="s">
        <v>258</v>
      </c>
      <c r="AG3" s="189" t="s">
        <v>259</v>
      </c>
      <c r="AH3" s="189" t="s">
        <v>214</v>
      </c>
      <c r="AI3" s="189" t="s">
        <v>215</v>
      </c>
      <c r="AJ3" s="189" t="s">
        <v>216</v>
      </c>
      <c r="AK3" s="189" t="s">
        <v>217</v>
      </c>
      <c r="AL3" s="189" t="s">
        <v>218</v>
      </c>
      <c r="AM3" s="189" t="s">
        <v>264</v>
      </c>
      <c r="AN3" s="189" t="s">
        <v>219</v>
      </c>
      <c r="AO3" s="189" t="s">
        <v>220</v>
      </c>
      <c r="AP3" s="189" t="s">
        <v>221</v>
      </c>
      <c r="AQ3" s="189" t="s">
        <v>222</v>
      </c>
      <c r="AR3" s="189" t="s">
        <v>223</v>
      </c>
      <c r="AS3" s="189" t="s">
        <v>224</v>
      </c>
      <c r="AT3" s="189" t="s">
        <v>257</v>
      </c>
      <c r="AU3" s="189" t="s">
        <v>225</v>
      </c>
      <c r="AV3" s="189" t="s">
        <v>226</v>
      </c>
      <c r="AW3" s="189" t="s">
        <v>227</v>
      </c>
      <c r="AX3" s="189" t="s">
        <v>228</v>
      </c>
      <c r="AY3" s="189" t="s">
        <v>229</v>
      </c>
      <c r="AZ3" s="189" t="s">
        <v>230</v>
      </c>
      <c r="BA3" s="189" t="s">
        <v>231</v>
      </c>
      <c r="BB3" s="189" t="s">
        <v>232</v>
      </c>
      <c r="BC3" s="189" t="s">
        <v>233</v>
      </c>
      <c r="BD3" s="189" t="s">
        <v>234</v>
      </c>
      <c r="BE3" s="189" t="s">
        <v>235</v>
      </c>
      <c r="BF3" s="189" t="s">
        <v>236</v>
      </c>
      <c r="BG3" s="189" t="s">
        <v>237</v>
      </c>
      <c r="BH3" s="189" t="s">
        <v>238</v>
      </c>
      <c r="BI3" s="189" t="s">
        <v>239</v>
      </c>
      <c r="BJ3" s="189" t="s">
        <v>240</v>
      </c>
      <c r="BK3" s="189" t="s">
        <v>241</v>
      </c>
      <c r="BL3" s="189" t="s">
        <v>242</v>
      </c>
      <c r="BM3" s="189" t="s">
        <v>243</v>
      </c>
      <c r="BN3" s="189" t="s">
        <v>244</v>
      </c>
      <c r="BO3" s="189" t="s">
        <v>245</v>
      </c>
      <c r="BP3" s="189" t="s">
        <v>265</v>
      </c>
      <c r="BQ3" s="189" t="s">
        <v>246</v>
      </c>
      <c r="BR3" s="189" t="s">
        <v>247</v>
      </c>
      <c r="BS3" s="189" t="s">
        <v>248</v>
      </c>
      <c r="BT3" s="189" t="s">
        <v>249</v>
      </c>
      <c r="BU3" s="189" t="s">
        <v>250</v>
      </c>
      <c r="BV3" s="189" t="s">
        <v>251</v>
      </c>
      <c r="BW3" s="189" t="s">
        <v>252</v>
      </c>
      <c r="BX3" s="189"/>
      <c r="BY3" s="189"/>
      <c r="BZ3" s="189"/>
      <c r="CA3" s="189"/>
      <c r="CB3" s="189"/>
      <c r="CC3" s="189"/>
      <c r="CD3" s="162"/>
      <c r="CE3" s="162"/>
      <c r="CF3" s="162"/>
      <c r="CG3" s="162"/>
      <c r="CH3" s="162"/>
      <c r="CI3" s="162"/>
      <c r="CJ3" s="162"/>
      <c r="CK3" s="162"/>
      <c r="CL3" s="162"/>
      <c r="ET3" s="230"/>
    </row>
    <row r="4" spans="1:150" s="224" customFormat="1" ht="101.25" customHeight="1" x14ac:dyDescent="0.25">
      <c r="E4" s="225"/>
      <c r="F4" s="275"/>
      <c r="G4" s="276"/>
      <c r="H4" s="277" t="s">
        <v>2</v>
      </c>
      <c r="I4" s="278"/>
      <c r="J4" s="278"/>
      <c r="K4" s="278"/>
      <c r="L4" s="278"/>
      <c r="M4" s="278"/>
      <c r="N4" s="226"/>
      <c r="O4" s="227">
        <v>2</v>
      </c>
      <c r="P4" s="227"/>
      <c r="Q4" s="228"/>
      <c r="R4" s="228"/>
      <c r="S4" s="228"/>
      <c r="T4" s="228"/>
      <c r="U4" s="228"/>
      <c r="V4" s="228"/>
      <c r="W4" s="228"/>
      <c r="X4" s="228"/>
      <c r="Y4" s="228"/>
      <c r="Z4" s="189"/>
      <c r="AA4" s="228"/>
      <c r="AB4" s="228"/>
      <c r="AC4" s="228"/>
      <c r="AD4" s="228"/>
      <c r="AE4" s="228"/>
      <c r="AF4" s="189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ET4" s="231"/>
    </row>
    <row r="5" spans="1:150" ht="38.25" x14ac:dyDescent="0.2">
      <c r="B5" s="5" t="s">
        <v>3</v>
      </c>
      <c r="D5" t="s">
        <v>4</v>
      </c>
      <c r="E5" s="2" t="s">
        <v>5</v>
      </c>
      <c r="F5" s="236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6" t="s">
        <v>253</v>
      </c>
      <c r="O5" s="109">
        <v>3</v>
      </c>
      <c r="CG5" s="51"/>
    </row>
    <row r="6" spans="1:150" x14ac:dyDescent="0.2">
      <c r="B6" s="5"/>
      <c r="F6" s="236"/>
      <c r="G6" s="99"/>
      <c r="H6" s="6"/>
      <c r="I6" s="6"/>
      <c r="J6" s="6"/>
      <c r="K6" s="6"/>
      <c r="O6" s="109">
        <v>4</v>
      </c>
      <c r="P6" s="109">
        <v>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72" t="s">
        <v>6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127"/>
      <c r="N7" s="207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7">
        <v>2</v>
      </c>
      <c r="E10" s="19" t="s">
        <v>8</v>
      </c>
      <c r="F10" s="237"/>
      <c r="G10" s="100">
        <f>HLOOKUP($E$3,$P$3:$CE$269,O10,TRUE)</f>
        <v>84173.97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9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7">
        <v>3</v>
      </c>
      <c r="E11" s="11" t="s">
        <v>9</v>
      </c>
      <c r="F11" s="237"/>
      <c r="G11" s="100">
        <f t="shared" ref="G11:G41" si="1">HLOOKUP($E$3,$P$3:$CE$269,O11,TRUE)</f>
        <v>215901.84</v>
      </c>
      <c r="H11" s="14"/>
      <c r="I11" s="14"/>
      <c r="J11" s="14"/>
      <c r="K11" s="14"/>
      <c r="L11" s="14"/>
      <c r="M11" s="14"/>
      <c r="N11" s="200"/>
      <c r="O11" s="109">
        <v>9</v>
      </c>
      <c r="P11" s="109">
        <v>0</v>
      </c>
      <c r="Q11" s="158">
        <v>9869497.2899999991</v>
      </c>
      <c r="R11" s="158">
        <v>149783.82999999999</v>
      </c>
      <c r="S11" s="158">
        <v>0</v>
      </c>
      <c r="T11" s="158">
        <v>374895</v>
      </c>
      <c r="U11" s="158">
        <v>138699.5</v>
      </c>
      <c r="V11" s="158">
        <v>2250685.5699999998</v>
      </c>
      <c r="W11" s="158">
        <v>215901.84</v>
      </c>
      <c r="X11" s="194">
        <v>13532.76</v>
      </c>
      <c r="Y11" s="158">
        <v>0</v>
      </c>
      <c r="Z11" s="158">
        <v>1109</v>
      </c>
      <c r="AA11" s="158">
        <v>0</v>
      </c>
      <c r="AB11" s="158">
        <v>1057176.43</v>
      </c>
      <c r="AC11" s="158">
        <v>910738.22</v>
      </c>
      <c r="AD11" s="158">
        <v>184411.47</v>
      </c>
      <c r="AE11" s="158">
        <v>284321.94</v>
      </c>
      <c r="AF11" s="158">
        <v>162739.13</v>
      </c>
      <c r="AG11" s="158">
        <v>7586.96</v>
      </c>
      <c r="AH11" s="158">
        <v>0</v>
      </c>
      <c r="AI11" s="158">
        <v>185263.03</v>
      </c>
      <c r="AJ11" s="158">
        <v>52572.32</v>
      </c>
      <c r="AK11" s="158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200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7">
        <v>4</v>
      </c>
      <c r="E12" s="11" t="s">
        <v>10</v>
      </c>
      <c r="F12" s="237"/>
      <c r="G12" s="100">
        <f t="shared" si="1"/>
        <v>121030.29</v>
      </c>
      <c r="H12" s="14"/>
      <c r="I12" s="14"/>
      <c r="J12" s="14"/>
      <c r="K12" s="14"/>
      <c r="L12" s="14"/>
      <c r="M12" s="14"/>
      <c r="N12" s="200"/>
      <c r="O12" s="109">
        <v>10</v>
      </c>
      <c r="P12" s="109">
        <v>0</v>
      </c>
      <c r="Q12" s="158">
        <v>0</v>
      </c>
      <c r="R12" s="158">
        <v>68738.7</v>
      </c>
      <c r="S12" s="158">
        <v>0</v>
      </c>
      <c r="T12" s="158">
        <v>35608</v>
      </c>
      <c r="U12" s="158">
        <v>14206.24</v>
      </c>
      <c r="V12" s="158">
        <v>102021.3</v>
      </c>
      <c r="W12" s="158">
        <v>121030.29</v>
      </c>
      <c r="X12" s="194">
        <v>74652.72</v>
      </c>
      <c r="Y12" s="158">
        <v>0</v>
      </c>
      <c r="Z12" s="158">
        <v>0</v>
      </c>
      <c r="AA12" s="158">
        <v>0</v>
      </c>
      <c r="AB12" s="158">
        <v>260701.56</v>
      </c>
      <c r="AC12" s="158">
        <v>0</v>
      </c>
      <c r="AD12" s="158">
        <v>0</v>
      </c>
      <c r="AE12" s="158">
        <v>0</v>
      </c>
      <c r="AF12" s="158">
        <v>31957.35</v>
      </c>
      <c r="AG12" s="158">
        <v>0</v>
      </c>
      <c r="AH12" s="158">
        <v>499.2</v>
      </c>
      <c r="AI12" s="158">
        <v>0</v>
      </c>
      <c r="AJ12" s="158">
        <v>25942.95</v>
      </c>
      <c r="AK12" s="158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200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7">
        <v>5</v>
      </c>
      <c r="E13" s="11" t="s">
        <v>11</v>
      </c>
      <c r="F13" s="237"/>
      <c r="G13" s="100">
        <f t="shared" si="1"/>
        <v>0</v>
      </c>
      <c r="H13" s="14"/>
      <c r="I13" s="93"/>
      <c r="J13" s="93"/>
      <c r="K13" s="93"/>
      <c r="L13" s="93"/>
      <c r="M13" s="93"/>
      <c r="N13" s="200"/>
      <c r="O13" s="109">
        <v>11</v>
      </c>
      <c r="P13" s="109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3898.61</v>
      </c>
      <c r="V13" s="158">
        <v>0</v>
      </c>
      <c r="W13" s="158">
        <v>0</v>
      </c>
      <c r="X13" s="194">
        <v>0</v>
      </c>
      <c r="Y13" s="158">
        <v>0</v>
      </c>
      <c r="Z13" s="158">
        <v>0</v>
      </c>
      <c r="AA13" s="158">
        <v>0</v>
      </c>
      <c r="AB13" s="158">
        <v>5897.59</v>
      </c>
      <c r="AC13" s="158">
        <v>205.05</v>
      </c>
      <c r="AD13" s="158">
        <v>0</v>
      </c>
      <c r="AE13" s="158">
        <v>241614.2</v>
      </c>
      <c r="AF13" s="158">
        <v>0</v>
      </c>
      <c r="AG13" s="158">
        <v>0</v>
      </c>
      <c r="AH13" s="158">
        <v>0</v>
      </c>
      <c r="AI13" s="158">
        <v>0</v>
      </c>
      <c r="AJ13" s="158">
        <v>7082.44</v>
      </c>
      <c r="AK13" s="158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200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7">
        <v>6</v>
      </c>
      <c r="E14" s="11" t="s">
        <v>12</v>
      </c>
      <c r="F14" s="237"/>
      <c r="G14" s="100">
        <f t="shared" si="1"/>
        <v>0</v>
      </c>
      <c r="H14" s="14"/>
      <c r="I14" s="93"/>
      <c r="J14" s="93"/>
      <c r="K14" s="93"/>
      <c r="L14" s="93"/>
      <c r="M14" s="93"/>
      <c r="N14" s="200"/>
      <c r="O14" s="109">
        <v>12</v>
      </c>
      <c r="P14" s="109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92123.4</v>
      </c>
      <c r="V14" s="158">
        <v>0</v>
      </c>
      <c r="W14" s="158">
        <v>0</v>
      </c>
      <c r="X14" s="194">
        <v>0</v>
      </c>
      <c r="Y14" s="158">
        <v>0</v>
      </c>
      <c r="Z14" s="158">
        <v>0</v>
      </c>
      <c r="AA14" s="158">
        <v>0</v>
      </c>
      <c r="AB14" s="158">
        <v>65150.11</v>
      </c>
      <c r="AC14" s="158">
        <v>151754.46</v>
      </c>
      <c r="AD14" s="158">
        <v>0</v>
      </c>
      <c r="AE14" s="158">
        <v>235.18</v>
      </c>
      <c r="AF14" s="158">
        <v>0</v>
      </c>
      <c r="AG14" s="158">
        <v>0</v>
      </c>
      <c r="AH14" s="158">
        <v>0</v>
      </c>
      <c r="AI14" s="158">
        <v>0</v>
      </c>
      <c r="AJ14" s="158">
        <v>89421.19</v>
      </c>
      <c r="AK14" s="158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200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7">
        <v>7</v>
      </c>
      <c r="E15" s="11" t="s">
        <v>13</v>
      </c>
      <c r="F15" s="237"/>
      <c r="G15" s="100">
        <f t="shared" si="1"/>
        <v>81977.460000000006</v>
      </c>
      <c r="H15" s="14"/>
      <c r="I15" s="94"/>
      <c r="J15" s="93"/>
      <c r="K15" s="93"/>
      <c r="L15" s="93"/>
      <c r="M15" s="93"/>
      <c r="N15" s="200"/>
      <c r="O15" s="109">
        <v>13</v>
      </c>
      <c r="P15" s="109">
        <v>0</v>
      </c>
      <c r="Q15" s="158">
        <v>1764999.92</v>
      </c>
      <c r="R15" s="158">
        <v>24654.17</v>
      </c>
      <c r="S15" s="158">
        <v>5488.75</v>
      </c>
      <c r="T15" s="158">
        <v>21602</v>
      </c>
      <c r="U15" s="158">
        <v>104.72</v>
      </c>
      <c r="V15" s="158">
        <v>227546.04</v>
      </c>
      <c r="W15" s="158">
        <v>81977.460000000006</v>
      </c>
      <c r="X15" s="194">
        <v>0</v>
      </c>
      <c r="Y15" s="158">
        <v>2394.2600000000002</v>
      </c>
      <c r="Z15" s="158">
        <v>0</v>
      </c>
      <c r="AA15" s="158">
        <v>0</v>
      </c>
      <c r="AB15" s="158">
        <v>133174.75</v>
      </c>
      <c r="AC15" s="158">
        <v>0</v>
      </c>
      <c r="AD15" s="158">
        <v>101302</v>
      </c>
      <c r="AE15" s="158">
        <v>0</v>
      </c>
      <c r="AF15" s="158">
        <v>1739.52</v>
      </c>
      <c r="AG15" s="158">
        <v>2986.73</v>
      </c>
      <c r="AH15" s="158">
        <v>7398.44</v>
      </c>
      <c r="AI15" s="158">
        <v>0</v>
      </c>
      <c r="AJ15" s="158">
        <v>0</v>
      </c>
      <c r="AK15" s="158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200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7">
        <v>8</v>
      </c>
      <c r="E16" s="11" t="s">
        <v>14</v>
      </c>
      <c r="F16" s="237"/>
      <c r="G16" s="100">
        <f t="shared" si="1"/>
        <v>7462.61</v>
      </c>
      <c r="H16" s="14"/>
      <c r="I16" s="93"/>
      <c r="J16" s="93"/>
      <c r="K16" s="93"/>
      <c r="L16" s="93"/>
      <c r="M16" s="93"/>
      <c r="N16" s="200"/>
      <c r="O16" s="109">
        <v>14</v>
      </c>
      <c r="P16" s="109">
        <v>0</v>
      </c>
      <c r="Q16" s="158">
        <v>1569136.44</v>
      </c>
      <c r="R16" s="158">
        <v>34816.080000000002</v>
      </c>
      <c r="S16" s="158">
        <v>0</v>
      </c>
      <c r="T16" s="158">
        <v>22211</v>
      </c>
      <c r="U16" s="158">
        <v>0</v>
      </c>
      <c r="V16" s="158">
        <v>382271.91</v>
      </c>
      <c r="W16" s="158">
        <v>7462.61</v>
      </c>
      <c r="X16" s="194">
        <v>13862.88</v>
      </c>
      <c r="Y16" s="158">
        <v>59.99</v>
      </c>
      <c r="Z16" s="158">
        <v>0</v>
      </c>
      <c r="AA16" s="158">
        <v>0</v>
      </c>
      <c r="AB16" s="158">
        <v>20207.7</v>
      </c>
      <c r="AC16" s="158">
        <v>0</v>
      </c>
      <c r="AD16" s="158">
        <v>137392.75</v>
      </c>
      <c r="AE16" s="158">
        <v>0</v>
      </c>
      <c r="AF16" s="158">
        <v>2272</v>
      </c>
      <c r="AG16" s="158">
        <v>485.78</v>
      </c>
      <c r="AH16" s="158">
        <v>20047.57</v>
      </c>
      <c r="AI16" s="158">
        <v>0</v>
      </c>
      <c r="AJ16" s="158">
        <v>0</v>
      </c>
      <c r="AK16" s="158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200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7">
        <v>9</v>
      </c>
      <c r="E17" s="11" t="s">
        <v>15</v>
      </c>
      <c r="F17" s="237"/>
      <c r="G17" s="100">
        <f t="shared" si="1"/>
        <v>166598.13</v>
      </c>
      <c r="H17" s="14"/>
      <c r="I17" s="93"/>
      <c r="J17" s="93"/>
      <c r="K17" s="93"/>
      <c r="L17" s="93"/>
      <c r="M17" s="93"/>
      <c r="N17" s="200"/>
      <c r="O17" s="109">
        <v>15</v>
      </c>
      <c r="P17" s="109">
        <v>0</v>
      </c>
      <c r="Q17" s="158">
        <v>17364468.77</v>
      </c>
      <c r="R17" s="158">
        <v>88029.89</v>
      </c>
      <c r="S17" s="158">
        <v>326278.17</v>
      </c>
      <c r="T17" s="158">
        <v>712885</v>
      </c>
      <c r="U17" s="158">
        <v>1743.88</v>
      </c>
      <c r="V17" s="158">
        <v>303256.98</v>
      </c>
      <c r="W17" s="158">
        <v>166598.13</v>
      </c>
      <c r="X17" s="194">
        <v>5649.51</v>
      </c>
      <c r="Y17" s="158">
        <v>148520.24</v>
      </c>
      <c r="Z17" s="158">
        <v>0</v>
      </c>
      <c r="AA17" s="158">
        <v>30447.17</v>
      </c>
      <c r="AB17" s="158">
        <v>577960.6</v>
      </c>
      <c r="AC17" s="158">
        <v>254058.66</v>
      </c>
      <c r="AD17" s="158">
        <v>136720.29</v>
      </c>
      <c r="AE17" s="158">
        <v>1626840.96</v>
      </c>
      <c r="AF17" s="158">
        <v>59159.44</v>
      </c>
      <c r="AG17" s="158">
        <v>17830.580000000002</v>
      </c>
      <c r="AH17" s="158">
        <v>85117.81</v>
      </c>
      <c r="AI17" s="158">
        <v>72010</v>
      </c>
      <c r="AJ17" s="158">
        <v>20422.41</v>
      </c>
      <c r="AK17" s="158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200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7">
        <v>10</v>
      </c>
      <c r="E18" s="11" t="s">
        <v>16</v>
      </c>
      <c r="F18" s="237"/>
      <c r="G18" s="100">
        <f t="shared" si="1"/>
        <v>40914.620000000003</v>
      </c>
      <c r="H18" s="14"/>
      <c r="I18" s="93"/>
      <c r="J18" s="93"/>
      <c r="K18" s="93"/>
      <c r="L18" s="93"/>
      <c r="M18" s="93"/>
      <c r="N18" s="200"/>
      <c r="O18" s="109">
        <v>16</v>
      </c>
      <c r="P18" s="109">
        <v>0</v>
      </c>
      <c r="Q18" s="158">
        <v>5953554.3499999996</v>
      </c>
      <c r="R18" s="158">
        <v>63198.79</v>
      </c>
      <c r="S18" s="158">
        <v>44053.23</v>
      </c>
      <c r="T18" s="158">
        <v>325791</v>
      </c>
      <c r="U18" s="158">
        <v>9544.64</v>
      </c>
      <c r="V18" s="158">
        <v>491299.71</v>
      </c>
      <c r="W18" s="158">
        <v>40914.620000000003</v>
      </c>
      <c r="X18" s="194">
        <v>7613.65</v>
      </c>
      <c r="Y18" s="158">
        <v>26074.400000000001</v>
      </c>
      <c r="Z18" s="158">
        <v>0</v>
      </c>
      <c r="AA18" s="158">
        <v>0</v>
      </c>
      <c r="AB18" s="158">
        <v>280398.64</v>
      </c>
      <c r="AC18" s="158">
        <v>132094.95000000001</v>
      </c>
      <c r="AD18" s="158">
        <v>11915.51</v>
      </c>
      <c r="AE18" s="158">
        <v>133523.39000000001</v>
      </c>
      <c r="AF18" s="158">
        <v>65616.09</v>
      </c>
      <c r="AG18" s="158">
        <v>1643.07</v>
      </c>
      <c r="AH18" s="158">
        <v>66416.33</v>
      </c>
      <c r="AI18" s="158">
        <v>27030.799999999999</v>
      </c>
      <c r="AJ18" s="158">
        <v>27515.360000000001</v>
      </c>
      <c r="AK18" s="158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200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7">
        <v>11</v>
      </c>
      <c r="E19" s="11" t="s">
        <v>17</v>
      </c>
      <c r="F19" s="237"/>
      <c r="G19" s="100">
        <f t="shared" si="1"/>
        <v>23190.44</v>
      </c>
      <c r="H19" s="14"/>
      <c r="I19" s="93"/>
      <c r="J19" s="93"/>
      <c r="K19" s="93"/>
      <c r="L19" s="93"/>
      <c r="M19" s="93"/>
      <c r="N19" s="200"/>
      <c r="O19" s="109">
        <v>17</v>
      </c>
      <c r="P19" s="109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902.43</v>
      </c>
      <c r="V19" s="158">
        <v>12964.43</v>
      </c>
      <c r="W19" s="158">
        <v>23190.44</v>
      </c>
      <c r="X19" s="194">
        <v>2367.9</v>
      </c>
      <c r="Y19" s="158">
        <v>0</v>
      </c>
      <c r="Z19" s="158">
        <v>2651.01</v>
      </c>
      <c r="AA19" s="158">
        <v>4401.92</v>
      </c>
      <c r="AB19" s="158">
        <v>16655.09</v>
      </c>
      <c r="AC19" s="158">
        <v>85270.76</v>
      </c>
      <c r="AD19" s="158">
        <v>8281.76</v>
      </c>
      <c r="AE19" s="158">
        <v>60162.14</v>
      </c>
      <c r="AF19" s="158">
        <v>5390.98</v>
      </c>
      <c r="AG19" s="158">
        <v>0</v>
      </c>
      <c r="AH19" s="158">
        <v>18674.52</v>
      </c>
      <c r="AI19" s="158">
        <v>350.34</v>
      </c>
      <c r="AJ19" s="158">
        <v>7313.53</v>
      </c>
      <c r="AK19" s="158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200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7">
        <v>12</v>
      </c>
      <c r="E20" s="11" t="s">
        <v>18</v>
      </c>
      <c r="F20" s="237"/>
      <c r="G20" s="100">
        <f t="shared" si="1"/>
        <v>91555.7</v>
      </c>
      <c r="H20" s="14"/>
      <c r="I20" s="93"/>
      <c r="J20" s="93"/>
      <c r="K20" s="93"/>
      <c r="L20" s="93"/>
      <c r="M20" s="93"/>
      <c r="N20" s="200"/>
      <c r="O20" s="109">
        <v>18</v>
      </c>
      <c r="P20" s="109">
        <v>0</v>
      </c>
      <c r="Q20" s="158">
        <v>12345992.15</v>
      </c>
      <c r="R20" s="158">
        <v>20201.34</v>
      </c>
      <c r="S20" s="158">
        <v>0</v>
      </c>
      <c r="T20" s="158">
        <v>523292</v>
      </c>
      <c r="U20" s="158">
        <v>203124.62</v>
      </c>
      <c r="V20" s="158">
        <v>39641.120000000003</v>
      </c>
      <c r="W20" s="158">
        <v>91555.7</v>
      </c>
      <c r="X20" s="194">
        <v>0</v>
      </c>
      <c r="Y20" s="158">
        <v>0</v>
      </c>
      <c r="Z20" s="158">
        <v>0</v>
      </c>
      <c r="AA20" s="158">
        <v>201011.12</v>
      </c>
      <c r="AB20" s="158">
        <v>550911.02</v>
      </c>
      <c r="AC20" s="158">
        <v>31777.65</v>
      </c>
      <c r="AD20" s="158">
        <v>185556.7</v>
      </c>
      <c r="AE20" s="158">
        <v>957625.98</v>
      </c>
      <c r="AF20" s="158">
        <v>6529.92</v>
      </c>
      <c r="AG20" s="158">
        <v>347.78</v>
      </c>
      <c r="AH20" s="158">
        <v>23333.599999999999</v>
      </c>
      <c r="AI20" s="158">
        <v>63653.07</v>
      </c>
      <c r="AJ20" s="158">
        <v>5572.49</v>
      </c>
      <c r="AK20" s="158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200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7">
        <v>13</v>
      </c>
      <c r="E21" s="11" t="s">
        <v>19</v>
      </c>
      <c r="F21" s="237"/>
      <c r="G21" s="100">
        <f t="shared" si="1"/>
        <v>100929.19</v>
      </c>
      <c r="H21" s="14"/>
      <c r="I21" s="95"/>
      <c r="J21" s="93"/>
      <c r="K21" s="93"/>
      <c r="L21" s="93"/>
      <c r="M21" s="93"/>
      <c r="N21" s="200"/>
      <c r="O21" s="109">
        <v>19</v>
      </c>
      <c r="P21" s="109">
        <v>0</v>
      </c>
      <c r="Q21" s="158">
        <v>11869667.09</v>
      </c>
      <c r="R21" s="158">
        <v>0</v>
      </c>
      <c r="S21" s="158">
        <v>0</v>
      </c>
      <c r="T21" s="158">
        <v>95752</v>
      </c>
      <c r="U21" s="158">
        <v>0</v>
      </c>
      <c r="V21" s="158">
        <v>307373.74</v>
      </c>
      <c r="W21" s="158">
        <v>100929.19</v>
      </c>
      <c r="X21" s="194">
        <v>0</v>
      </c>
      <c r="Y21" s="158">
        <v>0</v>
      </c>
      <c r="Z21" s="158">
        <v>0</v>
      </c>
      <c r="AA21" s="158">
        <v>0</v>
      </c>
      <c r="AB21" s="158">
        <v>1002559.12</v>
      </c>
      <c r="AC21" s="158">
        <v>140889.34</v>
      </c>
      <c r="AD21" s="158">
        <v>418953.2</v>
      </c>
      <c r="AE21" s="158">
        <v>250057.55</v>
      </c>
      <c r="AF21" s="158">
        <v>645.72</v>
      </c>
      <c r="AG21" s="158">
        <v>0</v>
      </c>
      <c r="AH21" s="158">
        <v>15623.76</v>
      </c>
      <c r="AI21" s="158">
        <v>33107.120000000003</v>
      </c>
      <c r="AJ21" s="158">
        <v>319.45</v>
      </c>
      <c r="AK21" s="158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200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7">
        <v>14</v>
      </c>
      <c r="E22" s="11" t="s">
        <v>20</v>
      </c>
      <c r="F22" s="237"/>
      <c r="G22" s="100">
        <f t="shared" si="1"/>
        <v>2524.86</v>
      </c>
      <c r="H22" s="14"/>
      <c r="I22" s="93"/>
      <c r="J22" s="93"/>
      <c r="K22" s="93"/>
      <c r="L22" s="93"/>
      <c r="M22" s="93"/>
      <c r="N22" s="200"/>
      <c r="O22" s="109">
        <v>20</v>
      </c>
      <c r="P22" s="109">
        <v>0</v>
      </c>
      <c r="Q22" s="158">
        <v>0</v>
      </c>
      <c r="R22" s="158">
        <v>0</v>
      </c>
      <c r="S22" s="158">
        <v>0</v>
      </c>
      <c r="T22" s="158">
        <v>512</v>
      </c>
      <c r="U22" s="158">
        <v>0</v>
      </c>
      <c r="V22" s="158">
        <v>14478.07</v>
      </c>
      <c r="W22" s="158">
        <v>2524.86</v>
      </c>
      <c r="X22" s="194">
        <v>9324.66</v>
      </c>
      <c r="Y22" s="158">
        <v>0</v>
      </c>
      <c r="Z22" s="158">
        <v>0</v>
      </c>
      <c r="AA22" s="158">
        <v>3672.17</v>
      </c>
      <c r="AB22" s="158">
        <v>78874.38</v>
      </c>
      <c r="AC22" s="158">
        <v>57631.51</v>
      </c>
      <c r="AD22" s="158">
        <v>-1281.0899999999999</v>
      </c>
      <c r="AE22" s="158">
        <v>217022.94</v>
      </c>
      <c r="AF22" s="158">
        <v>0</v>
      </c>
      <c r="AG22" s="158">
        <v>0</v>
      </c>
      <c r="AH22" s="158">
        <v>3235.88</v>
      </c>
      <c r="AI22" s="158">
        <v>54749.71</v>
      </c>
      <c r="AJ22" s="158">
        <v>14577.9</v>
      </c>
      <c r="AK22" s="158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200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7">
        <v>15</v>
      </c>
      <c r="E23" s="11" t="s">
        <v>21</v>
      </c>
      <c r="F23" s="237"/>
      <c r="G23" s="100">
        <f t="shared" si="1"/>
        <v>334239.28000000003</v>
      </c>
      <c r="H23" s="14"/>
      <c r="I23" s="93"/>
      <c r="J23" s="93"/>
      <c r="K23" s="93"/>
      <c r="L23" s="93"/>
      <c r="M23" s="93"/>
      <c r="N23" s="200"/>
      <c r="O23" s="109">
        <v>21</v>
      </c>
      <c r="P23" s="109">
        <v>0</v>
      </c>
      <c r="Q23" s="158">
        <v>8878129.5</v>
      </c>
      <c r="R23" s="158">
        <v>232490.34</v>
      </c>
      <c r="S23" s="158">
        <v>17913.37</v>
      </c>
      <c r="T23" s="158">
        <v>482360</v>
      </c>
      <c r="U23" s="158">
        <v>283538.81</v>
      </c>
      <c r="V23" s="158">
        <v>158083.09</v>
      </c>
      <c r="W23" s="158">
        <v>334239.28000000003</v>
      </c>
      <c r="X23" s="194">
        <v>97098.21</v>
      </c>
      <c r="Y23" s="158">
        <v>915.13</v>
      </c>
      <c r="Z23" s="158">
        <v>11979.3</v>
      </c>
      <c r="AA23" s="158">
        <v>18112.580000000002</v>
      </c>
      <c r="AB23" s="158">
        <v>466812.33</v>
      </c>
      <c r="AC23" s="158">
        <v>952150.07</v>
      </c>
      <c r="AD23" s="158">
        <v>97802.77</v>
      </c>
      <c r="AE23" s="158">
        <v>696527.35999999999</v>
      </c>
      <c r="AF23" s="158">
        <v>23257.64</v>
      </c>
      <c r="AG23" s="158">
        <v>1768.87</v>
      </c>
      <c r="AH23" s="158">
        <v>32296.13</v>
      </c>
      <c r="AI23" s="158">
        <v>219982.46</v>
      </c>
      <c r="AJ23" s="158">
        <v>299986.15999999997</v>
      </c>
      <c r="AK23" s="158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200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7">
        <v>16</v>
      </c>
      <c r="E24" s="11" t="s">
        <v>22</v>
      </c>
      <c r="F24" s="237"/>
      <c r="G24" s="100">
        <f t="shared" si="1"/>
        <v>2194.33</v>
      </c>
      <c r="H24" s="14"/>
      <c r="I24" s="14"/>
      <c r="J24" s="14"/>
      <c r="K24" s="14"/>
      <c r="L24" s="14"/>
      <c r="M24" s="14"/>
      <c r="N24" s="200"/>
      <c r="O24" s="109">
        <v>22</v>
      </c>
      <c r="P24" s="109">
        <v>0</v>
      </c>
      <c r="Q24" s="158">
        <v>2140891</v>
      </c>
      <c r="R24" s="158">
        <v>90474.61</v>
      </c>
      <c r="S24" s="158">
        <v>0</v>
      </c>
      <c r="T24" s="158">
        <v>280833</v>
      </c>
      <c r="U24" s="158">
        <v>0</v>
      </c>
      <c r="V24" s="158">
        <v>270192.75</v>
      </c>
      <c r="W24" s="158">
        <v>2194.33</v>
      </c>
      <c r="X24" s="194">
        <v>0</v>
      </c>
      <c r="Y24" s="158">
        <v>0</v>
      </c>
      <c r="Z24" s="158">
        <v>0</v>
      </c>
      <c r="AA24" s="158">
        <v>0</v>
      </c>
      <c r="AB24" s="158">
        <v>518092.94</v>
      </c>
      <c r="AC24" s="158">
        <v>1407.13</v>
      </c>
      <c r="AD24" s="158">
        <v>33905.800000000003</v>
      </c>
      <c r="AE24" s="158">
        <v>44942.559999999998</v>
      </c>
      <c r="AF24" s="158">
        <v>0</v>
      </c>
      <c r="AG24" s="158">
        <v>0</v>
      </c>
      <c r="AH24" s="158">
        <v>37797.5</v>
      </c>
      <c r="AI24" s="158">
        <v>406916.04</v>
      </c>
      <c r="AJ24" s="158">
        <v>196833.63</v>
      </c>
      <c r="AK24" s="158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200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7">
        <v>17</v>
      </c>
      <c r="E25" s="11" t="s">
        <v>23</v>
      </c>
      <c r="F25" s="237"/>
      <c r="G25" s="100">
        <f t="shared" si="1"/>
        <v>200</v>
      </c>
      <c r="H25" s="14"/>
      <c r="I25" s="14"/>
      <c r="J25" s="14"/>
      <c r="K25" s="14"/>
      <c r="L25" s="14"/>
      <c r="M25" s="14"/>
      <c r="N25" s="200"/>
      <c r="O25" s="109">
        <v>23</v>
      </c>
      <c r="P25" s="109">
        <v>0</v>
      </c>
      <c r="Q25" s="158">
        <v>4616874.88</v>
      </c>
      <c r="R25" s="158">
        <v>18431.29</v>
      </c>
      <c r="S25" s="158">
        <v>0</v>
      </c>
      <c r="T25" s="158">
        <v>0</v>
      </c>
      <c r="U25" s="158">
        <v>0</v>
      </c>
      <c r="V25" s="158">
        <v>106630.59</v>
      </c>
      <c r="W25" s="158">
        <v>200</v>
      </c>
      <c r="X25" s="194">
        <v>0</v>
      </c>
      <c r="Y25" s="158">
        <v>0</v>
      </c>
      <c r="Z25" s="158">
        <v>19885</v>
      </c>
      <c r="AA25" s="158">
        <v>0</v>
      </c>
      <c r="AB25" s="158">
        <v>373139.94</v>
      </c>
      <c r="AC25" s="158">
        <v>18504.23</v>
      </c>
      <c r="AD25" s="158">
        <v>2902.58</v>
      </c>
      <c r="AE25" s="158">
        <v>2344</v>
      </c>
      <c r="AF25" s="158">
        <v>654</v>
      </c>
      <c r="AG25" s="158">
        <v>0</v>
      </c>
      <c r="AH25" s="158">
        <v>3036.23</v>
      </c>
      <c r="AI25" s="158">
        <v>0</v>
      </c>
      <c r="AJ25" s="158">
        <v>8229.9699999999993</v>
      </c>
      <c r="AK25" s="158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200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7">
        <v>18</v>
      </c>
      <c r="E26" s="11" t="s">
        <v>24</v>
      </c>
      <c r="F26" s="237"/>
      <c r="G26" s="100">
        <f t="shared" si="1"/>
        <v>606768.23</v>
      </c>
      <c r="H26" s="14"/>
      <c r="I26" s="14"/>
      <c r="J26" s="14"/>
      <c r="K26" s="14"/>
      <c r="L26" s="14"/>
      <c r="M26" s="14"/>
      <c r="N26" s="200"/>
      <c r="O26" s="109">
        <v>24</v>
      </c>
      <c r="P26" s="109">
        <v>0</v>
      </c>
      <c r="Q26" s="158">
        <v>1844330.74</v>
      </c>
      <c r="R26" s="158">
        <v>450404.61</v>
      </c>
      <c r="S26" s="158">
        <v>2163.84</v>
      </c>
      <c r="T26" s="158">
        <v>393999</v>
      </c>
      <c r="U26" s="158">
        <v>236212.49</v>
      </c>
      <c r="V26" s="158">
        <v>0</v>
      </c>
      <c r="W26" s="158">
        <v>606768.23</v>
      </c>
      <c r="X26" s="194">
        <v>46868.3</v>
      </c>
      <c r="Y26" s="158">
        <v>19.36</v>
      </c>
      <c r="Z26" s="158">
        <v>8471.34</v>
      </c>
      <c r="AA26" s="158">
        <v>0</v>
      </c>
      <c r="AB26" s="158">
        <v>863008.36</v>
      </c>
      <c r="AC26" s="158">
        <v>0</v>
      </c>
      <c r="AD26" s="158">
        <v>0</v>
      </c>
      <c r="AE26" s="158">
        <v>29010.53</v>
      </c>
      <c r="AF26" s="158">
        <v>160212.85999999999</v>
      </c>
      <c r="AG26" s="158">
        <v>180965.66</v>
      </c>
      <c r="AH26" s="158">
        <v>18421.25</v>
      </c>
      <c r="AI26" s="158">
        <v>200803</v>
      </c>
      <c r="AJ26" s="158">
        <v>10504.34</v>
      </c>
      <c r="AK26" s="158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200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7">
        <v>19</v>
      </c>
      <c r="E27" s="11" t="s">
        <v>25</v>
      </c>
      <c r="F27" s="237"/>
      <c r="G27" s="100">
        <f t="shared" si="1"/>
        <v>0</v>
      </c>
      <c r="H27" s="14"/>
      <c r="I27" s="14"/>
      <c r="J27" s="14"/>
      <c r="K27" s="14"/>
      <c r="L27" s="14"/>
      <c r="M27" s="14"/>
      <c r="N27" s="200"/>
      <c r="O27" s="109">
        <v>25</v>
      </c>
      <c r="P27" s="109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94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200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7">
        <v>20</v>
      </c>
      <c r="E28" s="11" t="s">
        <v>26</v>
      </c>
      <c r="F28" s="237"/>
      <c r="G28" s="100">
        <f t="shared" si="1"/>
        <v>41571.360000000001</v>
      </c>
      <c r="H28" s="14"/>
      <c r="I28" s="14"/>
      <c r="J28" s="14"/>
      <c r="K28" s="14"/>
      <c r="L28" s="14"/>
      <c r="M28" s="14"/>
      <c r="N28" s="200"/>
      <c r="O28" s="109">
        <v>26</v>
      </c>
      <c r="P28" s="109">
        <v>0</v>
      </c>
      <c r="Q28" s="158">
        <v>7195.47</v>
      </c>
      <c r="R28" s="158">
        <v>54789.75</v>
      </c>
      <c r="S28" s="158">
        <v>0</v>
      </c>
      <c r="T28" s="158">
        <v>37847</v>
      </c>
      <c r="U28" s="158">
        <v>0</v>
      </c>
      <c r="V28" s="158">
        <v>0</v>
      </c>
      <c r="W28" s="158">
        <v>41571.360000000001</v>
      </c>
      <c r="X28" s="194">
        <v>8091.51</v>
      </c>
      <c r="Y28" s="158">
        <v>3356</v>
      </c>
      <c r="Z28" s="158">
        <v>0</v>
      </c>
      <c r="AA28" s="158">
        <v>32576.55</v>
      </c>
      <c r="AB28" s="158">
        <v>256500.78</v>
      </c>
      <c r="AC28" s="158">
        <v>103555.87</v>
      </c>
      <c r="AD28" s="158">
        <v>0</v>
      </c>
      <c r="AE28" s="158">
        <v>0</v>
      </c>
      <c r="AF28" s="158">
        <v>0</v>
      </c>
      <c r="AG28" s="158">
        <v>0</v>
      </c>
      <c r="AH28" s="158">
        <v>21416.43</v>
      </c>
      <c r="AI28" s="158">
        <v>0</v>
      </c>
      <c r="AJ28" s="158">
        <v>11086.57</v>
      </c>
      <c r="AK28" s="158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200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7">
        <v>21</v>
      </c>
      <c r="E29" s="11" t="s">
        <v>27</v>
      </c>
      <c r="F29" s="237"/>
      <c r="G29" s="100">
        <f t="shared" si="1"/>
        <v>0</v>
      </c>
      <c r="H29" s="14"/>
      <c r="I29" s="14"/>
      <c r="J29" s="14"/>
      <c r="K29" s="14"/>
      <c r="L29" s="14"/>
      <c r="M29" s="14"/>
      <c r="N29" s="200"/>
      <c r="O29" s="109">
        <v>27</v>
      </c>
      <c r="P29" s="109">
        <v>0</v>
      </c>
      <c r="Q29" s="158">
        <v>0</v>
      </c>
      <c r="R29" s="158">
        <v>4770.3</v>
      </c>
      <c r="S29" s="158">
        <v>50</v>
      </c>
      <c r="T29" s="158">
        <v>0</v>
      </c>
      <c r="U29" s="158">
        <v>560</v>
      </c>
      <c r="V29" s="158">
        <v>0</v>
      </c>
      <c r="W29" s="158">
        <v>0</v>
      </c>
      <c r="X29" s="194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3015.67</v>
      </c>
      <c r="AD29" s="158">
        <v>0</v>
      </c>
      <c r="AE29" s="158">
        <v>0</v>
      </c>
      <c r="AF29" s="158">
        <v>24521.54</v>
      </c>
      <c r="AG29" s="158">
        <v>891</v>
      </c>
      <c r="AH29" s="158">
        <v>0</v>
      </c>
      <c r="AI29" s="158">
        <v>98778.14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200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7"/>
      <c r="E30" s="16" t="s">
        <v>28</v>
      </c>
      <c r="F30" s="238"/>
      <c r="G30" s="100">
        <f t="shared" si="1"/>
        <v>1921232.3100000003</v>
      </c>
      <c r="H30" s="14"/>
      <c r="I30" s="17"/>
      <c r="J30" s="17"/>
      <c r="K30" s="17"/>
      <c r="L30" s="17"/>
      <c r="M30" s="17"/>
      <c r="N30" s="200"/>
      <c r="O30" s="109">
        <v>28</v>
      </c>
      <c r="P30" s="109">
        <v>0</v>
      </c>
      <c r="Q30" s="158">
        <v>89968911.539999992</v>
      </c>
      <c r="R30" s="158">
        <v>1412930.76</v>
      </c>
      <c r="S30" s="158">
        <v>395947.36</v>
      </c>
      <c r="T30" s="158">
        <v>3891030</v>
      </c>
      <c r="U30" s="158">
        <v>1829325.1599999995</v>
      </c>
      <c r="V30" s="158">
        <v>4666445.3</v>
      </c>
      <c r="W30" s="158">
        <v>1921232.3100000003</v>
      </c>
      <c r="X30" s="194">
        <v>347001.22</v>
      </c>
      <c r="Y30" s="158">
        <v>181339.37999999998</v>
      </c>
      <c r="Z30" s="158">
        <v>44095.649999999994</v>
      </c>
      <c r="AA30" s="158">
        <v>311699.65999999997</v>
      </c>
      <c r="AB30" s="158">
        <v>8164650.120000001</v>
      </c>
      <c r="AC30" s="158">
        <v>3541717.379999999</v>
      </c>
      <c r="AD30" s="158">
        <v>1723929.57</v>
      </c>
      <c r="AE30" s="158">
        <v>6896841.080000001</v>
      </c>
      <c r="AF30" s="158">
        <v>860057.40999999992</v>
      </c>
      <c r="AG30" s="158">
        <v>553058.32000000007</v>
      </c>
      <c r="AH30" s="158">
        <v>428161.3</v>
      </c>
      <c r="AI30" s="158">
        <v>1420487.3399999999</v>
      </c>
      <c r="AJ30" s="158">
        <v>964463.83</v>
      </c>
      <c r="AK30" s="158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200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7">
        <v>22</v>
      </c>
      <c r="E31" s="11" t="s">
        <v>30</v>
      </c>
      <c r="F31" s="237"/>
      <c r="G31" s="100">
        <f t="shared" si="1"/>
        <v>17716.64</v>
      </c>
      <c r="H31" s="14"/>
      <c r="I31" s="14"/>
      <c r="J31" s="14"/>
      <c r="K31" s="14"/>
      <c r="L31" s="14"/>
      <c r="M31" s="14"/>
      <c r="N31" s="200"/>
      <c r="O31" s="109">
        <v>29</v>
      </c>
      <c r="P31" s="109">
        <v>0</v>
      </c>
      <c r="Q31" s="158">
        <v>15206400.27</v>
      </c>
      <c r="R31" s="158">
        <v>90405.34</v>
      </c>
      <c r="S31" s="158">
        <v>0</v>
      </c>
      <c r="T31" s="158">
        <v>0</v>
      </c>
      <c r="U31" s="158">
        <v>132463.41</v>
      </c>
      <c r="V31" s="158">
        <v>0</v>
      </c>
      <c r="W31" s="158">
        <v>17716.64</v>
      </c>
      <c r="X31" s="194">
        <v>16975.310000000001</v>
      </c>
      <c r="Y31" s="158">
        <v>0</v>
      </c>
      <c r="Z31" s="158">
        <v>0</v>
      </c>
      <c r="AA31" s="158">
        <v>0</v>
      </c>
      <c r="AB31" s="158">
        <v>554201.59999999998</v>
      </c>
      <c r="AC31" s="158">
        <v>0</v>
      </c>
      <c r="AD31" s="158">
        <v>898131.66</v>
      </c>
      <c r="AE31" s="158">
        <v>0</v>
      </c>
      <c r="AF31" s="158">
        <v>155276.91</v>
      </c>
      <c r="AG31" s="158">
        <v>0</v>
      </c>
      <c r="AH31" s="158">
        <v>55771.29</v>
      </c>
      <c r="AI31" s="158">
        <v>14529.91</v>
      </c>
      <c r="AJ31" s="158">
        <v>0</v>
      </c>
      <c r="AK31" s="158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200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7">
        <v>23</v>
      </c>
      <c r="E32" s="11" t="s">
        <v>31</v>
      </c>
      <c r="F32" s="237"/>
      <c r="G32" s="100">
        <f t="shared" si="1"/>
        <v>67554.19</v>
      </c>
      <c r="H32" s="14"/>
      <c r="I32" s="14"/>
      <c r="J32" s="14"/>
      <c r="K32" s="14"/>
      <c r="L32" s="14"/>
      <c r="M32" s="14"/>
      <c r="N32" s="200"/>
      <c r="O32" s="109">
        <v>30</v>
      </c>
      <c r="P32" s="109">
        <v>0</v>
      </c>
      <c r="Q32" s="158">
        <v>378943.75</v>
      </c>
      <c r="R32" s="158">
        <v>3584.46</v>
      </c>
      <c r="S32" s="158">
        <v>0</v>
      </c>
      <c r="T32" s="158">
        <v>0</v>
      </c>
      <c r="U32" s="158">
        <v>26426.03</v>
      </c>
      <c r="V32" s="158">
        <v>632867.53</v>
      </c>
      <c r="W32" s="158">
        <v>67554.19</v>
      </c>
      <c r="X32" s="194">
        <v>0</v>
      </c>
      <c r="Y32" s="158">
        <v>0</v>
      </c>
      <c r="Z32" s="158">
        <v>8581.83</v>
      </c>
      <c r="AA32" s="158">
        <v>0</v>
      </c>
      <c r="AB32" s="158">
        <v>49088.84</v>
      </c>
      <c r="AC32" s="158">
        <v>0</v>
      </c>
      <c r="AD32" s="158">
        <v>0</v>
      </c>
      <c r="AE32" s="158">
        <v>0</v>
      </c>
      <c r="AF32" s="158">
        <v>28550.76</v>
      </c>
      <c r="AG32" s="158">
        <v>187309.79</v>
      </c>
      <c r="AH32" s="158">
        <v>14839.3</v>
      </c>
      <c r="AI32" s="158">
        <v>0</v>
      </c>
      <c r="AJ32" s="158">
        <v>11534.3</v>
      </c>
      <c r="AK32" s="158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200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7">
        <v>24</v>
      </c>
      <c r="E33" s="11" t="s">
        <v>32</v>
      </c>
      <c r="F33" s="237"/>
      <c r="G33" s="100">
        <f t="shared" si="1"/>
        <v>0</v>
      </c>
      <c r="H33" s="14"/>
      <c r="I33" s="14"/>
      <c r="J33" s="14"/>
      <c r="K33" s="14"/>
      <c r="L33" s="14"/>
      <c r="M33" s="14"/>
      <c r="N33" s="200"/>
      <c r="O33" s="109">
        <v>31</v>
      </c>
      <c r="P33" s="109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19661.48</v>
      </c>
      <c r="V33" s="158">
        <v>0</v>
      </c>
      <c r="W33" s="158">
        <v>0</v>
      </c>
      <c r="X33" s="194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6448.94</v>
      </c>
      <c r="AD33" s="158">
        <v>0</v>
      </c>
      <c r="AE33" s="158">
        <v>303622.19</v>
      </c>
      <c r="AF33" s="158">
        <v>0</v>
      </c>
      <c r="AG33" s="158">
        <v>0</v>
      </c>
      <c r="AH33" s="158">
        <v>0</v>
      </c>
      <c r="AI33" s="158">
        <v>0</v>
      </c>
      <c r="AJ33" s="158">
        <v>20696.72</v>
      </c>
      <c r="AK33" s="158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200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7">
        <v>25</v>
      </c>
      <c r="E34" s="11" t="s">
        <v>33</v>
      </c>
      <c r="F34" s="237"/>
      <c r="G34" s="100">
        <f t="shared" si="1"/>
        <v>39903.46</v>
      </c>
      <c r="H34" s="14"/>
      <c r="I34" s="14"/>
      <c r="J34" s="14"/>
      <c r="K34" s="14"/>
      <c r="L34" s="14"/>
      <c r="M34" s="14"/>
      <c r="N34" s="200"/>
      <c r="O34" s="109">
        <v>32</v>
      </c>
      <c r="P34" s="109">
        <v>0</v>
      </c>
      <c r="Q34" s="158">
        <v>5182407.3899999997</v>
      </c>
      <c r="R34" s="158">
        <v>27558.63</v>
      </c>
      <c r="S34" s="158">
        <v>7385</v>
      </c>
      <c r="T34" s="158">
        <v>146441</v>
      </c>
      <c r="U34" s="158">
        <v>2848.39</v>
      </c>
      <c r="V34" s="158">
        <v>398030.13</v>
      </c>
      <c r="W34" s="158">
        <v>39903.46</v>
      </c>
      <c r="X34" s="194">
        <v>69134.48</v>
      </c>
      <c r="Y34" s="158">
        <v>0</v>
      </c>
      <c r="Z34" s="158">
        <v>3633.16</v>
      </c>
      <c r="AA34" s="158">
        <v>0</v>
      </c>
      <c r="AB34" s="158">
        <v>331316.96000000002</v>
      </c>
      <c r="AC34" s="158">
        <v>0</v>
      </c>
      <c r="AD34" s="158">
        <v>76173.64</v>
      </c>
      <c r="AE34" s="158">
        <v>-79891.429999999993</v>
      </c>
      <c r="AF34" s="158">
        <v>72754.81</v>
      </c>
      <c r="AG34" s="158">
        <v>133371.54999999999</v>
      </c>
      <c r="AH34" s="158">
        <v>2871.04</v>
      </c>
      <c r="AI34" s="158">
        <v>0</v>
      </c>
      <c r="AJ34" s="158">
        <v>0</v>
      </c>
      <c r="AK34" s="158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200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7">
        <v>26</v>
      </c>
      <c r="E35" s="11" t="s">
        <v>34</v>
      </c>
      <c r="F35" s="237"/>
      <c r="G35" s="100">
        <f t="shared" si="1"/>
        <v>124428.39</v>
      </c>
      <c r="H35" s="14"/>
      <c r="I35" s="14"/>
      <c r="J35" s="14"/>
      <c r="K35" s="14"/>
      <c r="L35" s="14"/>
      <c r="M35" s="14"/>
      <c r="N35" s="200"/>
      <c r="O35" s="109">
        <v>33</v>
      </c>
      <c r="P35" s="109">
        <v>0</v>
      </c>
      <c r="Q35" s="158">
        <v>437921.47</v>
      </c>
      <c r="R35" s="158">
        <v>142201.03</v>
      </c>
      <c r="S35" s="158">
        <v>0</v>
      </c>
      <c r="T35" s="158">
        <v>11776</v>
      </c>
      <c r="U35" s="158">
        <v>43518.94</v>
      </c>
      <c r="V35" s="158">
        <v>218968.75</v>
      </c>
      <c r="W35" s="158">
        <v>124428.39</v>
      </c>
      <c r="X35" s="194">
        <v>60396.36</v>
      </c>
      <c r="Y35" s="158">
        <v>0</v>
      </c>
      <c r="Z35" s="158">
        <v>3913</v>
      </c>
      <c r="AA35" s="158">
        <v>30109.119999999999</v>
      </c>
      <c r="AB35" s="158">
        <v>153519.38</v>
      </c>
      <c r="AC35" s="158">
        <v>26082.13</v>
      </c>
      <c r="AD35" s="158">
        <v>152189.6</v>
      </c>
      <c r="AE35" s="158">
        <v>576172.68000000005</v>
      </c>
      <c r="AF35" s="158">
        <v>52195.12</v>
      </c>
      <c r="AG35" s="158">
        <v>85386.98</v>
      </c>
      <c r="AH35" s="158">
        <v>16596.189999999999</v>
      </c>
      <c r="AI35" s="158">
        <v>85217.47</v>
      </c>
      <c r="AJ35" s="158">
        <v>58909.73</v>
      </c>
      <c r="AK35" s="158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200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7">
        <v>27</v>
      </c>
      <c r="E36" s="11" t="s">
        <v>35</v>
      </c>
      <c r="F36" s="237"/>
      <c r="G36" s="100">
        <f t="shared" si="1"/>
        <v>394076</v>
      </c>
      <c r="H36" s="14"/>
      <c r="I36" s="14"/>
      <c r="J36" s="14"/>
      <c r="K36" s="14"/>
      <c r="L36" s="14"/>
      <c r="M36" s="14"/>
      <c r="N36" s="200"/>
      <c r="O36" s="109">
        <v>34</v>
      </c>
      <c r="P36" s="109">
        <v>0</v>
      </c>
      <c r="Q36" s="158">
        <v>-477395.95</v>
      </c>
      <c r="R36" s="158">
        <v>579215.57999999996</v>
      </c>
      <c r="S36" s="158">
        <v>0</v>
      </c>
      <c r="T36" s="158">
        <v>74389</v>
      </c>
      <c r="U36" s="158">
        <v>169727.12</v>
      </c>
      <c r="V36" s="158">
        <v>1369351.92</v>
      </c>
      <c r="W36" s="158">
        <v>394076</v>
      </c>
      <c r="X36" s="194">
        <v>42826.38</v>
      </c>
      <c r="Y36" s="158">
        <v>0</v>
      </c>
      <c r="Z36" s="158">
        <v>3910</v>
      </c>
      <c r="AA36" s="158">
        <v>165548.66</v>
      </c>
      <c r="AB36" s="158">
        <v>223643.29</v>
      </c>
      <c r="AC36" s="158">
        <v>610742.36</v>
      </c>
      <c r="AD36" s="158">
        <v>333743.15999999997</v>
      </c>
      <c r="AE36" s="158">
        <v>0</v>
      </c>
      <c r="AF36" s="158">
        <v>104476.7</v>
      </c>
      <c r="AG36" s="158">
        <v>0</v>
      </c>
      <c r="AH36" s="158">
        <v>44140.67</v>
      </c>
      <c r="AI36" s="158">
        <v>140801.51999999999</v>
      </c>
      <c r="AJ36" s="158">
        <v>96232.42</v>
      </c>
      <c r="AK36" s="158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200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7">
        <v>28</v>
      </c>
      <c r="E37" s="11" t="s">
        <v>36</v>
      </c>
      <c r="F37" s="237"/>
      <c r="G37" s="100">
        <f t="shared" si="1"/>
        <v>249251.43</v>
      </c>
      <c r="H37" s="14"/>
      <c r="I37" s="14"/>
      <c r="J37" s="14"/>
      <c r="K37" s="14"/>
      <c r="L37" s="14"/>
      <c r="M37" s="14"/>
      <c r="N37" s="200"/>
      <c r="O37" s="109">
        <v>35</v>
      </c>
      <c r="P37" s="109">
        <v>0</v>
      </c>
      <c r="Q37" s="158">
        <v>0</v>
      </c>
      <c r="R37" s="158">
        <v>175087.23</v>
      </c>
      <c r="S37" s="158">
        <v>0</v>
      </c>
      <c r="T37" s="158">
        <v>0</v>
      </c>
      <c r="U37" s="158">
        <v>406028.46</v>
      </c>
      <c r="V37" s="158">
        <v>250130.15</v>
      </c>
      <c r="W37" s="158">
        <v>249251.43</v>
      </c>
      <c r="X37" s="194">
        <v>48978.79</v>
      </c>
      <c r="Y37" s="158">
        <v>0</v>
      </c>
      <c r="Z37" s="158">
        <v>0</v>
      </c>
      <c r="AA37" s="158">
        <v>78366.91</v>
      </c>
      <c r="AB37" s="158">
        <v>44591.97</v>
      </c>
      <c r="AC37" s="158">
        <v>400290.3</v>
      </c>
      <c r="AD37" s="158">
        <v>322602.39</v>
      </c>
      <c r="AE37" s="158">
        <v>141701.18</v>
      </c>
      <c r="AF37" s="158">
        <v>120044.13</v>
      </c>
      <c r="AG37" s="158">
        <v>294145.8</v>
      </c>
      <c r="AH37" s="158">
        <v>52560.25</v>
      </c>
      <c r="AI37" s="158">
        <v>152717.93</v>
      </c>
      <c r="AJ37" s="158">
        <v>877190.88</v>
      </c>
      <c r="AK37" s="158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200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7">
        <v>29</v>
      </c>
      <c r="E38" s="11" t="s">
        <v>37</v>
      </c>
      <c r="F38" s="237"/>
      <c r="G38" s="100">
        <f t="shared" si="1"/>
        <v>530239.96</v>
      </c>
      <c r="H38" s="14"/>
      <c r="I38" s="14"/>
      <c r="J38" s="14"/>
      <c r="K38" s="14"/>
      <c r="L38" s="14"/>
      <c r="M38" s="14"/>
      <c r="N38" s="200"/>
      <c r="O38" s="109">
        <v>36</v>
      </c>
      <c r="P38" s="109">
        <v>0</v>
      </c>
      <c r="Q38" s="158">
        <v>5027365.12</v>
      </c>
      <c r="R38" s="158">
        <v>3620096.51</v>
      </c>
      <c r="S38" s="158">
        <v>53478.62</v>
      </c>
      <c r="T38" s="158">
        <v>0</v>
      </c>
      <c r="U38" s="158">
        <v>425892.03</v>
      </c>
      <c r="V38" s="158">
        <v>596249.09</v>
      </c>
      <c r="W38" s="158">
        <v>530239.96</v>
      </c>
      <c r="X38" s="194">
        <v>42737.54</v>
      </c>
      <c r="Y38" s="158">
        <v>0</v>
      </c>
      <c r="Z38" s="158">
        <v>9577</v>
      </c>
      <c r="AA38" s="158">
        <v>54099.03</v>
      </c>
      <c r="AB38" s="158">
        <v>895949.08</v>
      </c>
      <c r="AC38" s="158">
        <v>545490.51</v>
      </c>
      <c r="AD38" s="158">
        <v>270686.78000000003</v>
      </c>
      <c r="AE38" s="158">
        <v>1044572.7</v>
      </c>
      <c r="AF38" s="158">
        <v>155306.53</v>
      </c>
      <c r="AG38" s="158">
        <v>144224.16</v>
      </c>
      <c r="AH38" s="158">
        <v>91525.37</v>
      </c>
      <c r="AI38" s="158">
        <v>460911.75</v>
      </c>
      <c r="AJ38" s="158">
        <v>128272.98</v>
      </c>
      <c r="AK38" s="158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200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7">
        <v>30</v>
      </c>
      <c r="E39" s="11" t="s">
        <v>38</v>
      </c>
      <c r="F39" s="237"/>
      <c r="G39" s="100">
        <f t="shared" si="1"/>
        <v>2154.81</v>
      </c>
      <c r="H39" s="14"/>
      <c r="I39" s="14"/>
      <c r="J39" s="14"/>
      <c r="K39" s="14"/>
      <c r="L39" s="14"/>
      <c r="M39" s="14"/>
      <c r="N39" s="200"/>
      <c r="O39" s="109">
        <v>37</v>
      </c>
      <c r="P39" s="109">
        <v>0</v>
      </c>
      <c r="Q39" s="158">
        <v>594864.75</v>
      </c>
      <c r="R39" s="158">
        <v>0</v>
      </c>
      <c r="S39" s="158">
        <v>0</v>
      </c>
      <c r="T39" s="158">
        <v>808</v>
      </c>
      <c r="U39" s="158">
        <v>46781.84</v>
      </c>
      <c r="V39" s="158">
        <v>40302.980000000003</v>
      </c>
      <c r="W39" s="158">
        <v>2154.81</v>
      </c>
      <c r="X39" s="194">
        <v>1490.93</v>
      </c>
      <c r="Y39" s="158">
        <v>0</v>
      </c>
      <c r="Z39" s="158">
        <v>0</v>
      </c>
      <c r="AA39" s="158">
        <v>0</v>
      </c>
      <c r="AB39" s="158">
        <v>26515.71</v>
      </c>
      <c r="AC39" s="158">
        <v>47198.31</v>
      </c>
      <c r="AD39" s="158">
        <v>-5575.29</v>
      </c>
      <c r="AE39" s="158">
        <v>0</v>
      </c>
      <c r="AF39" s="158">
        <v>5018.88</v>
      </c>
      <c r="AG39" s="158">
        <v>0</v>
      </c>
      <c r="AH39" s="158">
        <v>1346.22</v>
      </c>
      <c r="AI39" s="158">
        <v>0</v>
      </c>
      <c r="AJ39" s="158">
        <v>25403.8</v>
      </c>
      <c r="AK39" s="158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200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7">
        <v>31</v>
      </c>
      <c r="E40" s="11" t="s">
        <v>39</v>
      </c>
      <c r="F40" s="237"/>
      <c r="G40" s="100">
        <f t="shared" si="1"/>
        <v>38309.9</v>
      </c>
      <c r="H40" s="14"/>
      <c r="I40" s="14"/>
      <c r="J40" s="14"/>
      <c r="K40" s="14"/>
      <c r="L40" s="14"/>
      <c r="M40" s="14"/>
      <c r="N40" s="200"/>
      <c r="O40" s="109">
        <v>38</v>
      </c>
      <c r="P40" s="109">
        <v>0</v>
      </c>
      <c r="Q40" s="158">
        <v>512173.02</v>
      </c>
      <c r="R40" s="158">
        <v>0</v>
      </c>
      <c r="S40" s="158">
        <v>0</v>
      </c>
      <c r="T40" s="158">
        <v>5844</v>
      </c>
      <c r="U40" s="158">
        <v>10907.79</v>
      </c>
      <c r="V40" s="158">
        <v>659768.65</v>
      </c>
      <c r="W40" s="158">
        <v>38309.9</v>
      </c>
      <c r="X40" s="194">
        <v>35171.269999999997</v>
      </c>
      <c r="Y40" s="158">
        <v>0</v>
      </c>
      <c r="Z40" s="158">
        <v>5267.63</v>
      </c>
      <c r="AA40" s="158">
        <v>100353.36</v>
      </c>
      <c r="AB40" s="158">
        <v>541188.97</v>
      </c>
      <c r="AC40" s="158">
        <v>712568.86</v>
      </c>
      <c r="AD40" s="158">
        <v>42252.58</v>
      </c>
      <c r="AE40" s="158">
        <v>0</v>
      </c>
      <c r="AF40" s="158">
        <v>75307.62</v>
      </c>
      <c r="AG40" s="158">
        <v>10297.459999999999</v>
      </c>
      <c r="AH40" s="158">
        <v>3904.8</v>
      </c>
      <c r="AI40" s="158">
        <v>86306.69</v>
      </c>
      <c r="AJ40" s="158">
        <v>67613.78</v>
      </c>
      <c r="AK40" s="158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200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7">
        <v>32</v>
      </c>
      <c r="E41" s="11" t="s">
        <v>40</v>
      </c>
      <c r="F41" s="237"/>
      <c r="G41" s="100">
        <f t="shared" si="1"/>
        <v>50028.98</v>
      </c>
      <c r="H41" s="14"/>
      <c r="I41" s="14"/>
      <c r="J41" s="14"/>
      <c r="K41" s="14"/>
      <c r="L41" s="14"/>
      <c r="M41" s="14"/>
      <c r="N41" s="200"/>
      <c r="O41" s="109">
        <v>39</v>
      </c>
      <c r="P41" s="109">
        <v>0</v>
      </c>
      <c r="Q41" s="158">
        <v>0</v>
      </c>
      <c r="R41" s="158">
        <v>0</v>
      </c>
      <c r="S41" s="158">
        <v>0</v>
      </c>
      <c r="T41" s="158">
        <v>198</v>
      </c>
      <c r="U41" s="158">
        <v>446343.79</v>
      </c>
      <c r="V41" s="158">
        <v>459989.9</v>
      </c>
      <c r="W41" s="158">
        <v>50028.98</v>
      </c>
      <c r="X41" s="194">
        <v>134226</v>
      </c>
      <c r="Y41" s="158">
        <v>0</v>
      </c>
      <c r="Z41" s="158">
        <v>1914.75</v>
      </c>
      <c r="AA41" s="158">
        <v>138620.22</v>
      </c>
      <c r="AB41" s="158">
        <v>407348.17</v>
      </c>
      <c r="AC41" s="158">
        <v>215322.6</v>
      </c>
      <c r="AD41" s="158">
        <v>210351.58</v>
      </c>
      <c r="AE41" s="158">
        <v>637148.64</v>
      </c>
      <c r="AF41" s="158">
        <v>253921.29</v>
      </c>
      <c r="AG41" s="158">
        <v>343309.74</v>
      </c>
      <c r="AH41" s="158">
        <v>912.47</v>
      </c>
      <c r="AI41" s="158">
        <v>202472.11</v>
      </c>
      <c r="AJ41" s="158">
        <v>109785.65</v>
      </c>
      <c r="AK41" s="158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200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7">
        <v>33</v>
      </c>
      <c r="E42" s="11" t="s">
        <v>41</v>
      </c>
      <c r="F42" s="237"/>
      <c r="G42" s="100">
        <f t="shared" ref="G42:G73" si="2">HLOOKUP($E$3,$P$3:$CE$269,O42,TRUE)</f>
        <v>90458.559999999998</v>
      </c>
      <c r="H42" s="14"/>
      <c r="I42" s="14"/>
      <c r="J42" s="14"/>
      <c r="K42" s="14"/>
      <c r="L42" s="14"/>
      <c r="M42" s="14"/>
      <c r="N42" s="200"/>
      <c r="O42" s="109">
        <v>40</v>
      </c>
      <c r="P42" s="109">
        <v>0</v>
      </c>
      <c r="Q42" s="158">
        <v>403410.4</v>
      </c>
      <c r="R42" s="158">
        <v>0</v>
      </c>
      <c r="S42" s="158">
        <v>1144.1199999999999</v>
      </c>
      <c r="T42" s="158">
        <v>16192</v>
      </c>
      <c r="U42" s="158">
        <v>34106.300000000003</v>
      </c>
      <c r="V42" s="158">
        <v>165628.25</v>
      </c>
      <c r="W42" s="158">
        <v>90458.559999999998</v>
      </c>
      <c r="X42" s="194">
        <v>52054.6</v>
      </c>
      <c r="Y42" s="158">
        <v>0</v>
      </c>
      <c r="Z42" s="158">
        <v>1882</v>
      </c>
      <c r="AA42" s="158">
        <v>36648.33</v>
      </c>
      <c r="AB42" s="158">
        <v>172225.66</v>
      </c>
      <c r="AC42" s="158">
        <v>65563.460000000006</v>
      </c>
      <c r="AD42" s="158">
        <v>90048.84</v>
      </c>
      <c r="AE42" s="158">
        <v>85108.1</v>
      </c>
      <c r="AF42" s="158">
        <v>119190.34</v>
      </c>
      <c r="AG42" s="158">
        <v>91968.02</v>
      </c>
      <c r="AH42" s="158">
        <v>4808.6899999999996</v>
      </c>
      <c r="AI42" s="158">
        <v>69576.73</v>
      </c>
      <c r="AJ42" s="158">
        <v>-43836.51</v>
      </c>
      <c r="AK42" s="158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200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7">
        <v>34</v>
      </c>
      <c r="E43" s="11" t="s">
        <v>42</v>
      </c>
      <c r="F43" s="237"/>
      <c r="G43" s="100">
        <f t="shared" si="2"/>
        <v>454529.84</v>
      </c>
      <c r="H43" s="14"/>
      <c r="I43" s="14"/>
      <c r="J43" s="14"/>
      <c r="K43" s="14"/>
      <c r="L43" s="14"/>
      <c r="M43" s="14"/>
      <c r="N43" s="200"/>
      <c r="O43" s="109">
        <v>41</v>
      </c>
      <c r="P43" s="109">
        <v>0</v>
      </c>
      <c r="Q43" s="158">
        <v>53495.44</v>
      </c>
      <c r="R43" s="158">
        <v>478280.44</v>
      </c>
      <c r="S43" s="158">
        <v>37351.61</v>
      </c>
      <c r="T43" s="158">
        <v>631</v>
      </c>
      <c r="U43" s="158">
        <v>0</v>
      </c>
      <c r="V43" s="158">
        <v>175851.78</v>
      </c>
      <c r="W43" s="158">
        <v>454529.84</v>
      </c>
      <c r="X43" s="194">
        <v>0</v>
      </c>
      <c r="Y43" s="158">
        <v>0</v>
      </c>
      <c r="Z43" s="158">
        <v>0</v>
      </c>
      <c r="AA43" s="158">
        <v>168034.94</v>
      </c>
      <c r="AB43" s="158">
        <v>525062.79</v>
      </c>
      <c r="AC43" s="158">
        <v>0</v>
      </c>
      <c r="AD43" s="158">
        <v>223203.17</v>
      </c>
      <c r="AE43" s="158">
        <v>0</v>
      </c>
      <c r="AF43" s="158">
        <v>249595.24</v>
      </c>
      <c r="AG43" s="158">
        <v>432165.66</v>
      </c>
      <c r="AH43" s="158">
        <v>2985.84</v>
      </c>
      <c r="AI43" s="158">
        <v>3884.15</v>
      </c>
      <c r="AJ43" s="158">
        <v>91343.71</v>
      </c>
      <c r="AK43" s="158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200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7"/>
      <c r="E44" s="16" t="s">
        <v>43</v>
      </c>
      <c r="F44" s="238"/>
      <c r="G44" s="100">
        <f t="shared" si="2"/>
        <v>2058652.16</v>
      </c>
      <c r="H44" s="14"/>
      <c r="I44" s="17"/>
      <c r="J44" s="17"/>
      <c r="K44" s="17"/>
      <c r="L44" s="17"/>
      <c r="M44" s="17"/>
      <c r="N44" s="200"/>
      <c r="O44" s="109">
        <v>42</v>
      </c>
      <c r="P44" s="109">
        <v>0</v>
      </c>
      <c r="Q44" s="158">
        <v>27319585.66</v>
      </c>
      <c r="R44" s="158">
        <v>5116429.22</v>
      </c>
      <c r="S44" s="158">
        <v>99359.35</v>
      </c>
      <c r="T44" s="158">
        <v>256279</v>
      </c>
      <c r="U44" s="158">
        <v>1764705.5800000003</v>
      </c>
      <c r="V44" s="158">
        <v>4967139.13</v>
      </c>
      <c r="W44" s="158">
        <v>2058652.16</v>
      </c>
      <c r="X44" s="194">
        <v>503991.66</v>
      </c>
      <c r="Y44" s="158">
        <v>0</v>
      </c>
      <c r="Z44" s="158">
        <v>38679.369999999995</v>
      </c>
      <c r="AA44" s="158">
        <v>771780.56999999983</v>
      </c>
      <c r="AB44" s="158">
        <v>3924652.42</v>
      </c>
      <c r="AC44" s="158">
        <v>2629707.4700000002</v>
      </c>
      <c r="AD44" s="158">
        <v>2613808.11</v>
      </c>
      <c r="AE44" s="158">
        <v>2708434.06</v>
      </c>
      <c r="AF44" s="158">
        <v>1391638.33</v>
      </c>
      <c r="AG44" s="158">
        <v>1722179.16</v>
      </c>
      <c r="AH44" s="158">
        <v>292262.12999999995</v>
      </c>
      <c r="AI44" s="158">
        <v>1216418.2599999998</v>
      </c>
      <c r="AJ44" s="158">
        <v>1443147.46</v>
      </c>
      <c r="AK44" s="158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200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7">
        <v>35</v>
      </c>
      <c r="E45" s="11" t="s">
        <v>44</v>
      </c>
      <c r="F45" s="237"/>
      <c r="G45" s="100">
        <f t="shared" si="2"/>
        <v>164163.76</v>
      </c>
      <c r="H45" s="14"/>
      <c r="I45" s="14"/>
      <c r="J45" s="14"/>
      <c r="K45" s="14"/>
      <c r="L45" s="14"/>
      <c r="M45" s="14"/>
      <c r="N45" s="200"/>
      <c r="O45" s="109">
        <v>43</v>
      </c>
      <c r="P45" s="109">
        <v>0</v>
      </c>
      <c r="Q45" s="158">
        <v>2094787.82</v>
      </c>
      <c r="R45" s="158">
        <v>88002.17</v>
      </c>
      <c r="S45" s="158">
        <v>2954.88</v>
      </c>
      <c r="T45" s="158">
        <v>205719</v>
      </c>
      <c r="U45" s="158">
        <v>301184.03000000003</v>
      </c>
      <c r="V45" s="158">
        <v>0</v>
      </c>
      <c r="W45" s="158">
        <v>164163.76</v>
      </c>
      <c r="X45" s="194">
        <v>64735.97</v>
      </c>
      <c r="Y45" s="158">
        <v>0</v>
      </c>
      <c r="Z45" s="158">
        <v>0</v>
      </c>
      <c r="AA45" s="158">
        <v>112275.14</v>
      </c>
      <c r="AB45" s="158">
        <v>150866.29</v>
      </c>
      <c r="AC45" s="158">
        <v>888087.96</v>
      </c>
      <c r="AD45" s="158">
        <v>300225.23</v>
      </c>
      <c r="AE45" s="158">
        <v>0</v>
      </c>
      <c r="AF45" s="158">
        <v>129856.7</v>
      </c>
      <c r="AG45" s="158">
        <v>0</v>
      </c>
      <c r="AH45" s="158">
        <v>0</v>
      </c>
      <c r="AI45" s="158">
        <v>219677.82</v>
      </c>
      <c r="AJ45" s="158">
        <v>51418.81</v>
      </c>
      <c r="AK45" s="158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200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7">
        <v>36</v>
      </c>
      <c r="E46" s="11" t="s">
        <v>45</v>
      </c>
      <c r="F46" s="237"/>
      <c r="G46" s="100">
        <f t="shared" si="2"/>
        <v>77993.22</v>
      </c>
      <c r="H46" s="14"/>
      <c r="I46" s="14"/>
      <c r="J46" s="14"/>
      <c r="K46" s="14"/>
      <c r="L46" s="14"/>
      <c r="M46" s="14"/>
      <c r="N46" s="200"/>
      <c r="O46" s="109">
        <v>44</v>
      </c>
      <c r="P46" s="109">
        <v>0</v>
      </c>
      <c r="Q46" s="158">
        <v>113733.48</v>
      </c>
      <c r="R46" s="158">
        <v>118899.73</v>
      </c>
      <c r="S46" s="158">
        <v>29966.82</v>
      </c>
      <c r="T46" s="158">
        <v>276307</v>
      </c>
      <c r="U46" s="158">
        <v>590733.74</v>
      </c>
      <c r="V46" s="158">
        <v>359378.34</v>
      </c>
      <c r="W46" s="158">
        <v>77993.22</v>
      </c>
      <c r="X46" s="194">
        <v>116105.83</v>
      </c>
      <c r="Y46" s="158">
        <v>41011.910000000003</v>
      </c>
      <c r="Z46" s="158">
        <v>0</v>
      </c>
      <c r="AA46" s="158">
        <v>60289.45</v>
      </c>
      <c r="AB46" s="158">
        <v>219200.7</v>
      </c>
      <c r="AC46" s="158">
        <v>392107.6</v>
      </c>
      <c r="AD46" s="158">
        <v>68084.27</v>
      </c>
      <c r="AE46" s="158">
        <v>725792.47</v>
      </c>
      <c r="AF46" s="158">
        <v>180848.45</v>
      </c>
      <c r="AG46" s="158">
        <v>0</v>
      </c>
      <c r="AH46" s="158">
        <v>73579.75</v>
      </c>
      <c r="AI46" s="158">
        <v>122915.59</v>
      </c>
      <c r="AJ46" s="158">
        <v>223862.31</v>
      </c>
      <c r="AK46" s="158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200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7">
        <v>37</v>
      </c>
      <c r="E47" s="11" t="s">
        <v>46</v>
      </c>
      <c r="F47" s="237"/>
      <c r="G47" s="100">
        <f t="shared" si="2"/>
        <v>423352.82</v>
      </c>
      <c r="H47" s="14"/>
      <c r="I47" s="14"/>
      <c r="J47" s="14"/>
      <c r="K47" s="14"/>
      <c r="L47" s="14"/>
      <c r="M47" s="14"/>
      <c r="N47" s="200"/>
      <c r="O47" s="109">
        <v>45</v>
      </c>
      <c r="P47" s="109">
        <v>0</v>
      </c>
      <c r="Q47" s="158">
        <v>32307510.629999999</v>
      </c>
      <c r="R47" s="158">
        <v>190152.28</v>
      </c>
      <c r="S47" s="158">
        <v>138275.44</v>
      </c>
      <c r="T47" s="158">
        <v>962570</v>
      </c>
      <c r="U47" s="158">
        <v>1004512.84</v>
      </c>
      <c r="V47" s="158">
        <v>812868.91</v>
      </c>
      <c r="W47" s="158">
        <v>423352.82</v>
      </c>
      <c r="X47" s="194">
        <v>263944.15000000002</v>
      </c>
      <c r="Y47" s="158">
        <v>81433.350000000006</v>
      </c>
      <c r="Z47" s="158">
        <v>205335.67999999999</v>
      </c>
      <c r="AA47" s="158">
        <v>285257.63</v>
      </c>
      <c r="AB47" s="158">
        <v>3650041.64</v>
      </c>
      <c r="AC47" s="158">
        <v>1643614.44</v>
      </c>
      <c r="AD47" s="158">
        <v>2056912.34</v>
      </c>
      <c r="AE47" s="158">
        <v>1457225.17</v>
      </c>
      <c r="AF47" s="158">
        <v>508232.48</v>
      </c>
      <c r="AG47" s="158">
        <v>1381632.98</v>
      </c>
      <c r="AH47" s="158">
        <v>186965.63</v>
      </c>
      <c r="AI47" s="158">
        <v>695223.4</v>
      </c>
      <c r="AJ47" s="158">
        <v>598949.18000000005</v>
      </c>
      <c r="AK47" s="158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200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7">
        <v>38</v>
      </c>
      <c r="E48" s="11" t="s">
        <v>47</v>
      </c>
      <c r="F48" s="237"/>
      <c r="G48" s="100">
        <f t="shared" si="2"/>
        <v>280542.68</v>
      </c>
      <c r="H48" s="14"/>
      <c r="I48" s="14"/>
      <c r="J48" s="14"/>
      <c r="K48" s="14"/>
      <c r="L48" s="14"/>
      <c r="M48" s="14"/>
      <c r="N48" s="200"/>
      <c r="O48" s="109">
        <v>46</v>
      </c>
      <c r="P48" s="109">
        <v>0</v>
      </c>
      <c r="Q48" s="158">
        <v>5930659.4699999997</v>
      </c>
      <c r="R48" s="158">
        <v>204283.32</v>
      </c>
      <c r="S48" s="158">
        <v>141.12</v>
      </c>
      <c r="T48" s="158">
        <v>319181</v>
      </c>
      <c r="U48" s="158">
        <v>107754.01</v>
      </c>
      <c r="V48" s="158">
        <v>237585.38</v>
      </c>
      <c r="W48" s="158">
        <v>280542.68</v>
      </c>
      <c r="X48" s="194">
        <v>87082.09</v>
      </c>
      <c r="Y48" s="158">
        <v>0</v>
      </c>
      <c r="Z48" s="158">
        <v>0</v>
      </c>
      <c r="AA48" s="158">
        <v>102533.7</v>
      </c>
      <c r="AB48" s="158">
        <v>1001543.31</v>
      </c>
      <c r="AC48" s="158">
        <v>310463.69</v>
      </c>
      <c r="AD48" s="158">
        <v>831029.67</v>
      </c>
      <c r="AE48" s="158">
        <v>102798.67</v>
      </c>
      <c r="AF48" s="158">
        <v>106450.65</v>
      </c>
      <c r="AG48" s="158">
        <v>0</v>
      </c>
      <c r="AH48" s="158">
        <v>134183.59</v>
      </c>
      <c r="AI48" s="158">
        <v>313974.63</v>
      </c>
      <c r="AJ48" s="158">
        <v>132894.56</v>
      </c>
      <c r="AK48" s="158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200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7">
        <v>39</v>
      </c>
      <c r="E49" s="11" t="s">
        <v>48</v>
      </c>
      <c r="F49" s="237"/>
      <c r="G49" s="100">
        <f t="shared" si="2"/>
        <v>0</v>
      </c>
      <c r="H49" s="14"/>
      <c r="I49" s="14"/>
      <c r="J49" s="14"/>
      <c r="K49" s="14"/>
      <c r="L49" s="14"/>
      <c r="M49" s="14"/>
      <c r="N49" s="200"/>
      <c r="O49" s="109">
        <v>47</v>
      </c>
      <c r="P49" s="109">
        <v>0</v>
      </c>
      <c r="Q49" s="158">
        <v>1810.71</v>
      </c>
      <c r="R49" s="158">
        <v>0</v>
      </c>
      <c r="S49" s="158">
        <v>-0.19</v>
      </c>
      <c r="T49" s="158">
        <v>0</v>
      </c>
      <c r="U49" s="158">
        <v>-1053.01</v>
      </c>
      <c r="V49" s="158">
        <v>0</v>
      </c>
      <c r="W49" s="158">
        <v>0</v>
      </c>
      <c r="X49" s="194">
        <v>-110.56</v>
      </c>
      <c r="Y49" s="158">
        <v>0</v>
      </c>
      <c r="Z49" s="158">
        <v>0</v>
      </c>
      <c r="AA49" s="158">
        <v>213.8</v>
      </c>
      <c r="AB49" s="158">
        <v>0</v>
      </c>
      <c r="AC49" s="158">
        <v>-12.91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200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7">
        <v>40</v>
      </c>
      <c r="E50" s="11" t="s">
        <v>49</v>
      </c>
      <c r="F50" s="237"/>
      <c r="G50" s="100">
        <f t="shared" si="2"/>
        <v>0</v>
      </c>
      <c r="H50" s="14"/>
      <c r="I50" s="14"/>
      <c r="J50" s="14"/>
      <c r="K50" s="14"/>
      <c r="L50" s="14"/>
      <c r="M50" s="14"/>
      <c r="N50" s="200"/>
      <c r="O50" s="109">
        <v>48</v>
      </c>
      <c r="P50" s="109">
        <v>0</v>
      </c>
      <c r="Q50" s="158">
        <v>10690.88</v>
      </c>
      <c r="R50" s="158">
        <v>0</v>
      </c>
      <c r="S50" s="158">
        <v>0</v>
      </c>
      <c r="T50" s="158">
        <v>0</v>
      </c>
      <c r="U50" s="158">
        <v>0</v>
      </c>
      <c r="V50" s="158">
        <v>149447.04000000001</v>
      </c>
      <c r="W50" s="158">
        <v>0</v>
      </c>
      <c r="X50" s="194">
        <v>0</v>
      </c>
      <c r="Y50" s="158">
        <v>0</v>
      </c>
      <c r="Z50" s="158">
        <v>1060.04</v>
      </c>
      <c r="AA50" s="158">
        <v>11314.68</v>
      </c>
      <c r="AB50" s="158">
        <v>4970.55</v>
      </c>
      <c r="AC50" s="158">
        <v>17927.73</v>
      </c>
      <c r="AD50" s="158">
        <v>0</v>
      </c>
      <c r="AE50" s="158">
        <v>0</v>
      </c>
      <c r="AF50" s="158">
        <v>0</v>
      </c>
      <c r="AG50" s="158">
        <v>133891.07</v>
      </c>
      <c r="AH50" s="158">
        <v>0</v>
      </c>
      <c r="AI50" s="158">
        <v>0</v>
      </c>
      <c r="AJ50" s="158">
        <v>0</v>
      </c>
      <c r="AK50" s="158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200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7">
        <v>41</v>
      </c>
      <c r="E51" s="11" t="s">
        <v>50</v>
      </c>
      <c r="F51" s="237"/>
      <c r="G51" s="100">
        <f t="shared" si="2"/>
        <v>522306.28</v>
      </c>
      <c r="H51" s="14"/>
      <c r="I51" s="14"/>
      <c r="J51" s="14"/>
      <c r="K51" s="14"/>
      <c r="L51" s="14"/>
      <c r="M51" s="14"/>
      <c r="N51" s="200"/>
      <c r="O51" s="109">
        <v>49</v>
      </c>
      <c r="P51" s="109">
        <v>0</v>
      </c>
      <c r="Q51" s="158">
        <v>33176.89</v>
      </c>
      <c r="R51" s="158">
        <v>246668.93</v>
      </c>
      <c r="S51" s="158">
        <v>2100</v>
      </c>
      <c r="T51" s="158">
        <v>0</v>
      </c>
      <c r="U51" s="158">
        <v>648505.68000000005</v>
      </c>
      <c r="V51" s="158">
        <v>622090.5</v>
      </c>
      <c r="W51" s="158">
        <v>522306.28</v>
      </c>
      <c r="X51" s="194">
        <v>0</v>
      </c>
      <c r="Y51" s="158">
        <v>0</v>
      </c>
      <c r="Z51" s="158">
        <v>0</v>
      </c>
      <c r="AA51" s="158">
        <v>26.45</v>
      </c>
      <c r="AB51" s="158">
        <v>1383507.14</v>
      </c>
      <c r="AC51" s="158">
        <v>0</v>
      </c>
      <c r="AD51" s="158">
        <v>0</v>
      </c>
      <c r="AE51" s="158">
        <v>0</v>
      </c>
      <c r="AF51" s="158">
        <v>721.96</v>
      </c>
      <c r="AG51" s="158">
        <v>0</v>
      </c>
      <c r="AH51" s="158">
        <v>0</v>
      </c>
      <c r="AI51" s="158">
        <v>17553.87</v>
      </c>
      <c r="AJ51" s="158">
        <v>148215.78</v>
      </c>
      <c r="AK51" s="158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200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7"/>
      <c r="E52" s="16" t="s">
        <v>51</v>
      </c>
      <c r="F52" s="238"/>
      <c r="G52" s="100">
        <f t="shared" si="2"/>
        <v>1468358.76</v>
      </c>
      <c r="H52" s="14"/>
      <c r="I52" s="17"/>
      <c r="J52" s="17"/>
      <c r="K52" s="17"/>
      <c r="L52" s="17"/>
      <c r="M52" s="17"/>
      <c r="N52" s="200"/>
      <c r="O52" s="109">
        <v>50</v>
      </c>
      <c r="P52" s="109">
        <v>0</v>
      </c>
      <c r="Q52" s="158">
        <v>40492369.880000003</v>
      </c>
      <c r="R52" s="158">
        <v>848006.42999999993</v>
      </c>
      <c r="S52" s="158">
        <v>173438.07</v>
      </c>
      <c r="T52" s="158">
        <v>1763777</v>
      </c>
      <c r="U52" s="158">
        <v>2651637.29</v>
      </c>
      <c r="V52" s="158">
        <v>2181370.17</v>
      </c>
      <c r="W52" s="158">
        <v>1468358.76</v>
      </c>
      <c r="X52" s="194">
        <v>531757.48</v>
      </c>
      <c r="Y52" s="158">
        <v>122445.26000000001</v>
      </c>
      <c r="Z52" s="158">
        <v>206395.72</v>
      </c>
      <c r="AA52" s="158">
        <v>571910.85</v>
      </c>
      <c r="AB52" s="158">
        <v>6410129.629999999</v>
      </c>
      <c r="AC52" s="158">
        <v>3252188.51</v>
      </c>
      <c r="AD52" s="158">
        <v>3256251.51</v>
      </c>
      <c r="AE52" s="158">
        <v>2285816.3099999996</v>
      </c>
      <c r="AF52" s="158">
        <v>926110.24</v>
      </c>
      <c r="AG52" s="158">
        <v>1515524.05</v>
      </c>
      <c r="AH52" s="158">
        <v>394728.97</v>
      </c>
      <c r="AI52" s="158">
        <v>1369345.31</v>
      </c>
      <c r="AJ52" s="158">
        <v>1155340.6400000001</v>
      </c>
      <c r="AK52" s="158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200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7">
        <v>42</v>
      </c>
      <c r="E53" s="11" t="s">
        <v>52</v>
      </c>
      <c r="F53" s="237"/>
      <c r="G53" s="100">
        <f t="shared" si="2"/>
        <v>0</v>
      </c>
      <c r="H53" s="14"/>
      <c r="I53" s="14"/>
      <c r="J53" s="14"/>
      <c r="K53" s="14"/>
      <c r="L53" s="14"/>
      <c r="M53" s="14"/>
      <c r="N53" s="200"/>
      <c r="O53" s="109">
        <v>51</v>
      </c>
      <c r="P53" s="109">
        <v>0</v>
      </c>
      <c r="Q53" s="158">
        <v>694547.86</v>
      </c>
      <c r="R53" s="158">
        <v>1320.11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4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5099.79</v>
      </c>
      <c r="AD53" s="158">
        <v>0</v>
      </c>
      <c r="AE53" s="158">
        <v>0</v>
      </c>
      <c r="AF53" s="158">
        <v>0</v>
      </c>
      <c r="AG53" s="158">
        <v>65008.95</v>
      </c>
      <c r="AH53" s="158">
        <v>0</v>
      </c>
      <c r="AI53" s="158">
        <v>0</v>
      </c>
      <c r="AJ53" s="158">
        <v>990</v>
      </c>
      <c r="AK53" s="158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200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7">
        <v>43</v>
      </c>
      <c r="E54" s="11" t="s">
        <v>53</v>
      </c>
      <c r="F54" s="237"/>
      <c r="G54" s="100">
        <f t="shared" si="2"/>
        <v>0</v>
      </c>
      <c r="H54" s="14"/>
      <c r="I54" s="14"/>
      <c r="J54" s="14"/>
      <c r="K54" s="14"/>
      <c r="L54" s="14"/>
      <c r="M54" s="14"/>
      <c r="N54" s="200"/>
      <c r="O54" s="109">
        <v>52</v>
      </c>
      <c r="P54" s="109">
        <v>0</v>
      </c>
      <c r="Q54" s="158">
        <v>2028728.63</v>
      </c>
      <c r="R54" s="158">
        <v>7478.47</v>
      </c>
      <c r="S54" s="158">
        <v>0</v>
      </c>
      <c r="T54" s="158">
        <v>199619</v>
      </c>
      <c r="U54" s="158">
        <v>46539.49</v>
      </c>
      <c r="V54" s="158">
        <v>0</v>
      </c>
      <c r="W54" s="158">
        <v>0</v>
      </c>
      <c r="X54" s="194">
        <v>28895.45</v>
      </c>
      <c r="Y54" s="158">
        <v>0</v>
      </c>
      <c r="Z54" s="158">
        <v>2385</v>
      </c>
      <c r="AA54" s="158">
        <v>5682.65</v>
      </c>
      <c r="AB54" s="158">
        <v>10807.69</v>
      </c>
      <c r="AC54" s="158">
        <v>50422.35</v>
      </c>
      <c r="AD54" s="158">
        <v>37008.85</v>
      </c>
      <c r="AE54" s="158">
        <v>125259.76</v>
      </c>
      <c r="AF54" s="158">
        <v>2043</v>
      </c>
      <c r="AG54" s="158">
        <v>0</v>
      </c>
      <c r="AH54" s="158">
        <v>0</v>
      </c>
      <c r="AI54" s="158">
        <v>29389.35</v>
      </c>
      <c r="AJ54" s="158">
        <v>0</v>
      </c>
      <c r="AK54" s="158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200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7">
        <v>44</v>
      </c>
      <c r="E55" s="11" t="s">
        <v>54</v>
      </c>
      <c r="F55" s="237"/>
      <c r="G55" s="100">
        <f t="shared" si="2"/>
        <v>2290</v>
      </c>
      <c r="H55" s="14"/>
      <c r="I55" s="14"/>
      <c r="J55" s="14"/>
      <c r="K55" s="14"/>
      <c r="L55" s="14"/>
      <c r="M55" s="14"/>
      <c r="N55" s="200"/>
      <c r="O55" s="109">
        <v>53</v>
      </c>
      <c r="P55" s="109">
        <v>0</v>
      </c>
      <c r="Q55" s="158">
        <v>0</v>
      </c>
      <c r="R55" s="158">
        <v>0</v>
      </c>
      <c r="S55" s="158">
        <v>0</v>
      </c>
      <c r="T55" s="158">
        <v>177446</v>
      </c>
      <c r="U55" s="158">
        <v>21756</v>
      </c>
      <c r="V55" s="158">
        <v>15271.3</v>
      </c>
      <c r="W55" s="158">
        <v>2290</v>
      </c>
      <c r="X55" s="194">
        <v>0</v>
      </c>
      <c r="Y55" s="158">
        <v>0</v>
      </c>
      <c r="Z55" s="158">
        <v>0</v>
      </c>
      <c r="AA55" s="158">
        <v>0</v>
      </c>
      <c r="AB55" s="158">
        <v>17619.54</v>
      </c>
      <c r="AC55" s="158">
        <v>84990.29</v>
      </c>
      <c r="AD55" s="158">
        <v>0</v>
      </c>
      <c r="AE55" s="158">
        <v>0</v>
      </c>
      <c r="AF55" s="158">
        <v>0</v>
      </c>
      <c r="AG55" s="158">
        <v>1840</v>
      </c>
      <c r="AH55" s="158">
        <v>0</v>
      </c>
      <c r="AI55" s="158">
        <v>0</v>
      </c>
      <c r="AJ55" s="158">
        <v>6422.72</v>
      </c>
      <c r="AK55" s="158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200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7">
        <v>45</v>
      </c>
      <c r="E56" s="11" t="s">
        <v>55</v>
      </c>
      <c r="F56" s="237"/>
      <c r="G56" s="100">
        <f t="shared" si="2"/>
        <v>53472.73</v>
      </c>
      <c r="H56" s="14"/>
      <c r="I56" s="14"/>
      <c r="J56" s="14"/>
      <c r="K56" s="14"/>
      <c r="L56" s="14"/>
      <c r="M56" s="14"/>
      <c r="N56" s="200"/>
      <c r="O56" s="109">
        <v>54</v>
      </c>
      <c r="P56" s="109">
        <v>0</v>
      </c>
      <c r="Q56" s="158">
        <v>21758.79</v>
      </c>
      <c r="R56" s="158">
        <v>28930.49</v>
      </c>
      <c r="S56" s="158">
        <v>0</v>
      </c>
      <c r="T56" s="158">
        <v>1187</v>
      </c>
      <c r="U56" s="158">
        <v>0</v>
      </c>
      <c r="V56" s="158">
        <v>0</v>
      </c>
      <c r="W56" s="158">
        <v>53472.73</v>
      </c>
      <c r="X56" s="194">
        <v>3847.99</v>
      </c>
      <c r="Y56" s="158">
        <v>0</v>
      </c>
      <c r="Z56" s="158">
        <v>0</v>
      </c>
      <c r="AA56" s="158">
        <v>0</v>
      </c>
      <c r="AB56" s="158">
        <v>33701.96</v>
      </c>
      <c r="AC56" s="158">
        <v>0</v>
      </c>
      <c r="AD56" s="158">
        <v>0</v>
      </c>
      <c r="AE56" s="158">
        <v>0</v>
      </c>
      <c r="AF56" s="158">
        <v>239693.02</v>
      </c>
      <c r="AG56" s="158">
        <v>9041.9599999999991</v>
      </c>
      <c r="AH56" s="158">
        <v>0</v>
      </c>
      <c r="AI56" s="158">
        <v>0</v>
      </c>
      <c r="AJ56" s="158">
        <v>0</v>
      </c>
      <c r="AK56" s="158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200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7"/>
      <c r="E57" s="16" t="s">
        <v>56</v>
      </c>
      <c r="F57" s="238"/>
      <c r="G57" s="100">
        <f t="shared" si="2"/>
        <v>55762.73</v>
      </c>
      <c r="H57" s="14"/>
      <c r="I57" s="17"/>
      <c r="J57" s="17"/>
      <c r="K57" s="17"/>
      <c r="L57" s="17"/>
      <c r="M57" s="17"/>
      <c r="N57" s="200"/>
      <c r="O57" s="109">
        <v>55</v>
      </c>
      <c r="P57" s="109">
        <v>0</v>
      </c>
      <c r="Q57" s="158">
        <v>2745035.28</v>
      </c>
      <c r="R57" s="158">
        <v>37729.07</v>
      </c>
      <c r="S57" s="158">
        <v>0</v>
      </c>
      <c r="T57" s="158">
        <v>378252</v>
      </c>
      <c r="U57" s="158">
        <v>68295.489999999991</v>
      </c>
      <c r="V57" s="158">
        <v>15271.3</v>
      </c>
      <c r="W57" s="158">
        <v>55762.73</v>
      </c>
      <c r="X57" s="194">
        <v>32743.440000000002</v>
      </c>
      <c r="Y57" s="158">
        <v>0</v>
      </c>
      <c r="Z57" s="158">
        <v>2385</v>
      </c>
      <c r="AA57" s="158">
        <v>5682.65</v>
      </c>
      <c r="AB57" s="158">
        <v>62129.19</v>
      </c>
      <c r="AC57" s="158">
        <v>140512.43</v>
      </c>
      <c r="AD57" s="158">
        <v>37008.85</v>
      </c>
      <c r="AE57" s="158">
        <v>125259.76</v>
      </c>
      <c r="AF57" s="158">
        <v>241736.02</v>
      </c>
      <c r="AG57" s="158">
        <v>75890.91</v>
      </c>
      <c r="AH57" s="158">
        <v>0</v>
      </c>
      <c r="AI57" s="158">
        <v>29389.35</v>
      </c>
      <c r="AJ57" s="158">
        <v>7412.72</v>
      </c>
      <c r="AK57" s="158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200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7">
        <v>47</v>
      </c>
      <c r="E58" s="11" t="s">
        <v>57</v>
      </c>
      <c r="F58" s="237"/>
      <c r="G58" s="100">
        <f t="shared" si="2"/>
        <v>647507.05000000005</v>
      </c>
      <c r="H58" s="14"/>
      <c r="I58" s="14"/>
      <c r="J58" s="14"/>
      <c r="K58" s="14"/>
      <c r="L58" s="14"/>
      <c r="M58" s="14"/>
      <c r="N58" s="200"/>
      <c r="O58" s="109">
        <v>56</v>
      </c>
      <c r="P58" s="109">
        <v>0</v>
      </c>
      <c r="Q58" s="158">
        <v>8180923.25</v>
      </c>
      <c r="R58" s="158">
        <v>581786.74</v>
      </c>
      <c r="S58" s="158">
        <v>8856.2099999999991</v>
      </c>
      <c r="T58" s="158">
        <v>1167147</v>
      </c>
      <c r="U58" s="158">
        <v>705772.11</v>
      </c>
      <c r="V58" s="158">
        <v>2267415.1</v>
      </c>
      <c r="W58" s="158">
        <v>647507.05000000005</v>
      </c>
      <c r="X58" s="194">
        <v>0</v>
      </c>
      <c r="Y58" s="158">
        <v>16200</v>
      </c>
      <c r="Z58" s="158">
        <v>44841.4</v>
      </c>
      <c r="AA58" s="158">
        <v>20506.03</v>
      </c>
      <c r="AB58" s="158">
        <v>2418843.34</v>
      </c>
      <c r="AC58" s="158">
        <v>1983238.97</v>
      </c>
      <c r="AD58" s="158">
        <v>545135</v>
      </c>
      <c r="AE58" s="158">
        <v>0</v>
      </c>
      <c r="AF58" s="158">
        <v>1113549.56</v>
      </c>
      <c r="AG58" s="158">
        <v>159701.81</v>
      </c>
      <c r="AH58" s="158">
        <v>15405</v>
      </c>
      <c r="AI58" s="158">
        <v>446943.68</v>
      </c>
      <c r="AJ58" s="158">
        <v>953207.25</v>
      </c>
      <c r="AK58" s="158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200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7">
        <v>48</v>
      </c>
      <c r="E59" s="11" t="s">
        <v>58</v>
      </c>
      <c r="F59" s="237"/>
      <c r="G59" s="100">
        <f t="shared" si="2"/>
        <v>569910.48</v>
      </c>
      <c r="H59" s="14"/>
      <c r="I59" s="14"/>
      <c r="J59" s="14"/>
      <c r="K59" s="14"/>
      <c r="L59" s="14"/>
      <c r="M59" s="14"/>
      <c r="N59" s="200"/>
      <c r="O59" s="109">
        <v>57</v>
      </c>
      <c r="P59" s="109">
        <v>0</v>
      </c>
      <c r="Q59" s="158">
        <v>38662413.670000002</v>
      </c>
      <c r="R59" s="158">
        <v>476156.68</v>
      </c>
      <c r="S59" s="158">
        <v>124855.82</v>
      </c>
      <c r="T59" s="158">
        <v>103626</v>
      </c>
      <c r="U59" s="158">
        <v>722600.13</v>
      </c>
      <c r="V59" s="158">
        <v>47594.86</v>
      </c>
      <c r="W59" s="158">
        <v>569910.48</v>
      </c>
      <c r="X59" s="194">
        <v>386193.26</v>
      </c>
      <c r="Y59" s="158">
        <v>152634.81</v>
      </c>
      <c r="Z59" s="158">
        <v>100718.59</v>
      </c>
      <c r="AA59" s="158">
        <v>456868.79</v>
      </c>
      <c r="AB59" s="158">
        <v>1221077.79</v>
      </c>
      <c r="AC59" s="158">
        <v>2381646.25</v>
      </c>
      <c r="AD59" s="158">
        <v>2080790.01</v>
      </c>
      <c r="AE59" s="158">
        <v>1423077.76</v>
      </c>
      <c r="AF59" s="158">
        <v>182609.08</v>
      </c>
      <c r="AG59" s="158">
        <v>1151590.1499999999</v>
      </c>
      <c r="AH59" s="158">
        <v>86036.78</v>
      </c>
      <c r="AI59" s="158">
        <v>1127773.4099999999</v>
      </c>
      <c r="AJ59" s="158">
        <v>0</v>
      </c>
      <c r="AK59" s="158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200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7">
        <v>49</v>
      </c>
      <c r="E60" s="11" t="s">
        <v>59</v>
      </c>
      <c r="F60" s="237"/>
      <c r="G60" s="100">
        <f t="shared" si="2"/>
        <v>3675062.89</v>
      </c>
      <c r="H60" s="14"/>
      <c r="I60" s="14"/>
      <c r="J60" s="14"/>
      <c r="K60" s="14"/>
      <c r="L60" s="14"/>
      <c r="M60" s="14"/>
      <c r="N60" s="200"/>
      <c r="O60" s="109">
        <v>58</v>
      </c>
      <c r="P60" s="109">
        <v>0</v>
      </c>
      <c r="Q60" s="158">
        <v>6195463.7199999997</v>
      </c>
      <c r="R60" s="158">
        <v>2195745.17</v>
      </c>
      <c r="S60" s="158">
        <v>84008.25</v>
      </c>
      <c r="T60" s="158">
        <v>2089014</v>
      </c>
      <c r="U60" s="158">
        <v>1072186.02</v>
      </c>
      <c r="V60" s="158">
        <v>2036685.17</v>
      </c>
      <c r="W60" s="158">
        <v>3675062.89</v>
      </c>
      <c r="X60" s="194">
        <v>279391.99</v>
      </c>
      <c r="Y60" s="158">
        <v>18761.240000000002</v>
      </c>
      <c r="Z60" s="158">
        <v>60023.7</v>
      </c>
      <c r="AA60" s="158">
        <v>51663.58</v>
      </c>
      <c r="AB60" s="158">
        <v>3747779.47</v>
      </c>
      <c r="AC60" s="158">
        <v>1250985.77</v>
      </c>
      <c r="AD60" s="158">
        <v>275248.67</v>
      </c>
      <c r="AE60" s="158">
        <v>3374829.78</v>
      </c>
      <c r="AF60" s="158">
        <v>489580.78</v>
      </c>
      <c r="AG60" s="158">
        <v>270668.09000000003</v>
      </c>
      <c r="AH60" s="158">
        <v>80295.33</v>
      </c>
      <c r="AI60" s="158">
        <v>299463.40999999997</v>
      </c>
      <c r="AJ60" s="158">
        <v>481846.88</v>
      </c>
      <c r="AK60" s="158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200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7">
        <v>50</v>
      </c>
      <c r="E61" s="11" t="s">
        <v>60</v>
      </c>
      <c r="F61" s="237"/>
      <c r="G61" s="100">
        <f t="shared" si="2"/>
        <v>586866.47</v>
      </c>
      <c r="H61" s="14"/>
      <c r="I61" s="14"/>
      <c r="J61" s="14"/>
      <c r="K61" s="14"/>
      <c r="L61" s="14"/>
      <c r="M61" s="14"/>
      <c r="N61" s="200"/>
      <c r="O61" s="109">
        <v>59</v>
      </c>
      <c r="P61" s="109">
        <v>0</v>
      </c>
      <c r="Q61" s="158">
        <v>19754187.239999998</v>
      </c>
      <c r="R61" s="158">
        <v>185948.2</v>
      </c>
      <c r="S61" s="158">
        <v>3498.17</v>
      </c>
      <c r="T61" s="158">
        <v>5690</v>
      </c>
      <c r="U61" s="158">
        <v>87810.14</v>
      </c>
      <c r="V61" s="158">
        <v>472084.42</v>
      </c>
      <c r="W61" s="158">
        <v>586866.47</v>
      </c>
      <c r="X61" s="194">
        <v>101467.71</v>
      </c>
      <c r="Y61" s="158">
        <v>25841.360000000001</v>
      </c>
      <c r="Z61" s="158">
        <v>39293.800000000003</v>
      </c>
      <c r="AA61" s="158">
        <v>70107.81</v>
      </c>
      <c r="AB61" s="158">
        <v>607754.69999999995</v>
      </c>
      <c r="AC61" s="158">
        <v>492874.85</v>
      </c>
      <c r="AD61" s="158">
        <v>556825.30000000005</v>
      </c>
      <c r="AE61" s="158">
        <v>387679.5</v>
      </c>
      <c r="AF61" s="158">
        <v>0</v>
      </c>
      <c r="AG61" s="158">
        <v>90454.87</v>
      </c>
      <c r="AH61" s="158">
        <v>81226.83</v>
      </c>
      <c r="AI61" s="158">
        <v>233927.9</v>
      </c>
      <c r="AJ61" s="158">
        <v>183261.79</v>
      </c>
      <c r="AK61" s="158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200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7">
        <v>51</v>
      </c>
      <c r="E62" s="11" t="s">
        <v>61</v>
      </c>
      <c r="F62" s="237"/>
      <c r="G62" s="100">
        <f t="shared" si="2"/>
        <v>-4211514.53</v>
      </c>
      <c r="H62" s="14"/>
      <c r="I62" s="14"/>
      <c r="J62" s="14"/>
      <c r="K62" s="14"/>
      <c r="L62" s="14"/>
      <c r="M62" s="14"/>
      <c r="N62" s="200"/>
      <c r="O62" s="109">
        <v>60</v>
      </c>
      <c r="P62" s="109">
        <v>0</v>
      </c>
      <c r="Q62" s="158">
        <v>-13899675.85</v>
      </c>
      <c r="R62" s="158">
        <v>-595354</v>
      </c>
      <c r="S62" s="158">
        <v>0</v>
      </c>
      <c r="T62" s="158">
        <v>0</v>
      </c>
      <c r="U62" s="158">
        <v>0</v>
      </c>
      <c r="V62" s="158">
        <v>-325950.08000000002</v>
      </c>
      <c r="W62" s="158">
        <v>-4211514.53</v>
      </c>
      <c r="X62" s="194">
        <v>0</v>
      </c>
      <c r="Y62" s="158">
        <v>0</v>
      </c>
      <c r="Z62" s="158">
        <v>0</v>
      </c>
      <c r="AA62" s="158">
        <v>0</v>
      </c>
      <c r="AB62" s="158">
        <v>-34726.870000000003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200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7">
        <v>52</v>
      </c>
      <c r="E63" s="11" t="s">
        <v>62</v>
      </c>
      <c r="F63" s="237"/>
      <c r="G63" s="100">
        <f t="shared" si="2"/>
        <v>713548.53</v>
      </c>
      <c r="H63" s="14"/>
      <c r="I63" s="14"/>
      <c r="J63" s="14"/>
      <c r="K63" s="14"/>
      <c r="L63" s="14"/>
      <c r="M63" s="14"/>
      <c r="N63" s="200"/>
      <c r="O63" s="109">
        <v>61</v>
      </c>
      <c r="P63" s="109">
        <v>0</v>
      </c>
      <c r="Q63" s="158">
        <v>4486000.8099999996</v>
      </c>
      <c r="R63" s="158">
        <v>426210.09</v>
      </c>
      <c r="S63" s="158">
        <v>55873.760000000002</v>
      </c>
      <c r="T63" s="158">
        <v>0</v>
      </c>
      <c r="U63" s="158">
        <v>454801.32</v>
      </c>
      <c r="V63" s="158">
        <v>734669.63</v>
      </c>
      <c r="W63" s="158">
        <v>713548.53</v>
      </c>
      <c r="X63" s="194">
        <v>59370.400000000001</v>
      </c>
      <c r="Y63" s="158">
        <v>51285.45</v>
      </c>
      <c r="Z63" s="158">
        <v>43347.17</v>
      </c>
      <c r="AA63" s="158">
        <v>127218.6</v>
      </c>
      <c r="AB63" s="158">
        <v>267862.36</v>
      </c>
      <c r="AC63" s="158">
        <v>293741.01</v>
      </c>
      <c r="AD63" s="158">
        <v>395815.47</v>
      </c>
      <c r="AE63" s="158">
        <v>1973049.28</v>
      </c>
      <c r="AF63" s="158">
        <v>1021422.54</v>
      </c>
      <c r="AG63" s="158">
        <v>357237.89</v>
      </c>
      <c r="AH63" s="158">
        <v>160048.67000000001</v>
      </c>
      <c r="AI63" s="158">
        <v>189698.72</v>
      </c>
      <c r="AJ63" s="158">
        <v>177817.99</v>
      </c>
      <c r="AK63" s="158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200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7">
        <v>53</v>
      </c>
      <c r="E64" s="11" t="s">
        <v>63</v>
      </c>
      <c r="F64" s="237"/>
      <c r="G64" s="100">
        <f t="shared" si="2"/>
        <v>0</v>
      </c>
      <c r="H64" s="14"/>
      <c r="I64" s="14"/>
      <c r="J64" s="14"/>
      <c r="K64" s="14"/>
      <c r="L64" s="14"/>
      <c r="M64" s="14"/>
      <c r="N64" s="200"/>
      <c r="O64" s="109">
        <v>62</v>
      </c>
      <c r="P64" s="109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142069.22</v>
      </c>
      <c r="W64" s="158">
        <v>0</v>
      </c>
      <c r="X64" s="194">
        <v>37613.93</v>
      </c>
      <c r="Y64" s="158">
        <v>10238.799999999999</v>
      </c>
      <c r="Z64" s="158">
        <v>3102.84</v>
      </c>
      <c r="AA64" s="158">
        <v>30593.62</v>
      </c>
      <c r="AB64" s="158">
        <v>329164.01</v>
      </c>
      <c r="AC64" s="158">
        <v>210796.27</v>
      </c>
      <c r="AD64" s="158">
        <v>0</v>
      </c>
      <c r="AE64" s="158">
        <v>294403.27</v>
      </c>
      <c r="AF64" s="158">
        <v>67117.27</v>
      </c>
      <c r="AG64" s="158">
        <v>0</v>
      </c>
      <c r="AH64" s="158">
        <v>8088</v>
      </c>
      <c r="AI64" s="158">
        <v>42379.19</v>
      </c>
      <c r="AJ64" s="158">
        <v>51252.24</v>
      </c>
      <c r="AK64" s="158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200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7">
        <v>54</v>
      </c>
      <c r="E65" s="11" t="s">
        <v>64</v>
      </c>
      <c r="F65" s="237"/>
      <c r="G65" s="100">
        <f t="shared" si="2"/>
        <v>810776.77</v>
      </c>
      <c r="H65" s="14"/>
      <c r="I65" s="14"/>
      <c r="J65" s="14"/>
      <c r="K65" s="14"/>
      <c r="L65" s="14"/>
      <c r="M65" s="14"/>
      <c r="N65" s="200"/>
      <c r="O65" s="109">
        <v>63</v>
      </c>
      <c r="P65" s="109">
        <v>0</v>
      </c>
      <c r="Q65" s="158">
        <v>787823.61</v>
      </c>
      <c r="R65" s="158">
        <v>181805.07</v>
      </c>
      <c r="S65" s="158">
        <v>60747.85</v>
      </c>
      <c r="T65" s="158">
        <v>1206499</v>
      </c>
      <c r="U65" s="158">
        <v>133676.04</v>
      </c>
      <c r="V65" s="158">
        <v>372199.49</v>
      </c>
      <c r="W65" s="158">
        <v>810776.77</v>
      </c>
      <c r="X65" s="194">
        <v>0</v>
      </c>
      <c r="Y65" s="158">
        <v>101231.6</v>
      </c>
      <c r="Z65" s="158">
        <v>0</v>
      </c>
      <c r="AA65" s="158">
        <v>0</v>
      </c>
      <c r="AB65" s="158">
        <v>0</v>
      </c>
      <c r="AC65" s="158">
        <v>234007.28</v>
      </c>
      <c r="AD65" s="158">
        <v>191312.82</v>
      </c>
      <c r="AE65" s="158">
        <v>0</v>
      </c>
      <c r="AF65" s="158">
        <v>0</v>
      </c>
      <c r="AG65" s="158">
        <v>518196.72</v>
      </c>
      <c r="AH65" s="158">
        <v>10182.709999999999</v>
      </c>
      <c r="AI65" s="158">
        <v>161700</v>
      </c>
      <c r="AJ65" s="158">
        <v>127834.52</v>
      </c>
      <c r="AK65" s="158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200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7">
        <v>55</v>
      </c>
      <c r="E66" s="11" t="s">
        <v>65</v>
      </c>
      <c r="F66" s="237"/>
      <c r="G66" s="100">
        <f t="shared" si="2"/>
        <v>0</v>
      </c>
      <c r="H66" s="14"/>
      <c r="I66" s="14"/>
      <c r="J66" s="14"/>
      <c r="K66" s="14"/>
      <c r="L66" s="14"/>
      <c r="M66" s="14"/>
      <c r="N66" s="200"/>
      <c r="O66" s="109">
        <v>64</v>
      </c>
      <c r="P66" s="109">
        <v>0</v>
      </c>
      <c r="Q66" s="158">
        <v>0</v>
      </c>
      <c r="R66" s="158">
        <v>0</v>
      </c>
      <c r="S66" s="158">
        <v>0</v>
      </c>
      <c r="T66" s="158">
        <v>482676</v>
      </c>
      <c r="U66" s="158">
        <v>0</v>
      </c>
      <c r="V66" s="158">
        <v>0</v>
      </c>
      <c r="W66" s="158">
        <v>0</v>
      </c>
      <c r="X66" s="194">
        <v>12857.48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115476.29</v>
      </c>
      <c r="AE66" s="158">
        <v>2796367.13</v>
      </c>
      <c r="AF66" s="158">
        <v>-21440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200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7">
        <v>56</v>
      </c>
      <c r="E67" s="11" t="s">
        <v>66</v>
      </c>
      <c r="F67" s="237"/>
      <c r="G67" s="100">
        <f t="shared" si="2"/>
        <v>0</v>
      </c>
      <c r="H67" s="14"/>
      <c r="I67" s="14"/>
      <c r="J67" s="14"/>
      <c r="K67" s="14"/>
      <c r="L67" s="14"/>
      <c r="M67" s="14"/>
      <c r="N67" s="200"/>
      <c r="O67" s="109">
        <v>65</v>
      </c>
      <c r="P67" s="109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4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200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7">
        <v>57</v>
      </c>
      <c r="E68" s="11" t="s">
        <v>67</v>
      </c>
      <c r="F68" s="237"/>
      <c r="G68" s="100">
        <f t="shared" si="2"/>
        <v>0</v>
      </c>
      <c r="H68" s="14"/>
      <c r="I68" s="14"/>
      <c r="J68" s="14"/>
      <c r="K68" s="14"/>
      <c r="L68" s="14"/>
      <c r="M68" s="14"/>
      <c r="N68" s="200"/>
      <c r="O68" s="109">
        <v>66</v>
      </c>
      <c r="P68" s="109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81000</v>
      </c>
      <c r="V68" s="158">
        <v>0</v>
      </c>
      <c r="W68" s="158">
        <v>0</v>
      </c>
      <c r="X68" s="194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200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7">
        <v>58</v>
      </c>
      <c r="E69" s="11" t="s">
        <v>68</v>
      </c>
      <c r="F69" s="237"/>
      <c r="G69" s="100">
        <f t="shared" si="2"/>
        <v>225698.14</v>
      </c>
      <c r="H69" s="14"/>
      <c r="I69" s="14"/>
      <c r="J69" s="14"/>
      <c r="K69" s="14"/>
      <c r="L69" s="14"/>
      <c r="M69" s="14"/>
      <c r="N69" s="200"/>
      <c r="O69" s="109">
        <v>67</v>
      </c>
      <c r="P69" s="109">
        <v>0</v>
      </c>
      <c r="Q69" s="158">
        <v>3255850.84</v>
      </c>
      <c r="R69" s="158">
        <v>130452.1</v>
      </c>
      <c r="S69" s="158">
        <v>12256.01</v>
      </c>
      <c r="T69" s="158">
        <v>365174</v>
      </c>
      <c r="U69" s="158">
        <v>191314.94</v>
      </c>
      <c r="V69" s="158">
        <v>236126.84</v>
      </c>
      <c r="W69" s="158">
        <v>225698.14</v>
      </c>
      <c r="X69" s="194">
        <v>134588.07999999999</v>
      </c>
      <c r="Y69" s="158">
        <v>106963.3</v>
      </c>
      <c r="Z69" s="158">
        <v>75653.22</v>
      </c>
      <c r="AA69" s="158">
        <v>248419.26</v>
      </c>
      <c r="AB69" s="158">
        <v>1012719.72</v>
      </c>
      <c r="AC69" s="158">
        <v>783072.24</v>
      </c>
      <c r="AD69" s="158">
        <v>448020.55</v>
      </c>
      <c r="AE69" s="158">
        <v>562002.9</v>
      </c>
      <c r="AF69" s="158">
        <v>56589.98</v>
      </c>
      <c r="AG69" s="158">
        <v>198696.89</v>
      </c>
      <c r="AH69" s="158">
        <v>30328.58</v>
      </c>
      <c r="AI69" s="158">
        <v>254114.09</v>
      </c>
      <c r="AJ69" s="158">
        <v>170726.31</v>
      </c>
      <c r="AK69" s="158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200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7">
        <v>59</v>
      </c>
      <c r="E70" s="11" t="s">
        <v>69</v>
      </c>
      <c r="F70" s="237"/>
      <c r="G70" s="100">
        <f t="shared" si="2"/>
        <v>421240.64</v>
      </c>
      <c r="H70" s="14"/>
      <c r="I70" s="14"/>
      <c r="J70" s="14"/>
      <c r="K70" s="14"/>
      <c r="L70" s="14"/>
      <c r="M70" s="14"/>
      <c r="N70" s="200"/>
      <c r="O70" s="109">
        <v>68</v>
      </c>
      <c r="P70" s="109">
        <v>0</v>
      </c>
      <c r="Q70" s="158">
        <v>4515786.37</v>
      </c>
      <c r="R70" s="158">
        <v>35041.660000000003</v>
      </c>
      <c r="S70" s="158">
        <v>29843.78</v>
      </c>
      <c r="T70" s="158">
        <v>1072081</v>
      </c>
      <c r="U70" s="158">
        <v>32393.08</v>
      </c>
      <c r="V70" s="158">
        <v>794455.41</v>
      </c>
      <c r="W70" s="158">
        <v>421240.64</v>
      </c>
      <c r="X70" s="194">
        <v>96202.49</v>
      </c>
      <c r="Y70" s="158">
        <v>22760.09</v>
      </c>
      <c r="Z70" s="158">
        <v>0</v>
      </c>
      <c r="AA70" s="158">
        <v>4083.49</v>
      </c>
      <c r="AB70" s="158">
        <v>625208.74</v>
      </c>
      <c r="AC70" s="158">
        <v>10011.51</v>
      </c>
      <c r="AD70" s="158">
        <v>24932.880000000001</v>
      </c>
      <c r="AE70" s="158">
        <v>137059.35</v>
      </c>
      <c r="AF70" s="158">
        <v>95566</v>
      </c>
      <c r="AG70" s="158">
        <v>448684.42</v>
      </c>
      <c r="AH70" s="158">
        <v>1211.7</v>
      </c>
      <c r="AI70" s="158">
        <v>138540.01999999999</v>
      </c>
      <c r="AJ70" s="158">
        <v>81995.77</v>
      </c>
      <c r="AK70" s="158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200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7">
        <v>60</v>
      </c>
      <c r="E71" s="11" t="s">
        <v>70</v>
      </c>
      <c r="F71" s="237"/>
      <c r="G71" s="100">
        <f t="shared" si="2"/>
        <v>356339.64</v>
      </c>
      <c r="H71" s="14"/>
      <c r="I71" s="14"/>
      <c r="J71" s="14"/>
      <c r="K71" s="14"/>
      <c r="L71" s="14"/>
      <c r="M71" s="14"/>
      <c r="N71" s="200"/>
      <c r="O71" s="109">
        <v>69</v>
      </c>
      <c r="P71" s="109">
        <v>0</v>
      </c>
      <c r="Q71" s="158">
        <v>1326458.2</v>
      </c>
      <c r="R71" s="158">
        <v>249810.6</v>
      </c>
      <c r="S71" s="158">
        <v>0</v>
      </c>
      <c r="T71" s="158">
        <v>0</v>
      </c>
      <c r="U71" s="158">
        <v>0</v>
      </c>
      <c r="V71" s="158">
        <v>0</v>
      </c>
      <c r="W71" s="158">
        <v>356339.64</v>
      </c>
      <c r="X71" s="194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9513</v>
      </c>
      <c r="AH71" s="158">
        <v>0</v>
      </c>
      <c r="AI71" s="158">
        <v>0</v>
      </c>
      <c r="AJ71" s="158">
        <v>0</v>
      </c>
      <c r="AK71" s="158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200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7">
        <v>61</v>
      </c>
      <c r="E72" s="11" t="s">
        <v>71</v>
      </c>
      <c r="F72" s="237"/>
      <c r="G72" s="100">
        <f t="shared" si="2"/>
        <v>0</v>
      </c>
      <c r="H72" s="14"/>
      <c r="I72" s="14"/>
      <c r="J72" s="14"/>
      <c r="K72" s="14"/>
      <c r="L72" s="14"/>
      <c r="M72" s="14"/>
      <c r="N72" s="200"/>
      <c r="O72" s="109">
        <v>70</v>
      </c>
      <c r="P72" s="109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4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141.91999999999999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200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7">
        <v>62</v>
      </c>
      <c r="E73" s="11" t="s">
        <v>72</v>
      </c>
      <c r="F73" s="237"/>
      <c r="G73" s="100">
        <f t="shared" si="2"/>
        <v>634923.46</v>
      </c>
      <c r="H73" s="14"/>
      <c r="I73" s="14"/>
      <c r="J73" s="14"/>
      <c r="K73" s="14"/>
      <c r="L73" s="14"/>
      <c r="M73" s="14"/>
      <c r="N73" s="200"/>
      <c r="O73" s="109">
        <v>71</v>
      </c>
      <c r="P73" s="109">
        <v>0</v>
      </c>
      <c r="Q73" s="158">
        <v>23570721.350000001</v>
      </c>
      <c r="R73" s="158">
        <v>643164.81999999995</v>
      </c>
      <c r="S73" s="158">
        <v>27842.16</v>
      </c>
      <c r="T73" s="158">
        <v>266503</v>
      </c>
      <c r="U73" s="158">
        <v>213050.15</v>
      </c>
      <c r="V73" s="158">
        <v>407153.74</v>
      </c>
      <c r="W73" s="158">
        <v>634923.46</v>
      </c>
      <c r="X73" s="194">
        <v>21409.88</v>
      </c>
      <c r="Y73" s="158">
        <v>0</v>
      </c>
      <c r="Z73" s="158">
        <v>0</v>
      </c>
      <c r="AA73" s="158">
        <v>55392.34</v>
      </c>
      <c r="AB73" s="158">
        <v>917774.71</v>
      </c>
      <c r="AC73" s="158">
        <v>1294903.25</v>
      </c>
      <c r="AD73" s="158">
        <v>722641.49</v>
      </c>
      <c r="AE73" s="158">
        <v>1515417.17</v>
      </c>
      <c r="AF73" s="158">
        <v>31181.119999999999</v>
      </c>
      <c r="AG73" s="158">
        <v>98615.92</v>
      </c>
      <c r="AH73" s="158">
        <v>0</v>
      </c>
      <c r="AI73" s="158">
        <v>339412.11</v>
      </c>
      <c r="AJ73" s="158">
        <v>131617.57999999999</v>
      </c>
      <c r="AK73" s="158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200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7">
        <v>63</v>
      </c>
      <c r="E74" s="11" t="s">
        <v>73</v>
      </c>
      <c r="F74" s="237"/>
      <c r="G74" s="100">
        <f t="shared" ref="G74:G81" si="3">HLOOKUP($E$3,$P$3:$CE$269,O74,TRUE)</f>
        <v>14451.48</v>
      </c>
      <c r="H74" s="14"/>
      <c r="I74" s="14"/>
      <c r="J74" s="14"/>
      <c r="K74" s="14"/>
      <c r="L74" s="14"/>
      <c r="M74" s="14"/>
      <c r="N74" s="200"/>
      <c r="O74" s="109">
        <v>72</v>
      </c>
      <c r="P74" s="109">
        <v>0</v>
      </c>
      <c r="Q74" s="158">
        <v>0</v>
      </c>
      <c r="R74" s="158">
        <v>17865</v>
      </c>
      <c r="S74" s="158">
        <v>0</v>
      </c>
      <c r="T74" s="158">
        <v>0</v>
      </c>
      <c r="U74" s="158">
        <v>29194.11</v>
      </c>
      <c r="V74" s="158">
        <v>0</v>
      </c>
      <c r="W74" s="158">
        <v>14451.48</v>
      </c>
      <c r="X74" s="194">
        <v>10418.879999999999</v>
      </c>
      <c r="Y74" s="158">
        <v>0</v>
      </c>
      <c r="Z74" s="158">
        <v>1958</v>
      </c>
      <c r="AA74" s="158">
        <v>5188</v>
      </c>
      <c r="AB74" s="158">
        <v>0</v>
      </c>
      <c r="AC74" s="158">
        <v>0</v>
      </c>
      <c r="AD74" s="158">
        <v>0</v>
      </c>
      <c r="AE74" s="158">
        <v>42394</v>
      </c>
      <c r="AF74" s="158">
        <v>7912.75</v>
      </c>
      <c r="AG74" s="158">
        <v>80</v>
      </c>
      <c r="AH74" s="158">
        <v>2925.7</v>
      </c>
      <c r="AI74" s="158">
        <v>12761</v>
      </c>
      <c r="AJ74" s="158">
        <v>10430.040000000001</v>
      </c>
      <c r="AK74" s="158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200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7"/>
      <c r="E75" s="16" t="s">
        <v>74</v>
      </c>
      <c r="F75" s="238"/>
      <c r="G75" s="100">
        <f t="shared" si="3"/>
        <v>4444811.0199999996</v>
      </c>
      <c r="H75" s="17"/>
      <c r="I75" s="17"/>
      <c r="J75" s="17"/>
      <c r="K75" s="17"/>
      <c r="L75" s="17"/>
      <c r="M75" s="17"/>
      <c r="N75" s="200"/>
      <c r="O75" s="109">
        <v>73</v>
      </c>
      <c r="P75" s="109">
        <v>0</v>
      </c>
      <c r="Q75" s="158">
        <v>96835953.210000008</v>
      </c>
      <c r="R75" s="158">
        <v>4528632.13</v>
      </c>
      <c r="S75" s="158">
        <v>407782.00999999995</v>
      </c>
      <c r="T75" s="158">
        <v>6758410</v>
      </c>
      <c r="U75" s="158">
        <v>3723798.0399999996</v>
      </c>
      <c r="V75" s="158">
        <v>7184503.7999999998</v>
      </c>
      <c r="W75" s="158">
        <v>4444811.0199999996</v>
      </c>
      <c r="X75" s="194">
        <v>1139514.0999999999</v>
      </c>
      <c r="Y75" s="158">
        <v>505916.65</v>
      </c>
      <c r="Z75" s="158">
        <v>385738.72</v>
      </c>
      <c r="AA75" s="158">
        <v>1070041.52</v>
      </c>
      <c r="AB75" s="158">
        <v>11113457.970000003</v>
      </c>
      <c r="AC75" s="158">
        <v>8934219.3200000003</v>
      </c>
      <c r="AD75" s="158">
        <v>5356198.4799999995</v>
      </c>
      <c r="AE75" s="158">
        <v>12506280.139999999</v>
      </c>
      <c r="AF75" s="158">
        <v>3044089.08</v>
      </c>
      <c r="AG75" s="158">
        <v>3303439.7600000002</v>
      </c>
      <c r="AH75" s="158">
        <v>475749.30000000005</v>
      </c>
      <c r="AI75" s="158">
        <v>3246713.53</v>
      </c>
      <c r="AJ75" s="158">
        <v>2369990.37</v>
      </c>
      <c r="AK75" s="158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200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7">
        <v>64</v>
      </c>
      <c r="E76" s="11" t="s">
        <v>75</v>
      </c>
      <c r="F76" s="237"/>
      <c r="G76" s="100">
        <f t="shared" si="3"/>
        <v>56398.71</v>
      </c>
      <c r="H76" s="14"/>
      <c r="I76" s="14"/>
      <c r="J76" s="14"/>
      <c r="K76" s="14"/>
      <c r="L76" s="14"/>
      <c r="M76" s="14"/>
      <c r="N76" s="200"/>
      <c r="O76" s="109">
        <v>74</v>
      </c>
      <c r="P76" s="109">
        <v>0</v>
      </c>
      <c r="Q76" s="158">
        <v>0</v>
      </c>
      <c r="R76" s="158">
        <v>47206.42</v>
      </c>
      <c r="S76" s="158">
        <v>6850.45</v>
      </c>
      <c r="T76" s="158">
        <v>189298</v>
      </c>
      <c r="U76" s="158">
        <v>149837.17000000001</v>
      </c>
      <c r="V76" s="158">
        <v>29205.83</v>
      </c>
      <c r="W76" s="158">
        <v>56398.71</v>
      </c>
      <c r="X76" s="194">
        <v>5816.88</v>
      </c>
      <c r="Y76" s="158">
        <v>9346.65</v>
      </c>
      <c r="Z76" s="158">
        <v>3559.25</v>
      </c>
      <c r="AA76" s="158">
        <v>34945.279999999999</v>
      </c>
      <c r="AB76" s="158">
        <v>178595.75</v>
      </c>
      <c r="AC76" s="158">
        <v>21912.48</v>
      </c>
      <c r="AD76" s="158">
        <v>173601.84</v>
      </c>
      <c r="AE76" s="158">
        <v>455584.94</v>
      </c>
      <c r="AF76" s="158">
        <v>17827.8</v>
      </c>
      <c r="AG76" s="158">
        <v>63825.27</v>
      </c>
      <c r="AH76" s="158">
        <v>8550.23</v>
      </c>
      <c r="AI76" s="158">
        <v>11129.4</v>
      </c>
      <c r="AJ76" s="158">
        <v>0</v>
      </c>
      <c r="AK76" s="158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200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7">
        <v>65</v>
      </c>
      <c r="E77" s="11" t="s">
        <v>76</v>
      </c>
      <c r="F77" s="237"/>
      <c r="G77" s="100">
        <f t="shared" si="3"/>
        <v>0</v>
      </c>
      <c r="H77" s="14"/>
      <c r="I77" s="14"/>
      <c r="J77" s="14"/>
      <c r="K77" s="14"/>
      <c r="L77" s="14"/>
      <c r="M77" s="14"/>
      <c r="N77" s="200"/>
      <c r="O77" s="109">
        <v>75</v>
      </c>
      <c r="P77" s="109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4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200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8"/>
      <c r="G78" s="100">
        <f t="shared" si="3"/>
        <v>56398.71</v>
      </c>
      <c r="H78" s="17"/>
      <c r="I78" s="17"/>
      <c r="J78" s="17"/>
      <c r="K78" s="17"/>
      <c r="L78" s="17"/>
      <c r="M78" s="17"/>
      <c r="N78" s="200"/>
      <c r="O78" s="109">
        <v>76</v>
      </c>
      <c r="P78" s="109">
        <v>0</v>
      </c>
      <c r="Q78" s="158">
        <v>0</v>
      </c>
      <c r="R78" s="158">
        <v>47206.42</v>
      </c>
      <c r="S78" s="158">
        <v>6850.45</v>
      </c>
      <c r="T78" s="158">
        <v>189298</v>
      </c>
      <c r="U78" s="158">
        <v>149837.17000000001</v>
      </c>
      <c r="V78" s="158">
        <v>29205.83</v>
      </c>
      <c r="W78" s="158">
        <v>56398.71</v>
      </c>
      <c r="X78" s="194">
        <v>5816.88</v>
      </c>
      <c r="Y78" s="158">
        <v>9346.65</v>
      </c>
      <c r="Z78" s="158">
        <v>3559.25</v>
      </c>
      <c r="AA78" s="158">
        <v>34945.279999999999</v>
      </c>
      <c r="AB78" s="158">
        <v>178595.75</v>
      </c>
      <c r="AC78" s="158">
        <v>21912.48</v>
      </c>
      <c r="AD78" s="158">
        <v>173601.84</v>
      </c>
      <c r="AE78" s="158">
        <v>455584.94</v>
      </c>
      <c r="AF78" s="158">
        <v>17827.8</v>
      </c>
      <c r="AG78" s="158">
        <v>63825.27</v>
      </c>
      <c r="AH78" s="158">
        <v>8550.23</v>
      </c>
      <c r="AI78" s="158">
        <v>11129.4</v>
      </c>
      <c r="AJ78" s="158">
        <v>0</v>
      </c>
      <c r="AK78" s="158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200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7">
        <v>46</v>
      </c>
      <c r="E79" s="11" t="s">
        <v>78</v>
      </c>
      <c r="F79" s="237"/>
      <c r="G79" s="100">
        <f t="shared" si="3"/>
        <v>0</v>
      </c>
      <c r="H79" s="14"/>
      <c r="I79" s="14"/>
      <c r="J79" s="14"/>
      <c r="K79" s="14"/>
      <c r="L79" s="14"/>
      <c r="M79" s="14"/>
      <c r="N79" s="200"/>
      <c r="O79" s="109">
        <v>77</v>
      </c>
      <c r="P79" s="109">
        <v>0</v>
      </c>
      <c r="Q79" s="158">
        <v>11960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4">
        <v>0</v>
      </c>
      <c r="Y79" s="158">
        <v>0</v>
      </c>
      <c r="Z79" s="158">
        <v>2243</v>
      </c>
      <c r="AA79" s="158">
        <v>75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0</v>
      </c>
      <c r="AH79" s="158">
        <v>0</v>
      </c>
      <c r="AI79" s="158">
        <v>6871.4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200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8"/>
      <c r="G80" s="100">
        <f t="shared" si="3"/>
        <v>0</v>
      </c>
      <c r="H80" s="17"/>
      <c r="I80" s="17"/>
      <c r="J80" s="17"/>
      <c r="K80" s="17"/>
      <c r="L80" s="17"/>
      <c r="M80" s="17"/>
      <c r="N80" s="200"/>
      <c r="O80" s="109">
        <v>78</v>
      </c>
      <c r="P80" s="109">
        <v>0</v>
      </c>
      <c r="Q80" s="158">
        <v>11960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4">
        <v>0</v>
      </c>
      <c r="Y80" s="158">
        <v>0</v>
      </c>
      <c r="Z80" s="158">
        <v>2243</v>
      </c>
      <c r="AA80" s="158">
        <v>75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0</v>
      </c>
      <c r="AH80" s="158">
        <v>0</v>
      </c>
      <c r="AI80" s="158">
        <v>6871.4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200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8"/>
      <c r="G81" s="100">
        <f t="shared" si="3"/>
        <v>10005215.690000001</v>
      </c>
      <c r="H81" s="3"/>
      <c r="I81" s="3"/>
      <c r="J81" s="3"/>
      <c r="K81" s="3"/>
      <c r="L81" s="3"/>
      <c r="O81" s="109">
        <v>79</v>
      </c>
      <c r="P81" s="109">
        <v>0</v>
      </c>
      <c r="Q81" s="158">
        <v>257373815.56999999</v>
      </c>
      <c r="R81" s="158">
        <v>11990934.029999999</v>
      </c>
      <c r="S81" s="158">
        <v>1083377.24</v>
      </c>
      <c r="T81" s="158">
        <v>13237046</v>
      </c>
      <c r="U81" s="158">
        <v>10187598.729999999</v>
      </c>
      <c r="V81" s="158">
        <v>19043935.529999997</v>
      </c>
      <c r="W81" s="158">
        <v>10005215.690000001</v>
      </c>
      <c r="X81" s="194">
        <v>2560824.7799999993</v>
      </c>
      <c r="Y81" s="158">
        <v>819047.94000000006</v>
      </c>
      <c r="Z81" s="158">
        <v>683096.71</v>
      </c>
      <c r="AA81" s="158">
        <v>2766135.5299999993</v>
      </c>
      <c r="AB81" s="158">
        <v>29853615.080000006</v>
      </c>
      <c r="AC81" s="158">
        <v>18520257.59</v>
      </c>
      <c r="AD81" s="158">
        <v>13160798.359999999</v>
      </c>
      <c r="AE81" s="158">
        <v>24978216.289999999</v>
      </c>
      <c r="AF81" s="158">
        <v>6481458.8799999999</v>
      </c>
      <c r="AG81" s="158">
        <v>7233917.4700000007</v>
      </c>
      <c r="AH81" s="158">
        <v>1599451.93</v>
      </c>
      <c r="AI81" s="158">
        <v>7300354.5899999999</v>
      </c>
      <c r="AJ81" s="158">
        <v>5940355.0200000005</v>
      </c>
      <c r="AK81" s="158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200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7"/>
      <c r="G82" s="28"/>
      <c r="H82" s="20"/>
      <c r="I82" s="20"/>
      <c r="J82" s="20"/>
      <c r="K82" s="20"/>
      <c r="L82" s="20"/>
      <c r="M82" s="20"/>
      <c r="N82" s="208"/>
      <c r="O82" s="109">
        <v>80</v>
      </c>
      <c r="P82" s="109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94">
        <v>0</v>
      </c>
      <c r="Y82" s="158">
        <v>0</v>
      </c>
      <c r="Z82" s="158">
        <v>0</v>
      </c>
      <c r="AA82" s="158">
        <v>0</v>
      </c>
      <c r="AB82" s="158">
        <v>0</v>
      </c>
      <c r="AC82" s="158">
        <v>0</v>
      </c>
      <c r="AD82" s="158">
        <v>0</v>
      </c>
      <c r="AE82" s="158">
        <v>0</v>
      </c>
      <c r="AF82" s="158">
        <v>0</v>
      </c>
      <c r="AG82" s="158">
        <v>0</v>
      </c>
      <c r="AH82" s="158">
        <v>0</v>
      </c>
      <c r="AI82" s="158">
        <v>0</v>
      </c>
      <c r="AJ82" s="158">
        <v>0</v>
      </c>
      <c r="AK82" s="158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200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7"/>
      <c r="O83" s="109">
        <v>81</v>
      </c>
      <c r="P83" s="109">
        <v>0</v>
      </c>
      <c r="Q83" s="158">
        <v>0</v>
      </c>
      <c r="R83" s="158">
        <v>0</v>
      </c>
      <c r="S83" s="158">
        <v>0</v>
      </c>
      <c r="T83" s="158">
        <v>0</v>
      </c>
      <c r="U83" s="158">
        <v>0</v>
      </c>
      <c r="V83" s="158">
        <v>0</v>
      </c>
      <c r="W83" s="158">
        <v>0</v>
      </c>
      <c r="X83" s="194">
        <v>0</v>
      </c>
      <c r="Y83" s="158">
        <v>0</v>
      </c>
      <c r="Z83" s="158">
        <v>0</v>
      </c>
      <c r="AA83" s="158">
        <v>0</v>
      </c>
      <c r="AB83" s="158">
        <v>0</v>
      </c>
      <c r="AC83" s="158">
        <v>0</v>
      </c>
      <c r="AD83" s="158">
        <v>0</v>
      </c>
      <c r="AE83" s="158">
        <v>0</v>
      </c>
      <c r="AF83" s="158">
        <v>0</v>
      </c>
      <c r="AG83" s="158">
        <v>0</v>
      </c>
      <c r="AH83" s="158">
        <v>0</v>
      </c>
      <c r="AI83" s="158">
        <v>0</v>
      </c>
      <c r="AJ83" s="158">
        <v>0</v>
      </c>
      <c r="AK83" s="158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200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7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9"/>
      <c r="O84" s="109">
        <v>82</v>
      </c>
      <c r="P84" s="109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3898.61</v>
      </c>
      <c r="V84" s="158">
        <v>0</v>
      </c>
      <c r="W84" s="158">
        <v>0</v>
      </c>
      <c r="X84" s="194">
        <v>0</v>
      </c>
      <c r="Y84" s="158">
        <v>0</v>
      </c>
      <c r="Z84" s="158">
        <v>0</v>
      </c>
      <c r="AA84" s="158">
        <v>0</v>
      </c>
      <c r="AB84" s="158">
        <v>5897.59</v>
      </c>
      <c r="AC84" s="158">
        <v>205.05</v>
      </c>
      <c r="AD84" s="158">
        <v>0</v>
      </c>
      <c r="AE84" s="158">
        <v>241614.2</v>
      </c>
      <c r="AF84" s="158">
        <v>0</v>
      </c>
      <c r="AG84" s="158">
        <v>0</v>
      </c>
      <c r="AH84" s="158">
        <v>0</v>
      </c>
      <c r="AI84" s="158">
        <v>0</v>
      </c>
      <c r="AJ84" s="158">
        <v>7082.44</v>
      </c>
      <c r="AK84" s="158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200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7"/>
      <c r="G85" s="100">
        <f t="shared" si="4"/>
        <v>0</v>
      </c>
      <c r="H85" s="7"/>
      <c r="I85" s="7"/>
      <c r="J85" s="7"/>
      <c r="K85" s="7"/>
      <c r="L85" s="7"/>
      <c r="M85" s="7"/>
      <c r="N85" s="209"/>
      <c r="O85" s="109">
        <v>83</v>
      </c>
      <c r="P85" s="109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92123.4</v>
      </c>
      <c r="V85" s="158">
        <v>0</v>
      </c>
      <c r="W85" s="158">
        <v>0</v>
      </c>
      <c r="X85" s="194">
        <v>0</v>
      </c>
      <c r="Y85" s="158">
        <v>0</v>
      </c>
      <c r="Z85" s="158">
        <v>0</v>
      </c>
      <c r="AA85" s="158">
        <v>0</v>
      </c>
      <c r="AB85" s="158">
        <v>65150.11</v>
      </c>
      <c r="AC85" s="158">
        <v>151754.46</v>
      </c>
      <c r="AD85" s="158">
        <v>0</v>
      </c>
      <c r="AE85" s="158">
        <v>235.18</v>
      </c>
      <c r="AF85" s="158">
        <v>0</v>
      </c>
      <c r="AG85" s="158">
        <v>0</v>
      </c>
      <c r="AH85" s="158">
        <v>0</v>
      </c>
      <c r="AI85" s="158">
        <v>0</v>
      </c>
      <c r="AJ85" s="158">
        <v>89421.19</v>
      </c>
      <c r="AK85" s="158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200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7"/>
      <c r="G86" s="100">
        <f t="shared" si="4"/>
        <v>0</v>
      </c>
      <c r="H86" s="7"/>
      <c r="I86" s="7"/>
      <c r="J86" s="7"/>
      <c r="K86" s="7"/>
      <c r="L86" s="7"/>
      <c r="M86" s="7"/>
      <c r="N86" s="209"/>
      <c r="O86" s="109">
        <v>84</v>
      </c>
      <c r="P86" s="109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19661.48</v>
      </c>
      <c r="V86" s="158">
        <v>0</v>
      </c>
      <c r="W86" s="158">
        <v>0</v>
      </c>
      <c r="X86" s="194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6448.94</v>
      </c>
      <c r="AD86" s="158">
        <v>0</v>
      </c>
      <c r="AE86" s="158">
        <v>303622.19</v>
      </c>
      <c r="AF86" s="158">
        <v>0</v>
      </c>
      <c r="AG86" s="158">
        <v>0</v>
      </c>
      <c r="AH86" s="158">
        <v>0</v>
      </c>
      <c r="AI86" s="158">
        <v>0</v>
      </c>
      <c r="AJ86" s="158">
        <v>20696.72</v>
      </c>
      <c r="AK86" s="158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200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7"/>
      <c r="G87" s="100">
        <f t="shared" si="4"/>
        <v>0</v>
      </c>
      <c r="H87" s="23"/>
      <c r="I87" s="23"/>
      <c r="J87" s="23"/>
      <c r="K87" s="23"/>
      <c r="L87" s="23"/>
      <c r="M87" s="23"/>
      <c r="N87" s="209"/>
      <c r="O87" s="109">
        <v>85</v>
      </c>
      <c r="P87" s="109">
        <v>0</v>
      </c>
      <c r="Q87" s="158">
        <v>0</v>
      </c>
      <c r="R87" s="158">
        <v>0</v>
      </c>
      <c r="S87" s="158">
        <v>0</v>
      </c>
      <c r="T87" s="158">
        <v>0</v>
      </c>
      <c r="U87" s="158">
        <v>115683.48999999999</v>
      </c>
      <c r="V87" s="158">
        <v>0</v>
      </c>
      <c r="W87" s="158">
        <v>0</v>
      </c>
      <c r="X87" s="194">
        <v>0</v>
      </c>
      <c r="Y87" s="158">
        <v>0</v>
      </c>
      <c r="Z87" s="158">
        <v>0</v>
      </c>
      <c r="AA87" s="158">
        <v>0</v>
      </c>
      <c r="AB87" s="158">
        <v>71047.7</v>
      </c>
      <c r="AC87" s="158">
        <v>158408.44999999998</v>
      </c>
      <c r="AD87" s="158">
        <v>0</v>
      </c>
      <c r="AE87" s="158">
        <v>545471.57000000007</v>
      </c>
      <c r="AF87" s="158">
        <v>0</v>
      </c>
      <c r="AG87" s="158">
        <v>0</v>
      </c>
      <c r="AH87" s="158">
        <v>0</v>
      </c>
      <c r="AI87" s="158">
        <v>0</v>
      </c>
      <c r="AJ87" s="158">
        <v>117200.35</v>
      </c>
      <c r="AK87" s="158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200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7"/>
      <c r="G88" s="100">
        <f t="shared" si="4"/>
        <v>0</v>
      </c>
      <c r="H88" s="23"/>
      <c r="I88" s="23"/>
      <c r="J88" s="23"/>
      <c r="K88" s="23"/>
      <c r="L88" s="23"/>
      <c r="M88" s="23"/>
      <c r="N88" s="209"/>
      <c r="O88" s="109">
        <v>86</v>
      </c>
      <c r="P88" s="109">
        <v>0</v>
      </c>
      <c r="Q88" s="158">
        <v>178576.65999999997</v>
      </c>
      <c r="R88" s="158">
        <v>0</v>
      </c>
      <c r="S88" s="158">
        <v>0</v>
      </c>
      <c r="T88" s="158">
        <v>76489.22000000003</v>
      </c>
      <c r="U88" s="158">
        <v>0</v>
      </c>
      <c r="V88" s="158">
        <v>0</v>
      </c>
      <c r="W88" s="158">
        <v>0</v>
      </c>
      <c r="X88" s="194">
        <v>41492.189999999995</v>
      </c>
      <c r="Y88" s="158">
        <v>0</v>
      </c>
      <c r="Z88" s="158">
        <v>8010.78</v>
      </c>
      <c r="AA88" s="158">
        <v>21672.38</v>
      </c>
      <c r="AB88" s="158">
        <v>343620.71000000008</v>
      </c>
      <c r="AC88" s="158">
        <v>0</v>
      </c>
      <c r="AD88" s="158">
        <v>137569.29</v>
      </c>
      <c r="AE88" s="158">
        <v>0</v>
      </c>
      <c r="AF88" s="158">
        <v>48424.030000000013</v>
      </c>
      <c r="AG88" s="158">
        <v>27804.100000000002</v>
      </c>
      <c r="AH88" s="158">
        <v>110215.24000000002</v>
      </c>
      <c r="AI88" s="158">
        <v>56058.359999999993</v>
      </c>
      <c r="AJ88" s="158">
        <v>32698.480000000003</v>
      </c>
      <c r="AK88" s="158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200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7"/>
      <c r="G89" s="100">
        <f t="shared" si="4"/>
        <v>10005215.690000001</v>
      </c>
      <c r="H89" s="164">
        <f>'Model Inputs'!H31</f>
        <v>9411250.8699999992</v>
      </c>
      <c r="I89" s="165">
        <f>'Model Inputs'!I31</f>
        <v>9462182.5199999996</v>
      </c>
      <c r="J89" s="165">
        <f>'Model Inputs'!J31</f>
        <v>9425367.7616829239</v>
      </c>
      <c r="K89" s="165">
        <f>'Model Inputs'!K31</f>
        <v>9613875.116916582</v>
      </c>
      <c r="L89" s="165">
        <f>'Model Inputs'!L31</f>
        <v>9806152.6192549169</v>
      </c>
      <c r="M89" s="166">
        <f>'Model Inputs'!M31</f>
        <v>10002275.671640014</v>
      </c>
      <c r="N89" s="207">
        <v>11</v>
      </c>
      <c r="O89" s="109">
        <v>87</v>
      </c>
      <c r="P89" s="109">
        <v>0</v>
      </c>
      <c r="Q89" s="158">
        <v>257552392.22999999</v>
      </c>
      <c r="R89" s="158">
        <v>11990934.029999999</v>
      </c>
      <c r="S89" s="158">
        <v>1083377.24</v>
      </c>
      <c r="T89" s="158">
        <v>13313535.220000001</v>
      </c>
      <c r="U89" s="158">
        <v>10071915.239999998</v>
      </c>
      <c r="V89" s="158">
        <v>19043935.529999997</v>
      </c>
      <c r="W89" s="158">
        <v>10005215.690000001</v>
      </c>
      <c r="X89" s="194">
        <v>2602316.9699999993</v>
      </c>
      <c r="Y89" s="158">
        <v>819047.94000000006</v>
      </c>
      <c r="Z89" s="158">
        <v>691107.49</v>
      </c>
      <c r="AA89" s="158">
        <v>2787807.9099999992</v>
      </c>
      <c r="AB89" s="158">
        <v>30126188.090000007</v>
      </c>
      <c r="AC89" s="158">
        <v>18361849.140000001</v>
      </c>
      <c r="AD89" s="158">
        <v>13298367.649999999</v>
      </c>
      <c r="AE89" s="158">
        <v>24432744.719999999</v>
      </c>
      <c r="AF89" s="158">
        <v>6529882.9100000001</v>
      </c>
      <c r="AG89" s="158">
        <v>7261721.5700000003</v>
      </c>
      <c r="AH89" s="158">
        <v>1709667.17</v>
      </c>
      <c r="AI89" s="158">
        <v>7356412.9500000002</v>
      </c>
      <c r="AJ89" s="158">
        <v>5855853.1500000013</v>
      </c>
      <c r="AK89" s="158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200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94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200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94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200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7"/>
      <c r="G92" s="100">
        <f>HLOOKUP($E$3,$P$3:$CE$269,O92,FALSE)</f>
        <v>15443000</v>
      </c>
      <c r="H92" s="164">
        <f>'Model Inputs'!H9</f>
        <v>15952967.539999997</v>
      </c>
      <c r="I92" s="165">
        <f>'Model Inputs'!I9</f>
        <v>14221135.440000001</v>
      </c>
      <c r="J92" s="165">
        <f>'Model Inputs'!J9</f>
        <v>14987797.399999999</v>
      </c>
      <c r="K92" s="165">
        <f>'Model Inputs'!K9</f>
        <v>11796000</v>
      </c>
      <c r="L92" s="165">
        <f>'Model Inputs'!L9</f>
        <v>12732000</v>
      </c>
      <c r="M92" s="166">
        <f>'Model Inputs'!M9</f>
        <v>11579000</v>
      </c>
      <c r="N92" s="207">
        <v>1</v>
      </c>
      <c r="O92" s="109">
        <v>90</v>
      </c>
      <c r="P92" s="109">
        <v>0</v>
      </c>
      <c r="Q92" s="158">
        <v>396096369</v>
      </c>
      <c r="R92" s="158">
        <v>9442000</v>
      </c>
      <c r="S92" s="158">
        <v>302664.13</v>
      </c>
      <c r="T92" s="158">
        <v>9625611</v>
      </c>
      <c r="U92" s="158">
        <v>9196377</v>
      </c>
      <c r="V92" s="158">
        <v>20639511.120000001</v>
      </c>
      <c r="W92" s="158">
        <v>15443000</v>
      </c>
      <c r="X92" s="194">
        <v>1948108.46</v>
      </c>
      <c r="Y92" s="158">
        <v>124116.79</v>
      </c>
      <c r="Z92" s="158">
        <v>200621</v>
      </c>
      <c r="AA92" s="158">
        <v>1094568.98</v>
      </c>
      <c r="AB92" s="158">
        <v>58740871</v>
      </c>
      <c r="AC92" s="158">
        <v>17007795</v>
      </c>
      <c r="AD92" s="158">
        <v>13523376.880000001</v>
      </c>
      <c r="AE92" s="158">
        <v>19657749.010000002</v>
      </c>
      <c r="AF92" s="158">
        <v>5508633</v>
      </c>
      <c r="AG92" s="158">
        <v>7596241</v>
      </c>
      <c r="AH92" s="158">
        <v>452495</v>
      </c>
      <c r="AI92" s="158">
        <v>7192770.9100000001</v>
      </c>
      <c r="AJ92" s="158">
        <v>3482950.61</v>
      </c>
      <c r="AK92" s="158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200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7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7">
        <v>2</v>
      </c>
      <c r="O93" s="109">
        <v>91</v>
      </c>
      <c r="P93" s="109">
        <v>0</v>
      </c>
      <c r="Q93" s="158">
        <v>1745077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4">
        <v>225269.16</v>
      </c>
      <c r="Y93" s="158">
        <v>0</v>
      </c>
      <c r="Z93" s="158">
        <v>0</v>
      </c>
      <c r="AA93" s="158">
        <v>0</v>
      </c>
      <c r="AB93" s="158">
        <v>0</v>
      </c>
      <c r="AC93" s="158">
        <v>34153.019999999997</v>
      </c>
      <c r="AD93" s="158">
        <v>0</v>
      </c>
      <c r="AE93" s="158">
        <v>815689.61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200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94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200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94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200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7"/>
      <c r="G96" s="100">
        <f>HLOOKUP($E$3,$P$3:$CE$269,O96,FALSE)</f>
        <v>29456</v>
      </c>
      <c r="H96" s="164">
        <f>'Model Inputs'!H13</f>
        <v>29719</v>
      </c>
      <c r="I96" s="165">
        <f>'Model Inputs'!I13</f>
        <v>29930.710560873631</v>
      </c>
      <c r="J96" s="165">
        <f>'Model Inputs'!J13</f>
        <v>30144.019209864549</v>
      </c>
      <c r="K96" s="165">
        <f>'Model Inputs'!K13</f>
        <v>30358.848055966788</v>
      </c>
      <c r="L96" s="165">
        <f>'Model Inputs'!L13</f>
        <v>30575.207933242949</v>
      </c>
      <c r="M96" s="166">
        <f>'Model Inputs'!M13</f>
        <v>30793.109752967277</v>
      </c>
      <c r="N96" s="209">
        <v>3</v>
      </c>
      <c r="O96" s="109">
        <v>94</v>
      </c>
      <c r="P96" s="109">
        <v>0</v>
      </c>
      <c r="Q96" s="158">
        <v>1054614</v>
      </c>
      <c r="R96" s="158">
        <v>11732</v>
      </c>
      <c r="S96" s="158">
        <v>1629</v>
      </c>
      <c r="T96" s="158">
        <v>36743</v>
      </c>
      <c r="U96" s="158">
        <v>40125</v>
      </c>
      <c r="V96" s="158">
        <v>68205</v>
      </c>
      <c r="W96" s="158">
        <v>29456</v>
      </c>
      <c r="X96" s="194">
        <v>7156</v>
      </c>
      <c r="Y96" s="158">
        <v>1222</v>
      </c>
      <c r="Z96" s="158">
        <v>2366</v>
      </c>
      <c r="AA96" s="158">
        <v>12479</v>
      </c>
      <c r="AB96" s="158">
        <v>167653</v>
      </c>
      <c r="AC96" s="158">
        <v>66529</v>
      </c>
      <c r="AD96" s="158">
        <v>59811</v>
      </c>
      <c r="AE96" s="158">
        <v>89561</v>
      </c>
      <c r="AF96" s="158">
        <v>17916</v>
      </c>
      <c r="AG96" s="158">
        <v>23384</v>
      </c>
      <c r="AH96" s="158">
        <v>3309</v>
      </c>
      <c r="AI96" s="158">
        <v>30397</v>
      </c>
      <c r="AJ96" s="158">
        <v>21382</v>
      </c>
      <c r="AK96" s="158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200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7"/>
      <c r="G97" s="100">
        <f>HLOOKUP($E$3,$P$3:$CE$269,O97,FALSE)</f>
        <v>465069748</v>
      </c>
      <c r="H97" s="164">
        <f>'Model Inputs'!H14</f>
        <v>458372068.28954172</v>
      </c>
      <c r="I97" s="165">
        <f>'Model Inputs'!I14</f>
        <v>470634489.97400326</v>
      </c>
      <c r="J97" s="165">
        <f>'Model Inputs'!J14</f>
        <v>476071353.43813455</v>
      </c>
      <c r="K97" s="165">
        <f>'Model Inputs'!K14</f>
        <v>481571024.6330151</v>
      </c>
      <c r="L97" s="165">
        <f>'Model Inputs'!L14</f>
        <v>487134229.12607324</v>
      </c>
      <c r="M97" s="166">
        <f>'Model Inputs'!M14</f>
        <v>492761700.86663693</v>
      </c>
      <c r="N97" s="209">
        <v>4</v>
      </c>
      <c r="O97" s="109">
        <v>95</v>
      </c>
      <c r="P97" s="109">
        <v>0</v>
      </c>
      <c r="Q97" s="158">
        <v>26328005697</v>
      </c>
      <c r="R97" s="158">
        <v>235234354</v>
      </c>
      <c r="S97" s="158">
        <v>29166609.600000001</v>
      </c>
      <c r="T97" s="158">
        <v>968790791</v>
      </c>
      <c r="U97" s="158">
        <v>985202186.73000002</v>
      </c>
      <c r="V97" s="158">
        <v>1521791950</v>
      </c>
      <c r="W97" s="158">
        <v>465069748</v>
      </c>
      <c r="X97" s="194">
        <v>139072664.70999998</v>
      </c>
      <c r="Y97" s="158">
        <v>25025731</v>
      </c>
      <c r="Z97" s="158">
        <v>28318560</v>
      </c>
      <c r="AA97" s="158">
        <v>241131396</v>
      </c>
      <c r="AB97" s="158">
        <v>3420220802</v>
      </c>
      <c r="AC97" s="158">
        <v>1723381576.3600001</v>
      </c>
      <c r="AD97" s="158">
        <v>1182245787</v>
      </c>
      <c r="AE97" s="158">
        <v>2319341970.71</v>
      </c>
      <c r="AF97" s="158">
        <v>301705633.06</v>
      </c>
      <c r="AG97" s="158">
        <v>662289126.36000001</v>
      </c>
      <c r="AH97" s="158">
        <v>56944854.579999998</v>
      </c>
      <c r="AI97" s="158">
        <v>533666540.88999999</v>
      </c>
      <c r="AJ97" s="158">
        <v>607370642</v>
      </c>
      <c r="AK97" s="158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200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7"/>
      <c r="G98" s="100">
        <f>HLOOKUP($E$3,$P$3:$CE$269,O98,FALSE)</f>
        <v>92987</v>
      </c>
      <c r="H98" s="164">
        <f>'Model Inputs'!H15</f>
        <v>101773.9</v>
      </c>
      <c r="I98" s="165">
        <f>'Model Inputs'!I15</f>
        <v>101773.9</v>
      </c>
      <c r="J98" s="165">
        <f>'Model Inputs'!J15</f>
        <v>101773.9</v>
      </c>
      <c r="K98" s="165">
        <f>'Model Inputs'!K15</f>
        <v>101773.9</v>
      </c>
      <c r="L98" s="165">
        <f>'Model Inputs'!L15</f>
        <v>101773.9</v>
      </c>
      <c r="M98" s="166">
        <f>'Model Inputs'!M15</f>
        <v>101773.9</v>
      </c>
      <c r="N98" s="209">
        <v>5</v>
      </c>
      <c r="O98" s="109">
        <v>96</v>
      </c>
      <c r="P98" s="109">
        <v>0</v>
      </c>
      <c r="Q98" s="158">
        <v>4962217</v>
      </c>
      <c r="R98" s="158">
        <v>48304</v>
      </c>
      <c r="S98" s="158">
        <v>6295</v>
      </c>
      <c r="T98" s="158">
        <v>151868</v>
      </c>
      <c r="U98" s="158">
        <v>183514</v>
      </c>
      <c r="V98" s="158">
        <v>323414</v>
      </c>
      <c r="W98" s="158">
        <v>92987</v>
      </c>
      <c r="X98" s="194">
        <v>24218</v>
      </c>
      <c r="Y98" s="158">
        <v>7121</v>
      </c>
      <c r="Z98" s="158">
        <v>6429</v>
      </c>
      <c r="AA98" s="158">
        <v>62827</v>
      </c>
      <c r="AB98" s="158">
        <v>648618</v>
      </c>
      <c r="AC98" s="158">
        <v>302619</v>
      </c>
      <c r="AD98" s="158">
        <v>229174</v>
      </c>
      <c r="AE98" s="158">
        <v>454300</v>
      </c>
      <c r="AF98" s="158">
        <v>56139</v>
      </c>
      <c r="AG98" s="158">
        <v>111736</v>
      </c>
      <c r="AH98" s="158">
        <v>16594</v>
      </c>
      <c r="AI98" s="158">
        <v>120116</v>
      </c>
      <c r="AJ98" s="158">
        <v>103142</v>
      </c>
      <c r="AK98" s="158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200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7"/>
      <c r="G99" s="100">
        <f>HLOOKUP($E$3,$P$3:$CE$269,O99,FALSE)</f>
        <v>1602</v>
      </c>
      <c r="H99" s="164">
        <f>'Model Inputs'!H16</f>
        <v>1555</v>
      </c>
      <c r="I99" s="165">
        <f>'Model Inputs'!I16</f>
        <v>1555</v>
      </c>
      <c r="J99" s="165">
        <f>'Model Inputs'!J16</f>
        <v>1555</v>
      </c>
      <c r="K99" s="165">
        <f>'Model Inputs'!K16</f>
        <v>1555</v>
      </c>
      <c r="L99" s="165">
        <f>'Model Inputs'!L16</f>
        <v>1555</v>
      </c>
      <c r="M99" s="166">
        <f>'Model Inputs'!M16</f>
        <v>1555</v>
      </c>
      <c r="N99" s="209">
        <v>6</v>
      </c>
      <c r="O99" s="109">
        <v>97</v>
      </c>
      <c r="P99" s="109">
        <v>0</v>
      </c>
      <c r="Q99" s="158">
        <v>49610</v>
      </c>
      <c r="R99" s="158">
        <v>2166</v>
      </c>
      <c r="S99" s="158">
        <v>92</v>
      </c>
      <c r="T99" s="158">
        <v>773</v>
      </c>
      <c r="U99" s="158">
        <v>515</v>
      </c>
      <c r="V99" s="158">
        <v>1539</v>
      </c>
      <c r="W99" s="158">
        <v>1602</v>
      </c>
      <c r="X99" s="194">
        <v>159</v>
      </c>
      <c r="Y99" s="158">
        <v>54</v>
      </c>
      <c r="Z99" s="158">
        <v>36</v>
      </c>
      <c r="AA99" s="158">
        <v>165</v>
      </c>
      <c r="AB99" s="158">
        <v>3823</v>
      </c>
      <c r="AC99" s="158">
        <v>1523</v>
      </c>
      <c r="AD99" s="158">
        <v>3083</v>
      </c>
      <c r="AE99" s="158">
        <v>4690</v>
      </c>
      <c r="AF99" s="158">
        <v>371</v>
      </c>
      <c r="AG99" s="158">
        <v>437</v>
      </c>
      <c r="AH99" s="158">
        <v>141</v>
      </c>
      <c r="AI99" s="158">
        <v>1616</v>
      </c>
      <c r="AJ99" s="158">
        <v>261</v>
      </c>
      <c r="AK99" s="158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200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9"/>
      <c r="G100" s="7"/>
      <c r="H100" s="7"/>
      <c r="I100" s="7"/>
      <c r="J100" s="7"/>
      <c r="K100" s="7"/>
      <c r="L100" s="7"/>
      <c r="M100" s="7"/>
      <c r="N100" s="209"/>
      <c r="O100" s="109">
        <v>98</v>
      </c>
      <c r="P100" s="109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94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200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9"/>
      <c r="G101" s="7"/>
      <c r="H101" s="7"/>
      <c r="I101" s="7"/>
      <c r="J101" s="7"/>
      <c r="K101" s="7"/>
      <c r="L101" s="7"/>
      <c r="M101" s="7"/>
      <c r="N101" s="209"/>
      <c r="O101" s="109">
        <v>99</v>
      </c>
      <c r="P101" s="109">
        <v>0</v>
      </c>
      <c r="Q101" s="158">
        <v>0</v>
      </c>
      <c r="R101" s="158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94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200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72" t="s">
        <v>93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7"/>
      <c r="N102" s="209"/>
      <c r="O102" s="109">
        <v>100</v>
      </c>
      <c r="P102" s="109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94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200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9"/>
      <c r="G103" s="7"/>
      <c r="H103" s="7"/>
      <c r="I103" s="7"/>
      <c r="J103" s="7"/>
      <c r="K103" s="7"/>
      <c r="L103" s="7"/>
      <c r="M103" s="7"/>
      <c r="N103" s="209"/>
      <c r="O103" s="109">
        <v>101</v>
      </c>
      <c r="P103" s="109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94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200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9"/>
      <c r="G104" s="7"/>
      <c r="H104" s="23"/>
      <c r="I104" s="23"/>
      <c r="J104" s="23"/>
      <c r="K104" s="23"/>
      <c r="L104" s="23"/>
      <c r="M104" s="23"/>
      <c r="N104" s="209"/>
      <c r="O104" s="109">
        <v>102</v>
      </c>
      <c r="P104" s="109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94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200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94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200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94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200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7"/>
      <c r="G107" s="28">
        <f>HLOOKUP($E$3,$P$3:$CE$269,O107,FALSE)</f>
        <v>10005215.690000001</v>
      </c>
      <c r="H107" s="28">
        <f t="shared" ref="H107:K107" si="5">H89</f>
        <v>9411250.8699999992</v>
      </c>
      <c r="I107" s="28">
        <f t="shared" si="5"/>
        <v>9462182.5199999996</v>
      </c>
      <c r="J107" s="28">
        <f t="shared" si="5"/>
        <v>9425367.7616829239</v>
      </c>
      <c r="K107" s="28">
        <f t="shared" si="5"/>
        <v>9613875.116916582</v>
      </c>
      <c r="L107" s="28">
        <f t="shared" ref="L107:M107" si="6">L89</f>
        <v>9806152.6192549169</v>
      </c>
      <c r="M107" s="28">
        <f t="shared" si="6"/>
        <v>10002275.671640014</v>
      </c>
      <c r="O107" s="109">
        <v>105</v>
      </c>
      <c r="P107" s="109">
        <v>0</v>
      </c>
      <c r="Q107" s="158">
        <v>257552392.22999999</v>
      </c>
      <c r="R107" s="158">
        <v>11990934.029999999</v>
      </c>
      <c r="S107" s="158">
        <v>1083377.24</v>
      </c>
      <c r="T107" s="158">
        <v>13313535.220000001</v>
      </c>
      <c r="U107" s="158">
        <v>10071915.239999998</v>
      </c>
      <c r="V107" s="158">
        <v>19043935.529999997</v>
      </c>
      <c r="W107" s="158">
        <v>10005215.690000001</v>
      </c>
      <c r="X107" s="194">
        <v>2602316.9699999993</v>
      </c>
      <c r="Y107" s="158">
        <v>819047.94000000006</v>
      </c>
      <c r="Z107" s="158">
        <v>691107.49</v>
      </c>
      <c r="AA107" s="158">
        <v>2787807.9099999992</v>
      </c>
      <c r="AB107" s="158">
        <v>30126188.090000007</v>
      </c>
      <c r="AC107" s="158">
        <v>18361849.140000001</v>
      </c>
      <c r="AD107" s="158">
        <v>13298367.649999999</v>
      </c>
      <c r="AE107" s="158">
        <v>24432744.719999999</v>
      </c>
      <c r="AF107" s="158">
        <v>6529882.9100000001</v>
      </c>
      <c r="AG107" s="158">
        <v>7261721.5700000003</v>
      </c>
      <c r="AH107" s="158">
        <v>1709667.17</v>
      </c>
      <c r="AI107" s="158">
        <v>7356412.9500000002</v>
      </c>
      <c r="AJ107" s="158">
        <v>5855853.1500000013</v>
      </c>
      <c r="AK107" s="158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200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94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200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94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200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40"/>
      <c r="G110" s="101">
        <f t="shared" ref="G110:G119" si="7">HLOOKUP($E$3,$P$3:$CE$269,O110,FALSE)</f>
        <v>6.0176E-2</v>
      </c>
      <c r="H110" s="167">
        <f>'Model Inputs'!H22</f>
        <v>6.0176E-2</v>
      </c>
      <c r="I110" s="168">
        <f>'Model Inputs'!I22</f>
        <v>6.0176E-2</v>
      </c>
      <c r="J110" s="168">
        <f>'Model Inputs'!J22</f>
        <v>6.0176E-2</v>
      </c>
      <c r="K110" s="168">
        <f>'Model Inputs'!K22</f>
        <v>6.0176E-2</v>
      </c>
      <c r="L110" s="168">
        <f>'Model Inputs'!L22</f>
        <v>6.0176E-2</v>
      </c>
      <c r="M110" s="169">
        <f>'Model Inputs'!M22</f>
        <v>6.0176E-2</v>
      </c>
      <c r="N110" s="209">
        <v>10</v>
      </c>
      <c r="O110" s="109">
        <v>108</v>
      </c>
      <c r="P110" s="109">
        <v>0</v>
      </c>
      <c r="Q110" s="158">
        <v>6.0176E-2</v>
      </c>
      <c r="R110" s="158">
        <v>6.0176E-2</v>
      </c>
      <c r="S110" s="158">
        <v>6.0176E-2</v>
      </c>
      <c r="T110" s="158">
        <v>6.0176E-2</v>
      </c>
      <c r="U110" s="158">
        <v>6.0176E-2</v>
      </c>
      <c r="V110" s="158">
        <v>6.0176E-2</v>
      </c>
      <c r="W110" s="158">
        <v>6.0176E-2</v>
      </c>
      <c r="X110" s="194">
        <v>6.0176E-2</v>
      </c>
      <c r="Y110" s="158">
        <v>6.0176E-2</v>
      </c>
      <c r="Z110" s="158">
        <v>6.0176E-2</v>
      </c>
      <c r="AA110" s="158">
        <v>6.0176E-2</v>
      </c>
      <c r="AB110" s="158">
        <v>6.0176E-2</v>
      </c>
      <c r="AC110" s="158">
        <v>6.0176E-2</v>
      </c>
      <c r="AD110" s="158">
        <v>6.0176E-2</v>
      </c>
      <c r="AE110" s="158">
        <v>6.0176E-2</v>
      </c>
      <c r="AF110" s="158">
        <v>6.0176E-2</v>
      </c>
      <c r="AG110" s="158">
        <v>6.0176E-2</v>
      </c>
      <c r="AH110" s="158">
        <v>6.0176E-2</v>
      </c>
      <c r="AI110" s="158">
        <v>6.0176E-2</v>
      </c>
      <c r="AJ110" s="158">
        <v>6.0176E-2</v>
      </c>
      <c r="AK110" s="158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200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41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1"/>
      <c r="O111" s="109">
        <v>109</v>
      </c>
      <c r="P111" s="109">
        <v>0</v>
      </c>
      <c r="Q111" s="158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4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200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2"/>
      <c r="G112" s="32">
        <f t="shared" si="7"/>
        <v>173.41619499024227</v>
      </c>
      <c r="H112" s="170">
        <f>G112*EXP('Model Inputs'!H21)</f>
        <v>176.83888304926026</v>
      </c>
      <c r="I112" s="171">
        <f>H112*EXP('Model Inputs'!I21)</f>
        <v>180.32912416207466</v>
      </c>
      <c r="J112" s="171">
        <f>I112*EXP('Model Inputs'!J21)</f>
        <v>183.88825161264199</v>
      </c>
      <c r="K112" s="171">
        <f>J112*EXP('Model Inputs'!K21)</f>
        <v>187.51762499973367</v>
      </c>
      <c r="L112" s="171">
        <f>K112*EXP('Model Inputs'!L21)</f>
        <v>191.21863075630742</v>
      </c>
      <c r="M112" s="172">
        <f>L112*EXP('Model Inputs'!M21)</f>
        <v>194.99268267912933</v>
      </c>
      <c r="N112" s="209">
        <v>9</v>
      </c>
      <c r="O112" s="109">
        <v>110</v>
      </c>
      <c r="P112" s="109">
        <v>0</v>
      </c>
      <c r="Q112" s="158">
        <v>173.41619499024227</v>
      </c>
      <c r="R112" s="158">
        <v>173.41619499024227</v>
      </c>
      <c r="S112" s="158">
        <v>173.41619499024227</v>
      </c>
      <c r="T112" s="158">
        <v>173.41619499024227</v>
      </c>
      <c r="U112" s="158">
        <v>173.41619499024227</v>
      </c>
      <c r="V112" s="158">
        <v>173.41619499024227</v>
      </c>
      <c r="W112" s="158">
        <v>173.41619499024227</v>
      </c>
      <c r="X112" s="194">
        <v>173.41619499024227</v>
      </c>
      <c r="Y112" s="158">
        <v>173.41619499024227</v>
      </c>
      <c r="Z112" s="158">
        <v>173.41619499024227</v>
      </c>
      <c r="AA112" s="158">
        <v>173.41619499024227</v>
      </c>
      <c r="AB112" s="158">
        <v>173.41619499024227</v>
      </c>
      <c r="AC112" s="158">
        <v>173.41619499024227</v>
      </c>
      <c r="AD112" s="158">
        <v>173.41619499024227</v>
      </c>
      <c r="AE112" s="158">
        <v>173.41619499024227</v>
      </c>
      <c r="AF112" s="158">
        <v>173.41619499024227</v>
      </c>
      <c r="AG112" s="158">
        <v>173.41619499024227</v>
      </c>
      <c r="AH112" s="158">
        <v>173.41619499024227</v>
      </c>
      <c r="AI112" s="158">
        <v>173.41619499024227</v>
      </c>
      <c r="AJ112" s="158">
        <v>173.41619499024227</v>
      </c>
      <c r="AK112" s="158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200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3"/>
      <c r="G113" s="28">
        <f t="shared" si="7"/>
        <v>18.193319016886882</v>
      </c>
      <c r="H113" s="28">
        <f t="shared" ref="H113:M113" si="8">G112*H110+H111*H112</f>
        <v>18.552397681693865</v>
      </c>
      <c r="I113" s="28">
        <f t="shared" si="8"/>
        <v>18.918563425411513</v>
      </c>
      <c r="J113" s="28">
        <f t="shared" si="8"/>
        <v>19.29195612459727</v>
      </c>
      <c r="K113" s="28">
        <f t="shared" si="8"/>
        <v>19.67271841653012</v>
      </c>
      <c r="L113" s="28">
        <f t="shared" si="8"/>
        <v>20.060995753698485</v>
      </c>
      <c r="M113" s="28">
        <f t="shared" si="8"/>
        <v>20.45693645936359</v>
      </c>
      <c r="N113" s="208"/>
      <c r="O113" s="109">
        <v>111</v>
      </c>
      <c r="P113" s="109">
        <v>0</v>
      </c>
      <c r="Q113" s="158">
        <v>18.193319016886882</v>
      </c>
      <c r="R113" s="158">
        <v>18.193319016886882</v>
      </c>
      <c r="S113" s="158">
        <v>18.193319016886882</v>
      </c>
      <c r="T113" s="158">
        <v>18.193319016886882</v>
      </c>
      <c r="U113" s="158">
        <v>18.193319016886882</v>
      </c>
      <c r="V113" s="158">
        <v>18.193319016886882</v>
      </c>
      <c r="W113" s="158">
        <v>18.193319016886882</v>
      </c>
      <c r="X113" s="194">
        <v>18.193319016886882</v>
      </c>
      <c r="Y113" s="158">
        <v>18.193319016886882</v>
      </c>
      <c r="Z113" s="158">
        <v>18.193319016886882</v>
      </c>
      <c r="AA113" s="158">
        <v>18.193319016886882</v>
      </c>
      <c r="AB113" s="158">
        <v>18.193319016886882</v>
      </c>
      <c r="AC113" s="158">
        <v>18.193319016886882</v>
      </c>
      <c r="AD113" s="158">
        <v>18.193319016886882</v>
      </c>
      <c r="AE113" s="158">
        <v>18.193319016886882</v>
      </c>
      <c r="AF113" s="158">
        <v>18.193319016886882</v>
      </c>
      <c r="AG113" s="158">
        <v>18.193319016886882</v>
      </c>
      <c r="AH113" s="158">
        <v>18.193319016886882</v>
      </c>
      <c r="AI113" s="158">
        <v>18.193319016886882</v>
      </c>
      <c r="AJ113" s="158">
        <v>18.193319016886882</v>
      </c>
      <c r="AK113" s="158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200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9"/>
      <c r="G114" s="7">
        <f t="shared" si="7"/>
        <v>15443000</v>
      </c>
      <c r="H114" s="173">
        <f>H92</f>
        <v>15952967.539999997</v>
      </c>
      <c r="I114" s="174">
        <f t="shared" ref="I114:L114" si="9">I92</f>
        <v>14221135.440000001</v>
      </c>
      <c r="J114" s="174">
        <f t="shared" si="9"/>
        <v>14987797.399999999</v>
      </c>
      <c r="K114" s="174">
        <f t="shared" si="9"/>
        <v>11796000</v>
      </c>
      <c r="L114" s="174">
        <f t="shared" si="9"/>
        <v>12732000</v>
      </c>
      <c r="M114" s="175">
        <f t="shared" ref="M114" si="10">M92</f>
        <v>11579000</v>
      </c>
      <c r="N114" s="209">
        <v>1</v>
      </c>
      <c r="O114" s="109">
        <v>112</v>
      </c>
      <c r="P114" s="109">
        <v>0</v>
      </c>
      <c r="Q114" s="158">
        <v>396096369</v>
      </c>
      <c r="R114" s="158">
        <v>9442000</v>
      </c>
      <c r="S114" s="158">
        <v>302664.13</v>
      </c>
      <c r="T114" s="158">
        <v>9625611</v>
      </c>
      <c r="U114" s="158">
        <v>9196377</v>
      </c>
      <c r="V114" s="158">
        <v>20639511.120000001</v>
      </c>
      <c r="W114" s="158">
        <v>15443000</v>
      </c>
      <c r="X114" s="194">
        <v>1948108.46</v>
      </c>
      <c r="Y114" s="158">
        <v>124116.79</v>
      </c>
      <c r="Z114" s="158">
        <v>200621</v>
      </c>
      <c r="AA114" s="158">
        <v>1094568.98</v>
      </c>
      <c r="AB114" s="158">
        <v>58740871</v>
      </c>
      <c r="AC114" s="158">
        <v>17007795</v>
      </c>
      <c r="AD114" s="158">
        <v>13523376.880000001</v>
      </c>
      <c r="AE114" s="158">
        <v>19657749.010000002</v>
      </c>
      <c r="AF114" s="158">
        <v>5508633</v>
      </c>
      <c r="AG114" s="158">
        <v>7596241</v>
      </c>
      <c r="AH114" s="158">
        <v>452495</v>
      </c>
      <c r="AI114" s="158">
        <v>7192770.9100000001</v>
      </c>
      <c r="AJ114" s="158">
        <v>3482950.61</v>
      </c>
      <c r="AK114" s="158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200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9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9">
        <v>2</v>
      </c>
      <c r="O115" s="109">
        <v>113</v>
      </c>
      <c r="P115" s="109">
        <v>0</v>
      </c>
      <c r="Q115" s="158">
        <v>1745077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4">
        <v>225269.16</v>
      </c>
      <c r="Y115" s="158">
        <v>0</v>
      </c>
      <c r="Z115" s="158">
        <v>0</v>
      </c>
      <c r="AA115" s="158">
        <v>0</v>
      </c>
      <c r="AB115" s="158">
        <v>0</v>
      </c>
      <c r="AC115" s="158">
        <v>34153.019999999997</v>
      </c>
      <c r="AD115" s="158">
        <v>0</v>
      </c>
      <c r="AE115" s="158">
        <v>815689.61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200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9"/>
      <c r="G116" s="7">
        <f t="shared" si="7"/>
        <v>89051.659799529923</v>
      </c>
      <c r="H116" s="7">
        <f t="shared" ref="H116:K116" si="13">(H114-H115)/H112</f>
        <v>90211.876850387795</v>
      </c>
      <c r="I116" s="7">
        <f t="shared" si="13"/>
        <v>78862.111187422241</v>
      </c>
      <c r="J116" s="7">
        <f t="shared" si="13"/>
        <v>81504.920888429464</v>
      </c>
      <c r="K116" s="7">
        <f t="shared" si="13"/>
        <v>62906.086827927531</v>
      </c>
      <c r="L116" s="7">
        <f t="shared" ref="L116:M116" si="14">(L114-L115)/L112</f>
        <v>66583.470186155129</v>
      </c>
      <c r="M116" s="7">
        <f t="shared" si="14"/>
        <v>59381.715461876338</v>
      </c>
      <c r="N116" s="209"/>
      <c r="O116" s="109">
        <v>114</v>
      </c>
      <c r="P116" s="109">
        <v>0</v>
      </c>
      <c r="Q116" s="158">
        <v>2274016.5185967162</v>
      </c>
      <c r="R116" s="158">
        <v>54447.048619255424</v>
      </c>
      <c r="S116" s="158">
        <v>1745.304871999009</v>
      </c>
      <c r="T116" s="158">
        <v>55505.836698479114</v>
      </c>
      <c r="U116" s="158">
        <v>53030.669947045368</v>
      </c>
      <c r="V116" s="158">
        <v>119017.20667531276</v>
      </c>
      <c r="W116" s="158">
        <v>89051.659799529923</v>
      </c>
      <c r="X116" s="194">
        <v>9934.7082323939831</v>
      </c>
      <c r="Y116" s="158">
        <v>715.71625710611261</v>
      </c>
      <c r="Z116" s="158">
        <v>1156.8758039656473</v>
      </c>
      <c r="AA116" s="158">
        <v>6311.8036931994084</v>
      </c>
      <c r="AB116" s="158">
        <v>338727.71227223164</v>
      </c>
      <c r="AC116" s="158">
        <v>97878.067160653984</v>
      </c>
      <c r="AD116" s="158">
        <v>77982.202762325222</v>
      </c>
      <c r="AE116" s="158">
        <v>108652.24785413036</v>
      </c>
      <c r="AF116" s="158">
        <v>31765.389618368445</v>
      </c>
      <c r="AG116" s="158">
        <v>43803.527118256876</v>
      </c>
      <c r="AH116" s="158">
        <v>2609.3007058854037</v>
      </c>
      <c r="AI116" s="158">
        <v>41476.927287008693</v>
      </c>
      <c r="AJ116" s="158">
        <v>20084.344545767352</v>
      </c>
      <c r="AK116" s="158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200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4"/>
      <c r="G117" s="24">
        <f t="shared" si="7"/>
        <v>38820.578591340025</v>
      </c>
      <c r="H117" s="24">
        <f t="shared" ref="H117:M117" si="15">H111*G118</f>
        <v>41126.185218795945</v>
      </c>
      <c r="I117" s="24">
        <f t="shared" si="15"/>
        <v>43379.218464686011</v>
      </c>
      <c r="J117" s="24">
        <f t="shared" si="15"/>
        <v>45007.883240659598</v>
      </c>
      <c r="K117" s="24">
        <f t="shared" si="15"/>
        <v>46683.09726869224</v>
      </c>
      <c r="L117" s="24">
        <f t="shared" si="15"/>
        <v>47427.732489461145</v>
      </c>
      <c r="M117" s="24">
        <f t="shared" si="15"/>
        <v>48306.980849739397</v>
      </c>
      <c r="N117" s="210"/>
      <c r="O117" s="109">
        <v>115</v>
      </c>
      <c r="P117" s="109">
        <v>0</v>
      </c>
      <c r="Q117" s="158">
        <v>1205112.560536399</v>
      </c>
      <c r="R117" s="158">
        <v>35018.968041279375</v>
      </c>
      <c r="S117" s="158">
        <v>1510.1604237634947</v>
      </c>
      <c r="T117" s="158">
        <v>33402.357791672468</v>
      </c>
      <c r="U117" s="158">
        <v>28383.288481633233</v>
      </c>
      <c r="V117" s="158">
        <v>63126.802054465108</v>
      </c>
      <c r="W117" s="158">
        <v>38820.578591340025</v>
      </c>
      <c r="X117" s="194">
        <v>6472.371851056736</v>
      </c>
      <c r="Y117" s="158">
        <v>591.79874808743784</v>
      </c>
      <c r="Z117" s="158">
        <v>1310.8497097562645</v>
      </c>
      <c r="AA117" s="158">
        <v>6117.4649062861918</v>
      </c>
      <c r="AB117" s="158">
        <v>164624.09903766724</v>
      </c>
      <c r="AC117" s="158">
        <v>65817.092261630212</v>
      </c>
      <c r="AD117" s="158">
        <v>50615.551796908927</v>
      </c>
      <c r="AE117" s="158">
        <v>98069.520192553449</v>
      </c>
      <c r="AF117" s="158">
        <v>11569.155003212605</v>
      </c>
      <c r="AG117" s="158">
        <v>21437.166512315267</v>
      </c>
      <c r="AH117" s="158">
        <v>1985.9956125892791</v>
      </c>
      <c r="AI117" s="158">
        <v>25159.288635542318</v>
      </c>
      <c r="AJ117" s="158">
        <v>20278.82084933755</v>
      </c>
      <c r="AK117" s="158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200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4"/>
      <c r="G118" s="24">
        <f t="shared" si="7"/>
        <v>895995.32067093556</v>
      </c>
      <c r="H118" s="24">
        <f t="shared" ref="H118:M118" si="16">G118+H116-H117</f>
        <v>945081.01230252744</v>
      </c>
      <c r="I118" s="24">
        <f t="shared" si="16"/>
        <v>980563.90502526355</v>
      </c>
      <c r="J118" s="24">
        <f t="shared" si="16"/>
        <v>1017060.9426730335</v>
      </c>
      <c r="K118" s="24">
        <f t="shared" si="16"/>
        <v>1033283.9322322689</v>
      </c>
      <c r="L118" s="24">
        <f t="shared" si="16"/>
        <v>1052439.6699289628</v>
      </c>
      <c r="M118" s="24">
        <f t="shared" si="16"/>
        <v>1063514.4045410997</v>
      </c>
      <c r="N118" s="210"/>
      <c r="O118" s="109">
        <v>116</v>
      </c>
      <c r="P118" s="109">
        <v>0</v>
      </c>
      <c r="Q118" s="158">
        <v>27324079.568875108</v>
      </c>
      <c r="R118" s="158">
        <v>782368.56078014104</v>
      </c>
      <c r="S118" s="158">
        <v>33136.243005174394</v>
      </c>
      <c r="T118" s="158">
        <v>749823.69223300426</v>
      </c>
      <c r="U118" s="158">
        <v>643019.67954021029</v>
      </c>
      <c r="V118" s="158">
        <v>1431201.9962213945</v>
      </c>
      <c r="W118" s="158">
        <v>895995.32067093556</v>
      </c>
      <c r="X118" s="194">
        <v>144472.61636078684</v>
      </c>
      <c r="Y118" s="158">
        <v>13017.136421599018</v>
      </c>
      <c r="Z118" s="158">
        <v>28404.843300228215</v>
      </c>
      <c r="AA118" s="158">
        <v>133472.44132038145</v>
      </c>
      <c r="AB118" s="158">
        <v>3760685.2916151136</v>
      </c>
      <c r="AC118" s="158">
        <v>1465984.5535837777</v>
      </c>
      <c r="AD118" s="158">
        <v>1130101.9842314059</v>
      </c>
      <c r="AE118" s="158">
        <v>2147173.5815298436</v>
      </c>
      <c r="AF118" s="158">
        <v>272247.54187468969</v>
      </c>
      <c r="AG118" s="158">
        <v>489407.02536226547</v>
      </c>
      <c r="AH118" s="158">
        <v>43891.183363215059</v>
      </c>
      <c r="AI118" s="158">
        <v>564450.28866328159</v>
      </c>
      <c r="AJ118" s="158">
        <v>441609.89949899074</v>
      </c>
      <c r="AK118" s="158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200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4"/>
      <c r="G119" s="24">
        <f t="shared" si="7"/>
        <v>16301128.706604192</v>
      </c>
      <c r="H119" s="24">
        <f t="shared" ref="H119:K119" si="17">H113*H118</f>
        <v>17533518.781654302</v>
      </c>
      <c r="I119" s="24">
        <f t="shared" si="17"/>
        <v>18550860.429889638</v>
      </c>
      <c r="J119" s="24">
        <f t="shared" si="17"/>
        <v>19621095.0820897</v>
      </c>
      <c r="K119" s="24">
        <f t="shared" si="17"/>
        <v>20327503.843130417</v>
      </c>
      <c r="L119" s="24">
        <f t="shared" ref="L119:M119" si="18">L113*L118</f>
        <v>21112987.749468759</v>
      </c>
      <c r="M119" s="24">
        <f t="shared" si="18"/>
        <v>21756246.597315181</v>
      </c>
      <c r="N119" s="210"/>
      <c r="O119" s="109">
        <v>117</v>
      </c>
      <c r="P119" s="109">
        <v>0</v>
      </c>
      <c r="Q119" s="158">
        <v>497115696.43934584</v>
      </c>
      <c r="R119" s="158">
        <v>14233880.81505576</v>
      </c>
      <c r="S119" s="158">
        <v>602858.2400142242</v>
      </c>
      <c r="T119" s="158">
        <v>13641781.639215052</v>
      </c>
      <c r="U119" s="158">
        <v>11698662.164011417</v>
      </c>
      <c r="V119" s="158">
        <v>26038314.494861163</v>
      </c>
      <c r="W119" s="158">
        <v>16301128.706604192</v>
      </c>
      <c r="X119" s="194">
        <v>2628436.3986561061</v>
      </c>
      <c r="Y119" s="158">
        <v>236824.91560448825</v>
      </c>
      <c r="Z119" s="158">
        <v>516778.37578573392</v>
      </c>
      <c r="AA119" s="158">
        <v>2428306.7049044142</v>
      </c>
      <c r="AB119" s="158">
        <v>68419347.232468039</v>
      </c>
      <c r="AC119" s="158">
        <v>26671124.657178171</v>
      </c>
      <c r="AD119" s="158">
        <v>20560305.920738835</v>
      </c>
      <c r="AE119" s="158">
        <v>39064213.953404017</v>
      </c>
      <c r="AF119" s="158">
        <v>4953086.3808894996</v>
      </c>
      <c r="AG119" s="158">
        <v>8903938.1415213458</v>
      </c>
      <c r="AH119" s="158">
        <v>798526.3009556497</v>
      </c>
      <c r="AI119" s="158">
        <v>10269224.170824971</v>
      </c>
      <c r="AJ119" s="158">
        <v>8034349.7826004932</v>
      </c>
      <c r="AK119" s="158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200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8">
        <v>0</v>
      </c>
      <c r="R120" s="158">
        <v>0</v>
      </c>
      <c r="S120" s="158">
        <v>0</v>
      </c>
      <c r="T120" s="158">
        <v>0</v>
      </c>
      <c r="U120" s="158">
        <v>0</v>
      </c>
      <c r="V120" s="158">
        <v>0</v>
      </c>
      <c r="W120" s="158">
        <v>0</v>
      </c>
      <c r="X120" s="194">
        <v>0</v>
      </c>
      <c r="Y120" s="158">
        <v>0</v>
      </c>
      <c r="Z120" s="158">
        <v>0</v>
      </c>
      <c r="AA120" s="158">
        <v>0</v>
      </c>
      <c r="AB120" s="158">
        <v>0</v>
      </c>
      <c r="AC120" s="158">
        <v>0</v>
      </c>
      <c r="AD120" s="158">
        <v>0</v>
      </c>
      <c r="AE120" s="158">
        <v>0</v>
      </c>
      <c r="AF120" s="158">
        <v>0</v>
      </c>
      <c r="AG120" s="158">
        <v>0</v>
      </c>
      <c r="AH120" s="158">
        <v>0</v>
      </c>
      <c r="AI120" s="158">
        <v>0</v>
      </c>
      <c r="AJ120" s="158">
        <v>0</v>
      </c>
      <c r="AK120" s="158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200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4"/>
      <c r="G121" s="24">
        <f>HLOOKUP($E$3,$P$3:$CE$269,O121,FALSE)</f>
        <v>26306344.396604195</v>
      </c>
      <c r="H121" s="24">
        <f t="shared" ref="H121:K121" si="19">H107+H119</f>
        <v>26944769.651654303</v>
      </c>
      <c r="I121" s="24">
        <f t="shared" si="19"/>
        <v>28013042.949889638</v>
      </c>
      <c r="J121" s="24">
        <f t="shared" si="19"/>
        <v>29046462.843772624</v>
      </c>
      <c r="K121" s="24">
        <f t="shared" si="19"/>
        <v>29941378.960046999</v>
      </c>
      <c r="L121" s="24">
        <f t="shared" ref="L121:M121" si="20">L107+L119</f>
        <v>30919140.368723676</v>
      </c>
      <c r="M121" s="24">
        <f t="shared" si="20"/>
        <v>31758522.268955193</v>
      </c>
      <c r="N121" s="210"/>
      <c r="O121" s="109">
        <v>119</v>
      </c>
      <c r="P121" s="109">
        <v>0</v>
      </c>
      <c r="Q121" s="158">
        <v>754668088.66934586</v>
      </c>
      <c r="R121" s="158">
        <v>26224814.845055759</v>
      </c>
      <c r="S121" s="158">
        <v>1686235.4800142241</v>
      </c>
      <c r="T121" s="158">
        <v>26955316.859215051</v>
      </c>
      <c r="U121" s="158">
        <v>21770577.404011413</v>
      </c>
      <c r="V121" s="158">
        <v>45082250.024861157</v>
      </c>
      <c r="W121" s="158">
        <v>26306344.396604195</v>
      </c>
      <c r="X121" s="194">
        <v>5230753.3686561054</v>
      </c>
      <c r="Y121" s="158">
        <v>1055872.8556044884</v>
      </c>
      <c r="Z121" s="158">
        <v>1207885.8657857338</v>
      </c>
      <c r="AA121" s="158">
        <v>5216114.614904413</v>
      </c>
      <c r="AB121" s="158">
        <v>98545535.322468042</v>
      </c>
      <c r="AC121" s="158">
        <v>45032973.797178172</v>
      </c>
      <c r="AD121" s="158">
        <v>33858673.570738837</v>
      </c>
      <c r="AE121" s="158">
        <v>63496958.673404016</v>
      </c>
      <c r="AF121" s="158">
        <v>11482969.2908895</v>
      </c>
      <c r="AG121" s="158">
        <v>16165659.711521346</v>
      </c>
      <c r="AH121" s="158">
        <v>2508193.4709556494</v>
      </c>
      <c r="AI121" s="158">
        <v>17625637.12082497</v>
      </c>
      <c r="AJ121" s="158">
        <v>13890202.932600494</v>
      </c>
      <c r="AK121" s="158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200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94">
        <v>0</v>
      </c>
      <c r="Y122" s="158">
        <v>0</v>
      </c>
      <c r="Z122" s="158">
        <v>0</v>
      </c>
      <c r="AA122" s="158">
        <v>0</v>
      </c>
      <c r="AB122" s="158">
        <v>0</v>
      </c>
      <c r="AC122" s="158">
        <v>0</v>
      </c>
      <c r="AD122" s="158">
        <v>0</v>
      </c>
      <c r="AE122" s="158">
        <v>0</v>
      </c>
      <c r="AF122" s="158">
        <v>0</v>
      </c>
      <c r="AG122" s="158">
        <v>0</v>
      </c>
      <c r="AH122" s="158">
        <v>0</v>
      </c>
      <c r="AI122" s="158">
        <v>0</v>
      </c>
      <c r="AJ122" s="158">
        <v>0</v>
      </c>
      <c r="AK122" s="158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200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72" t="s">
        <v>108</v>
      </c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7"/>
      <c r="N123" s="209"/>
      <c r="O123" s="109">
        <v>121</v>
      </c>
      <c r="P123" s="109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94">
        <v>0</v>
      </c>
      <c r="Y123" s="158">
        <v>0</v>
      </c>
      <c r="Z123" s="158">
        <v>0</v>
      </c>
      <c r="AA123" s="158">
        <v>0</v>
      </c>
      <c r="AB123" s="158">
        <v>0</v>
      </c>
      <c r="AC123" s="158">
        <v>0</v>
      </c>
      <c r="AD123" s="158">
        <v>0</v>
      </c>
      <c r="AE123" s="158">
        <v>0</v>
      </c>
      <c r="AF123" s="158">
        <v>0</v>
      </c>
      <c r="AG123" s="158">
        <v>0</v>
      </c>
      <c r="AH123" s="158">
        <v>0</v>
      </c>
      <c r="AI123" s="158">
        <v>0</v>
      </c>
      <c r="AJ123" s="158">
        <v>0</v>
      </c>
      <c r="AK123" s="158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200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94">
        <v>0</v>
      </c>
      <c r="Y124" s="158">
        <v>0</v>
      </c>
      <c r="Z124" s="158">
        <v>0</v>
      </c>
      <c r="AA124" s="158">
        <v>0</v>
      </c>
      <c r="AB124" s="158">
        <v>0</v>
      </c>
      <c r="AC124" s="158">
        <v>0</v>
      </c>
      <c r="AD124" s="158">
        <v>0</v>
      </c>
      <c r="AE124" s="158">
        <v>0</v>
      </c>
      <c r="AF124" s="158">
        <v>0</v>
      </c>
      <c r="AG124" s="158">
        <v>0</v>
      </c>
      <c r="AH124" s="158">
        <v>0</v>
      </c>
      <c r="AI124" s="158">
        <v>0</v>
      </c>
      <c r="AJ124" s="158">
        <v>0</v>
      </c>
      <c r="AK124" s="158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200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94">
        <v>0</v>
      </c>
      <c r="Y125" s="158">
        <v>0</v>
      </c>
      <c r="Z125" s="158">
        <v>0</v>
      </c>
      <c r="AA125" s="158">
        <v>0</v>
      </c>
      <c r="AB125" s="158">
        <v>0</v>
      </c>
      <c r="AC125" s="158">
        <v>0</v>
      </c>
      <c r="AD125" s="158">
        <v>0</v>
      </c>
      <c r="AE125" s="158">
        <v>0</v>
      </c>
      <c r="AF125" s="158">
        <v>0</v>
      </c>
      <c r="AG125" s="158">
        <v>0</v>
      </c>
      <c r="AH125" s="158">
        <v>0</v>
      </c>
      <c r="AI125" s="158">
        <v>0</v>
      </c>
      <c r="AJ125" s="158">
        <v>0</v>
      </c>
      <c r="AK125" s="158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200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94">
        <v>0</v>
      </c>
      <c r="Y126" s="158">
        <v>0</v>
      </c>
      <c r="Z126" s="158">
        <v>0</v>
      </c>
      <c r="AA126" s="158">
        <v>0</v>
      </c>
      <c r="AB126" s="158">
        <v>0</v>
      </c>
      <c r="AC126" s="158">
        <v>0</v>
      </c>
      <c r="AD126" s="158">
        <v>0</v>
      </c>
      <c r="AE126" s="158">
        <v>0</v>
      </c>
      <c r="AF126" s="158">
        <v>0</v>
      </c>
      <c r="AG126" s="158">
        <v>0</v>
      </c>
      <c r="AH126" s="158">
        <v>0</v>
      </c>
      <c r="AI126" s="158">
        <v>0</v>
      </c>
      <c r="AJ126" s="158">
        <v>0</v>
      </c>
      <c r="AK126" s="158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200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5"/>
      <c r="G127" s="35"/>
      <c r="H127" s="4"/>
      <c r="I127" s="4"/>
      <c r="J127" s="4"/>
      <c r="K127" s="4"/>
      <c r="O127" s="109">
        <v>125</v>
      </c>
      <c r="P127" s="109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94">
        <v>0</v>
      </c>
      <c r="Y127" s="158">
        <v>0</v>
      </c>
      <c r="Z127" s="158">
        <v>0</v>
      </c>
      <c r="AA127" s="158">
        <v>0</v>
      </c>
      <c r="AB127" s="158">
        <v>0</v>
      </c>
      <c r="AC127" s="158">
        <v>0</v>
      </c>
      <c r="AD127" s="158">
        <v>0</v>
      </c>
      <c r="AE127" s="158">
        <v>0</v>
      </c>
      <c r="AF127" s="158">
        <v>0</v>
      </c>
      <c r="AG127" s="158">
        <v>0</v>
      </c>
      <c r="AH127" s="158">
        <v>0</v>
      </c>
      <c r="AI127" s="158">
        <v>0</v>
      </c>
      <c r="AJ127" s="158">
        <v>0</v>
      </c>
      <c r="AK127" s="158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200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9"/>
      <c r="G128" s="7">
        <f>HLOOKUP($E$3,$P$3:$CE$269,O128,FALSE)</f>
        <v>29456</v>
      </c>
      <c r="H128" s="7">
        <f t="shared" ref="H128:K130" si="21">H96</f>
        <v>29719</v>
      </c>
      <c r="I128" s="7">
        <f t="shared" si="21"/>
        <v>29930.710560873631</v>
      </c>
      <c r="J128" s="7">
        <f t="shared" si="21"/>
        <v>30144.019209864549</v>
      </c>
      <c r="K128" s="7">
        <f t="shared" si="21"/>
        <v>30358.848055966788</v>
      </c>
      <c r="L128" s="7">
        <f t="shared" ref="L128:M128" si="22">L96</f>
        <v>30575.207933242949</v>
      </c>
      <c r="M128" s="7">
        <f t="shared" si="22"/>
        <v>30793.109752967277</v>
      </c>
      <c r="N128" s="209"/>
      <c r="O128" s="109">
        <v>126</v>
      </c>
      <c r="P128" s="109">
        <v>0</v>
      </c>
      <c r="Q128" s="158">
        <v>1054614</v>
      </c>
      <c r="R128" s="158">
        <v>11732</v>
      </c>
      <c r="S128" s="158">
        <v>1629</v>
      </c>
      <c r="T128" s="158">
        <v>36743</v>
      </c>
      <c r="U128" s="158">
        <v>40125</v>
      </c>
      <c r="V128" s="158">
        <v>68205</v>
      </c>
      <c r="W128" s="158">
        <v>29456</v>
      </c>
      <c r="X128" s="194">
        <v>7156</v>
      </c>
      <c r="Y128" s="158">
        <v>1222</v>
      </c>
      <c r="Z128" s="158">
        <v>2366</v>
      </c>
      <c r="AA128" s="158">
        <v>12479</v>
      </c>
      <c r="AB128" s="158">
        <v>167653</v>
      </c>
      <c r="AC128" s="158">
        <v>66529</v>
      </c>
      <c r="AD128" s="158">
        <v>59811</v>
      </c>
      <c r="AE128" s="158">
        <v>89561</v>
      </c>
      <c r="AF128" s="158">
        <v>17916</v>
      </c>
      <c r="AG128" s="158">
        <v>23384</v>
      </c>
      <c r="AH128" s="158">
        <v>3309</v>
      </c>
      <c r="AI128" s="158">
        <v>30397</v>
      </c>
      <c r="AJ128" s="158">
        <v>21382</v>
      </c>
      <c r="AK128" s="158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200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6"/>
      <c r="G129" s="38">
        <f>HLOOKUP($E$3,$P$3:$CE$269,O129,FALSE)</f>
        <v>465069748</v>
      </c>
      <c r="H129" s="38">
        <f t="shared" si="21"/>
        <v>458372068.28954172</v>
      </c>
      <c r="I129" s="38">
        <f t="shared" si="21"/>
        <v>470634489.97400326</v>
      </c>
      <c r="J129" s="38">
        <f t="shared" si="21"/>
        <v>476071353.43813455</v>
      </c>
      <c r="K129" s="38">
        <f t="shared" si="21"/>
        <v>481571024.6330151</v>
      </c>
      <c r="L129" s="38">
        <f t="shared" ref="L129:M129" si="23">L97</f>
        <v>487134229.12607324</v>
      </c>
      <c r="M129" s="38">
        <f t="shared" si="23"/>
        <v>492761700.86663693</v>
      </c>
      <c r="N129" s="211"/>
      <c r="O129" s="109">
        <v>127</v>
      </c>
      <c r="P129" s="109">
        <v>0</v>
      </c>
      <c r="Q129" s="158">
        <v>26328005697</v>
      </c>
      <c r="R129" s="158">
        <v>235234354</v>
      </c>
      <c r="S129" s="158">
        <v>29166609.600000001</v>
      </c>
      <c r="T129" s="158">
        <v>968790791</v>
      </c>
      <c r="U129" s="158">
        <v>985202186.73000002</v>
      </c>
      <c r="V129" s="158">
        <v>1521791950</v>
      </c>
      <c r="W129" s="158">
        <v>465069748</v>
      </c>
      <c r="X129" s="194">
        <v>139072664.70999998</v>
      </c>
      <c r="Y129" s="158">
        <v>25025731</v>
      </c>
      <c r="Z129" s="158">
        <v>28318560</v>
      </c>
      <c r="AA129" s="158">
        <v>241131396</v>
      </c>
      <c r="AB129" s="158">
        <v>3420220802</v>
      </c>
      <c r="AC129" s="158">
        <v>1723381576.3600001</v>
      </c>
      <c r="AD129" s="158">
        <v>1182245787</v>
      </c>
      <c r="AE129" s="158">
        <v>2319341970.71</v>
      </c>
      <c r="AF129" s="158">
        <v>301705633.06</v>
      </c>
      <c r="AG129" s="158">
        <v>662289126.36000001</v>
      </c>
      <c r="AH129" s="158">
        <v>56944854.579999998</v>
      </c>
      <c r="AI129" s="158">
        <v>533666540.88999999</v>
      </c>
      <c r="AJ129" s="158">
        <v>607370642</v>
      </c>
      <c r="AK129" s="158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200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9"/>
      <c r="G130" s="7">
        <f>HLOOKUP($E$3,$P$3:$CE$269,O130,FALSE)</f>
        <v>92987</v>
      </c>
      <c r="H130" s="7">
        <f t="shared" si="21"/>
        <v>101773.9</v>
      </c>
      <c r="I130" s="7">
        <f t="shared" si="21"/>
        <v>101773.9</v>
      </c>
      <c r="J130" s="7">
        <f t="shared" si="21"/>
        <v>101773.9</v>
      </c>
      <c r="K130" s="7">
        <f t="shared" si="21"/>
        <v>101773.9</v>
      </c>
      <c r="L130" s="7">
        <f t="shared" ref="L130:M130" si="24">L98</f>
        <v>101773.9</v>
      </c>
      <c r="M130" s="7">
        <f t="shared" si="24"/>
        <v>101773.9</v>
      </c>
      <c r="N130" s="209"/>
      <c r="O130" s="109">
        <v>128</v>
      </c>
      <c r="P130" s="109">
        <v>0</v>
      </c>
      <c r="Q130" s="158">
        <v>4962217</v>
      </c>
      <c r="R130" s="158">
        <v>48304</v>
      </c>
      <c r="S130" s="158">
        <v>6295</v>
      </c>
      <c r="T130" s="158">
        <v>151868</v>
      </c>
      <c r="U130" s="158">
        <v>183514</v>
      </c>
      <c r="V130" s="158">
        <v>323414</v>
      </c>
      <c r="W130" s="158">
        <v>92987</v>
      </c>
      <c r="X130" s="194">
        <v>24218</v>
      </c>
      <c r="Y130" s="158">
        <v>7121</v>
      </c>
      <c r="Z130" s="158">
        <v>6429</v>
      </c>
      <c r="AA130" s="158">
        <v>62827</v>
      </c>
      <c r="AB130" s="158">
        <v>648618</v>
      </c>
      <c r="AC130" s="158">
        <v>302619</v>
      </c>
      <c r="AD130" s="158">
        <v>229174</v>
      </c>
      <c r="AE130" s="158">
        <v>454300</v>
      </c>
      <c r="AF130" s="158">
        <v>56139</v>
      </c>
      <c r="AG130" s="158">
        <v>111736</v>
      </c>
      <c r="AH130" s="158">
        <v>16594</v>
      </c>
      <c r="AI130" s="158">
        <v>120116</v>
      </c>
      <c r="AJ130" s="158">
        <v>103142</v>
      </c>
      <c r="AK130" s="158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200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9"/>
      <c r="G131" s="7">
        <f>HLOOKUP($E$3,$P$3:$CE$269,O131,FALSE)</f>
        <v>116948</v>
      </c>
      <c r="H131" s="7">
        <f t="shared" ref="H131:M131" si="25">MAX(G131,H130)</f>
        <v>116948</v>
      </c>
      <c r="I131" s="7">
        <f t="shared" si="25"/>
        <v>116948</v>
      </c>
      <c r="J131" s="7">
        <f t="shared" si="25"/>
        <v>116948</v>
      </c>
      <c r="K131" s="7">
        <f t="shared" si="25"/>
        <v>116948</v>
      </c>
      <c r="L131" s="7">
        <f t="shared" si="25"/>
        <v>116948</v>
      </c>
      <c r="M131" s="7">
        <f t="shared" si="25"/>
        <v>116948</v>
      </c>
      <c r="N131" s="209"/>
      <c r="O131" s="109">
        <v>129</v>
      </c>
      <c r="P131" s="109">
        <v>0</v>
      </c>
      <c r="Q131" s="158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4">
        <v>39945</v>
      </c>
      <c r="Y131" s="158">
        <v>8879</v>
      </c>
      <c r="Z131" s="158">
        <v>7251</v>
      </c>
      <c r="AA131" s="158">
        <v>65612</v>
      </c>
      <c r="AB131" s="158">
        <v>739846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111673</v>
      </c>
      <c r="AK131" s="158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200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94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200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5"/>
      <c r="G133" s="35"/>
      <c r="H133" s="25"/>
      <c r="I133" s="25"/>
      <c r="J133" s="25"/>
      <c r="K133" s="25"/>
      <c r="L133" s="25"/>
      <c r="M133" s="25"/>
      <c r="N133" s="205"/>
      <c r="O133" s="109">
        <v>131</v>
      </c>
      <c r="P133" s="109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94">
        <v>0</v>
      </c>
      <c r="Y133" s="158">
        <v>0</v>
      </c>
      <c r="Z133" s="158">
        <v>0</v>
      </c>
      <c r="AA133" s="158">
        <v>0</v>
      </c>
      <c r="AB133" s="158">
        <v>0</v>
      </c>
      <c r="AC133" s="158">
        <v>0</v>
      </c>
      <c r="AD133" s="158">
        <v>0</v>
      </c>
      <c r="AE133" s="158">
        <v>0</v>
      </c>
      <c r="AF133" s="158">
        <v>0</v>
      </c>
      <c r="AG133" s="158">
        <v>0</v>
      </c>
      <c r="AH133" s="158">
        <v>0</v>
      </c>
      <c r="AI133" s="158">
        <v>0</v>
      </c>
      <c r="AJ133" s="158">
        <v>0</v>
      </c>
      <c r="AK133" s="158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200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7">
        <f>CG134</f>
        <v>0</v>
      </c>
      <c r="G134" s="102">
        <f>HLOOKUP($E$3,$P$3:$CE$269,O134,FALSE)</f>
        <v>112.37500000000001</v>
      </c>
      <c r="H134" s="179">
        <f>G134*EXP('Model Inputs'!H21)</f>
        <v>114.592927631579</v>
      </c>
      <c r="I134" s="180">
        <f>H134*EXP('Model Inputs'!I21)</f>
        <v>116.85463015062336</v>
      </c>
      <c r="J134" s="180">
        <f>I134*EXP('Model Inputs'!J21)</f>
        <v>119.16097153517518</v>
      </c>
      <c r="K134" s="180">
        <f>J134*EXP('Model Inputs'!K21)</f>
        <v>121.51283281547472</v>
      </c>
      <c r="L134" s="180">
        <f>K134*EXP('Model Inputs'!L21)</f>
        <v>123.91111241051703</v>
      </c>
      <c r="M134" s="181">
        <f>L134*EXP('Model Inputs'!M21)</f>
        <v>126.35672647125097</v>
      </c>
      <c r="N134" s="212">
        <v>9</v>
      </c>
      <c r="O134" s="109">
        <v>132</v>
      </c>
      <c r="P134" s="109">
        <v>0</v>
      </c>
      <c r="Q134" s="158">
        <v>112.37500000000001</v>
      </c>
      <c r="R134" s="158">
        <v>112.37500000000001</v>
      </c>
      <c r="S134" s="158">
        <v>112.37500000000001</v>
      </c>
      <c r="T134" s="158">
        <v>112.37500000000001</v>
      </c>
      <c r="U134" s="158">
        <v>112.37500000000001</v>
      </c>
      <c r="V134" s="158">
        <v>112.37500000000001</v>
      </c>
      <c r="W134" s="158">
        <v>112.37500000000001</v>
      </c>
      <c r="X134" s="194">
        <v>112.37500000000001</v>
      </c>
      <c r="Y134" s="158">
        <v>112.37500000000001</v>
      </c>
      <c r="Z134" s="158">
        <v>112.37500000000001</v>
      </c>
      <c r="AA134" s="158">
        <v>112.37500000000001</v>
      </c>
      <c r="AB134" s="158">
        <v>112.37500000000001</v>
      </c>
      <c r="AC134" s="158">
        <v>112.37500000000001</v>
      </c>
      <c r="AD134" s="158">
        <v>112.37500000000001</v>
      </c>
      <c r="AE134" s="158">
        <v>112.37500000000001</v>
      </c>
      <c r="AF134" s="158">
        <v>112.37500000000001</v>
      </c>
      <c r="AG134" s="158">
        <v>112.37500000000001</v>
      </c>
      <c r="AH134" s="158">
        <v>112.37500000000001</v>
      </c>
      <c r="AI134" s="158">
        <v>112.37500000000001</v>
      </c>
      <c r="AJ134" s="158">
        <v>112.37500000000001</v>
      </c>
      <c r="AK134" s="158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200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254</v>
      </c>
      <c r="F135" s="247">
        <f>CG135</f>
        <v>0</v>
      </c>
      <c r="G135" s="40">
        <f>HLOOKUP($E$3,$P$3:$CE$269,O135,FALSE)</f>
        <v>1049.6680319015754</v>
      </c>
      <c r="H135" s="182">
        <f>G135*EXP('Model Inputs'!H20)</f>
        <v>1078.5771173911987</v>
      </c>
      <c r="I135" s="183">
        <f>H135*EXP('Model Inputs'!I20)</f>
        <v>1108.2823929127621</v>
      </c>
      <c r="J135" s="183">
        <f>I135*EXP('Model Inputs'!J20)</f>
        <v>1138.8057864711204</v>
      </c>
      <c r="K135" s="183">
        <f>J135*EXP('Model Inputs'!K20)</f>
        <v>1170.1698299940333</v>
      </c>
      <c r="L135" s="183">
        <f>K135*EXP('Model Inputs'!L20)</f>
        <v>1202.3976759649083</v>
      </c>
      <c r="M135" s="184">
        <f>L135*EXP('Model Inputs'!M20)</f>
        <v>1235.5131145136297</v>
      </c>
      <c r="N135" s="212">
        <v>8</v>
      </c>
      <c r="O135" s="109">
        <v>133</v>
      </c>
      <c r="P135" s="109">
        <v>0</v>
      </c>
      <c r="Q135" s="158">
        <v>1049.6680319015754</v>
      </c>
      <c r="R135" s="158">
        <v>1049.6680319015754</v>
      </c>
      <c r="S135" s="158">
        <v>1049.6680319015754</v>
      </c>
      <c r="T135" s="158">
        <v>1049.6680319015754</v>
      </c>
      <c r="U135" s="158">
        <v>1049.6680319015754</v>
      </c>
      <c r="V135" s="158">
        <v>1049.6680319015754</v>
      </c>
      <c r="W135" s="158">
        <v>1049.6680319015754</v>
      </c>
      <c r="X135" s="194">
        <v>1049.6680319015754</v>
      </c>
      <c r="Y135" s="158">
        <v>1049.6680319015754</v>
      </c>
      <c r="Z135" s="158">
        <v>1049.6680319015754</v>
      </c>
      <c r="AA135" s="158">
        <v>1049.6680319015754</v>
      </c>
      <c r="AB135" s="158">
        <v>1049.6680319015754</v>
      </c>
      <c r="AC135" s="158">
        <v>1049.6680319015754</v>
      </c>
      <c r="AD135" s="158">
        <v>1049.6680319015754</v>
      </c>
      <c r="AE135" s="158">
        <v>1049.6680319015754</v>
      </c>
      <c r="AF135" s="158">
        <v>1049.6680319015754</v>
      </c>
      <c r="AG135" s="158">
        <v>1049.6680319015754</v>
      </c>
      <c r="AH135" s="158">
        <v>1049.6680319015754</v>
      </c>
      <c r="AI135" s="158">
        <v>1049.6680319015754</v>
      </c>
      <c r="AJ135" s="158">
        <v>1049.6680319015754</v>
      </c>
      <c r="AK135" s="158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200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41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2.4881492977204912E-2</v>
      </c>
      <c r="I136" s="39">
        <f t="shared" ref="I136:M136" si="27">LN(I134/H134)*0.3+LN(I135/H135)*0.7</f>
        <v>2.4881492977204912E-2</v>
      </c>
      <c r="J136" s="39">
        <f t="shared" si="27"/>
        <v>2.4881492977204912E-2</v>
      </c>
      <c r="K136" s="39">
        <f t="shared" si="27"/>
        <v>2.4881492977204912E-2</v>
      </c>
      <c r="L136" s="39">
        <f t="shared" si="27"/>
        <v>2.4881492977204912E-2</v>
      </c>
      <c r="M136" s="39">
        <f t="shared" si="27"/>
        <v>2.4881492977204912E-2</v>
      </c>
      <c r="N136" s="213"/>
      <c r="O136" s="109">
        <v>134</v>
      </c>
      <c r="P136" s="109">
        <v>0</v>
      </c>
      <c r="Q136" s="158">
        <v>2.4881492977204912E-2</v>
      </c>
      <c r="R136" s="158">
        <v>2.4881492977204912E-2</v>
      </c>
      <c r="S136" s="158">
        <v>2.4881492977204912E-2</v>
      </c>
      <c r="T136" s="158">
        <v>2.4881492977204912E-2</v>
      </c>
      <c r="U136" s="158">
        <v>2.4881492977204912E-2</v>
      </c>
      <c r="V136" s="158">
        <v>2.4881492977204912E-2</v>
      </c>
      <c r="W136" s="158">
        <v>2.4881492977204912E-2</v>
      </c>
      <c r="X136" s="194">
        <v>2.4881492977204912E-2</v>
      </c>
      <c r="Y136" s="158">
        <v>2.4881492977204912E-2</v>
      </c>
      <c r="Z136" s="158">
        <v>2.4881492977204912E-2</v>
      </c>
      <c r="AA136" s="158">
        <v>2.4881492977204912E-2</v>
      </c>
      <c r="AB136" s="158">
        <v>2.4881492977204912E-2</v>
      </c>
      <c r="AC136" s="158">
        <v>2.4881492977204912E-2</v>
      </c>
      <c r="AD136" s="158">
        <v>2.4881492977204912E-2</v>
      </c>
      <c r="AE136" s="158">
        <v>2.4881492977204912E-2</v>
      </c>
      <c r="AF136" s="158">
        <v>2.4881492977204912E-2</v>
      </c>
      <c r="AG136" s="158">
        <v>2.4881492977204912E-2</v>
      </c>
      <c r="AH136" s="158">
        <v>2.4881492977204912E-2</v>
      </c>
      <c r="AI136" s="158">
        <v>2.4881492977204912E-2</v>
      </c>
      <c r="AJ136" s="158">
        <v>2.4881492977204912E-2</v>
      </c>
      <c r="AK136" s="158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200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7"/>
      <c r="G137" s="28">
        <f>HLOOKUP($E$3,$P$3:$CE$269,O137,FALSE)</f>
        <v>128.44783469671762</v>
      </c>
      <c r="H137" s="28">
        <f t="shared" ref="H137:M137" si="28">G137*EXP(H136)</f>
        <v>131.68390072142716</v>
      </c>
      <c r="I137" s="28">
        <f t="shared" si="28"/>
        <v>135.00149496606355</v>
      </c>
      <c r="J137" s="28">
        <f t="shared" si="28"/>
        <v>138.40267142167443</v>
      </c>
      <c r="K137" s="28">
        <f t="shared" si="28"/>
        <v>141.88953582677883</v>
      </c>
      <c r="L137" s="28">
        <f t="shared" si="28"/>
        <v>145.46424697107327</v>
      </c>
      <c r="M137" s="28">
        <f t="shared" si="28"/>
        <v>149.12901803198301</v>
      </c>
      <c r="N137" s="208"/>
      <c r="O137" s="109">
        <v>135</v>
      </c>
      <c r="P137" s="109">
        <v>0</v>
      </c>
      <c r="Q137" s="158">
        <v>152.32375585085606</v>
      </c>
      <c r="R137" s="158">
        <v>120.80912357248653</v>
      </c>
      <c r="S137" s="158">
        <v>128.25627624189059</v>
      </c>
      <c r="T137" s="158">
        <v>138.86213252083189</v>
      </c>
      <c r="U137" s="158">
        <v>130.24480361682427</v>
      </c>
      <c r="V137" s="158">
        <v>146.33052649931889</v>
      </c>
      <c r="W137" s="158">
        <v>128.44783469671762</v>
      </c>
      <c r="X137" s="194">
        <v>136.79288064028393</v>
      </c>
      <c r="Y137" s="158">
        <v>129.93924250199913</v>
      </c>
      <c r="Z137" s="158">
        <v>151.15332584424328</v>
      </c>
      <c r="AA137" s="158">
        <v>155.90963362299166</v>
      </c>
      <c r="AB137" s="158">
        <v>153.04946487974487</v>
      </c>
      <c r="AC137" s="158">
        <v>142.14962945969702</v>
      </c>
      <c r="AD137" s="158">
        <v>132.67085030445236</v>
      </c>
      <c r="AE137" s="158">
        <v>155.90963362299166</v>
      </c>
      <c r="AF137" s="158">
        <v>123.91580871379877</v>
      </c>
      <c r="AG137" s="158">
        <v>133.47187947293793</v>
      </c>
      <c r="AH137" s="158">
        <v>129.93924250199913</v>
      </c>
      <c r="AI137" s="158">
        <v>155.90963362299166</v>
      </c>
      <c r="AJ137" s="158">
        <v>130.38976696127855</v>
      </c>
      <c r="AK137" s="158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200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7"/>
      <c r="G138" s="28"/>
      <c r="H138" s="20"/>
      <c r="I138" s="20"/>
      <c r="J138" s="20"/>
      <c r="K138" s="20"/>
      <c r="L138" s="20"/>
      <c r="M138" s="20"/>
      <c r="N138" s="208"/>
      <c r="O138" s="109">
        <v>136</v>
      </c>
      <c r="P138" s="109">
        <v>0</v>
      </c>
      <c r="Q138" s="158">
        <v>0</v>
      </c>
      <c r="R138" s="158">
        <v>0</v>
      </c>
      <c r="S138" s="158">
        <v>0</v>
      </c>
      <c r="T138" s="158">
        <v>0</v>
      </c>
      <c r="U138" s="158">
        <v>0</v>
      </c>
      <c r="V138" s="158">
        <v>0</v>
      </c>
      <c r="W138" s="158">
        <v>0</v>
      </c>
      <c r="X138" s="194">
        <v>0</v>
      </c>
      <c r="Y138" s="158">
        <v>0</v>
      </c>
      <c r="Z138" s="158">
        <v>0</v>
      </c>
      <c r="AA138" s="158">
        <v>0</v>
      </c>
      <c r="AB138" s="158">
        <v>0</v>
      </c>
      <c r="AC138" s="158">
        <v>0</v>
      </c>
      <c r="AD138" s="158">
        <v>0</v>
      </c>
      <c r="AE138" s="158">
        <v>0</v>
      </c>
      <c r="AF138" s="158">
        <v>0</v>
      </c>
      <c r="AG138" s="158">
        <v>0</v>
      </c>
      <c r="AH138" s="158">
        <v>0</v>
      </c>
      <c r="AI138" s="158">
        <v>0</v>
      </c>
      <c r="AJ138" s="158">
        <v>0</v>
      </c>
      <c r="AK138" s="158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200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8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18.552397681693865</v>
      </c>
      <c r="I139" s="28">
        <f t="shared" si="29"/>
        <v>18.918563425411513</v>
      </c>
      <c r="J139" s="28">
        <f t="shared" si="29"/>
        <v>19.29195612459727</v>
      </c>
      <c r="K139" s="28">
        <f t="shared" si="29"/>
        <v>19.67271841653012</v>
      </c>
      <c r="L139" s="28">
        <f t="shared" ref="L139:M139" si="30">L113</f>
        <v>20.060995753698485</v>
      </c>
      <c r="M139" s="28">
        <f t="shared" si="30"/>
        <v>20.45693645936359</v>
      </c>
      <c r="N139" s="208"/>
      <c r="O139" s="109">
        <v>137</v>
      </c>
      <c r="P139" s="109">
        <v>0</v>
      </c>
      <c r="Q139" s="158">
        <v>18.193319016886882</v>
      </c>
      <c r="R139" s="158">
        <v>18.193319016886882</v>
      </c>
      <c r="S139" s="158">
        <v>18.193319016886882</v>
      </c>
      <c r="T139" s="158">
        <v>18.193319016886882</v>
      </c>
      <c r="U139" s="158">
        <v>18.193319016886882</v>
      </c>
      <c r="V139" s="158">
        <v>18.193319016886882</v>
      </c>
      <c r="W139" s="158">
        <v>18.193319016886882</v>
      </c>
      <c r="X139" s="194">
        <v>18.193319016886882</v>
      </c>
      <c r="Y139" s="158">
        <v>18.193319016886882</v>
      </c>
      <c r="Z139" s="158">
        <v>18.193319016886882</v>
      </c>
      <c r="AA139" s="158">
        <v>18.193319016886882</v>
      </c>
      <c r="AB139" s="158">
        <v>18.193319016886882</v>
      </c>
      <c r="AC139" s="158">
        <v>18.193319016886882</v>
      </c>
      <c r="AD139" s="158">
        <v>18.193319016886882</v>
      </c>
      <c r="AE139" s="158">
        <v>18.193319016886882</v>
      </c>
      <c r="AF139" s="158">
        <v>18.193319016886882</v>
      </c>
      <c r="AG139" s="158">
        <v>18.193319016886882</v>
      </c>
      <c r="AH139" s="158">
        <v>18.193319016886882</v>
      </c>
      <c r="AI139" s="158">
        <v>18.193319016886882</v>
      </c>
      <c r="AJ139" s="158">
        <v>18.193319016886882</v>
      </c>
      <c r="AK139" s="158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200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8">
        <v>0</v>
      </c>
      <c r="R140" s="158">
        <v>0</v>
      </c>
      <c r="S140" s="158">
        <v>0</v>
      </c>
      <c r="T140" s="158">
        <v>0</v>
      </c>
      <c r="U140" s="158">
        <v>0</v>
      </c>
      <c r="V140" s="158">
        <v>0</v>
      </c>
      <c r="W140" s="158">
        <v>0</v>
      </c>
      <c r="X140" s="194">
        <v>0</v>
      </c>
      <c r="Y140" s="158">
        <v>0</v>
      </c>
      <c r="Z140" s="158">
        <v>0</v>
      </c>
      <c r="AA140" s="158">
        <v>0</v>
      </c>
      <c r="AB140" s="158">
        <v>0</v>
      </c>
      <c r="AC140" s="158">
        <v>0</v>
      </c>
      <c r="AD140" s="158">
        <v>0</v>
      </c>
      <c r="AE140" s="158">
        <v>0</v>
      </c>
      <c r="AF140" s="158">
        <v>0</v>
      </c>
      <c r="AG140" s="158">
        <v>0</v>
      </c>
      <c r="AH140" s="158">
        <v>0</v>
      </c>
      <c r="AI140" s="158">
        <v>0</v>
      </c>
      <c r="AJ140" s="158">
        <v>0</v>
      </c>
      <c r="AK140" s="158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200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5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94">
        <v>0</v>
      </c>
      <c r="Y141" s="158">
        <v>0</v>
      </c>
      <c r="Z141" s="158">
        <v>0</v>
      </c>
      <c r="AA141" s="158">
        <v>0</v>
      </c>
      <c r="AB141" s="158">
        <v>0</v>
      </c>
      <c r="AC141" s="158">
        <v>0</v>
      </c>
      <c r="AD141" s="158">
        <v>0</v>
      </c>
      <c r="AE141" s="158">
        <v>0</v>
      </c>
      <c r="AF141" s="158">
        <v>0</v>
      </c>
      <c r="AG141" s="158">
        <v>0</v>
      </c>
      <c r="AH141" s="158">
        <v>0</v>
      </c>
      <c r="AI141" s="158">
        <v>0</v>
      </c>
      <c r="AJ141" s="158">
        <v>0</v>
      </c>
      <c r="AK141" s="158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200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3"/>
      <c r="G142" s="28">
        <f>HLOOKUP($E$3,$P$3:$CE$269,O142,FALSE)</f>
        <v>1602</v>
      </c>
      <c r="H142" s="41">
        <f>'Model Inputs'!H16</f>
        <v>1555</v>
      </c>
      <c r="I142" s="41">
        <f>'Model Inputs'!I16</f>
        <v>1555</v>
      </c>
      <c r="J142" s="41">
        <f>'Model Inputs'!J16</f>
        <v>1555</v>
      </c>
      <c r="K142" s="41">
        <f>'Model Inputs'!K16</f>
        <v>1555</v>
      </c>
      <c r="L142" s="41">
        <f>'Model Inputs'!L16</f>
        <v>1555</v>
      </c>
      <c r="M142" s="41">
        <f>'Model Inputs'!M16</f>
        <v>1555</v>
      </c>
      <c r="N142" s="208"/>
      <c r="O142" s="109">
        <v>140</v>
      </c>
      <c r="P142" s="109">
        <v>0</v>
      </c>
      <c r="Q142" s="158">
        <v>49610</v>
      </c>
      <c r="R142" s="158">
        <v>2166</v>
      </c>
      <c r="S142" s="158">
        <v>92</v>
      </c>
      <c r="T142" s="158">
        <v>773</v>
      </c>
      <c r="U142" s="158">
        <v>515</v>
      </c>
      <c r="V142" s="158">
        <v>1539</v>
      </c>
      <c r="W142" s="158">
        <v>1602</v>
      </c>
      <c r="X142" s="194">
        <v>159</v>
      </c>
      <c r="Y142" s="158">
        <v>54</v>
      </c>
      <c r="Z142" s="158">
        <v>36</v>
      </c>
      <c r="AA142" s="158">
        <v>165</v>
      </c>
      <c r="AB142" s="158">
        <v>3823</v>
      </c>
      <c r="AC142" s="158">
        <v>1523</v>
      </c>
      <c r="AD142" s="158">
        <v>3083</v>
      </c>
      <c r="AE142" s="158">
        <v>4690</v>
      </c>
      <c r="AF142" s="158">
        <v>371</v>
      </c>
      <c r="AG142" s="158">
        <v>437</v>
      </c>
      <c r="AH142" s="158">
        <v>141</v>
      </c>
      <c r="AI142" s="158">
        <v>1616</v>
      </c>
      <c r="AJ142" s="158">
        <v>261</v>
      </c>
      <c r="AK142" s="158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200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9"/>
      <c r="G143" s="40">
        <f>HLOOKUP($E$3,$P$3:$CE$269,O143,FALSE)</f>
        <v>1020.6555555555556</v>
      </c>
      <c r="H143" s="40">
        <f>(G143*14+H142)/15</f>
        <v>1056.2785185185187</v>
      </c>
      <c r="I143" s="40">
        <f>(H143*15+I142)/16</f>
        <v>1087.4486111111114</v>
      </c>
      <c r="J143" s="40">
        <f>(I143*16+J142)/17</f>
        <v>1114.9516339869283</v>
      </c>
      <c r="K143" s="40">
        <f>(J143*17+K142)/18</f>
        <v>1139.398765432099</v>
      </c>
      <c r="L143" s="40">
        <f>(K143*17+L142)/18</f>
        <v>1162.4877229080935</v>
      </c>
      <c r="M143" s="40">
        <f>(L143*17+M142)/18</f>
        <v>1184.2939605243105</v>
      </c>
      <c r="N143" s="200"/>
      <c r="O143" s="109">
        <v>141</v>
      </c>
      <c r="P143" s="109">
        <v>0</v>
      </c>
      <c r="Q143" s="158">
        <v>21586.805555555558</v>
      </c>
      <c r="R143" s="158">
        <v>1859.4888888888891</v>
      </c>
      <c r="S143" s="158">
        <v>92.083333333333329</v>
      </c>
      <c r="T143" s="158">
        <v>772.43333333333328</v>
      </c>
      <c r="U143" s="158">
        <v>502.5</v>
      </c>
      <c r="V143" s="158">
        <v>1532.2722222222224</v>
      </c>
      <c r="W143" s="158">
        <v>1020.6555555555556</v>
      </c>
      <c r="X143" s="194">
        <v>148.22222222222223</v>
      </c>
      <c r="Y143" s="158">
        <v>28.916666666666668</v>
      </c>
      <c r="Z143" s="158">
        <v>30.005555555555556</v>
      </c>
      <c r="AA143" s="158">
        <v>149.36111111111114</v>
      </c>
      <c r="AB143" s="158">
        <v>3291.9444444444443</v>
      </c>
      <c r="AC143" s="158">
        <v>1528.0944444444444</v>
      </c>
      <c r="AD143" s="158">
        <v>1282.5333333333333</v>
      </c>
      <c r="AE143" s="158">
        <v>1751.0555555555557</v>
      </c>
      <c r="AF143" s="158">
        <v>336.38888888888891</v>
      </c>
      <c r="AG143" s="158">
        <v>392.6611111111111</v>
      </c>
      <c r="AH143" s="158">
        <v>137.5333333333333</v>
      </c>
      <c r="AI143" s="158">
        <v>520.68333333333328</v>
      </c>
      <c r="AJ143" s="158">
        <v>269.26111111111106</v>
      </c>
      <c r="AK143" s="158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200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9"/>
      <c r="G144" s="7">
        <f>HLOOKUP($E$3,$P$3:$CE$269,O144,FALSE)</f>
        <v>28291</v>
      </c>
      <c r="H144" s="7"/>
      <c r="I144" s="7"/>
      <c r="J144" s="7"/>
      <c r="K144" s="7"/>
      <c r="L144" s="7"/>
      <c r="M144" s="7"/>
      <c r="N144" s="209"/>
      <c r="O144" s="109">
        <v>142</v>
      </c>
      <c r="P144" s="109">
        <v>0</v>
      </c>
      <c r="Q144" s="158">
        <v>943450</v>
      </c>
      <c r="R144" s="158">
        <v>11688</v>
      </c>
      <c r="S144" s="158">
        <v>1662</v>
      </c>
      <c r="T144" s="158">
        <v>35323</v>
      </c>
      <c r="U144" s="158">
        <v>37223</v>
      </c>
      <c r="V144" s="158">
        <v>63532</v>
      </c>
      <c r="W144" s="158">
        <v>28291</v>
      </c>
      <c r="X144" s="194">
        <v>6380</v>
      </c>
      <c r="Y144" s="158">
        <v>1320</v>
      </c>
      <c r="Z144" s="158">
        <v>1941</v>
      </c>
      <c r="AA144" s="158">
        <v>11112</v>
      </c>
      <c r="AB144" s="158">
        <v>150086</v>
      </c>
      <c r="AC144" s="158">
        <v>49297</v>
      </c>
      <c r="AD144" s="158">
        <v>55253</v>
      </c>
      <c r="AE144" s="158">
        <v>84697</v>
      </c>
      <c r="AF144" s="158">
        <v>14878</v>
      </c>
      <c r="AG144" s="158">
        <v>21390</v>
      </c>
      <c r="AH144" s="158">
        <v>3359</v>
      </c>
      <c r="AI144" s="158">
        <v>28054</v>
      </c>
      <c r="AJ144" s="158">
        <v>19531</v>
      </c>
      <c r="AK144" s="158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200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41"/>
      <c r="G145" s="29">
        <f>HLOOKUP($E$3,$P$3:$CE$269,O145,FALSE)</f>
        <v>4.1179173588773814E-2</v>
      </c>
      <c r="H145" s="29">
        <f>'Model Inputs'!H17</f>
        <v>4.7734884540807432E-2</v>
      </c>
      <c r="I145" s="29">
        <f>'Model Inputs'!I17</f>
        <v>5.4009598227757527E-2</v>
      </c>
      <c r="J145" s="29">
        <f>'Model Inputs'!J17</f>
        <v>5.7759113266353745E-2</v>
      </c>
      <c r="K145" s="29">
        <f>'Model Inputs'!K17</f>
        <v>6.2092361319856737E-2</v>
      </c>
      <c r="L145" s="29">
        <f>'Model Inputs'!L17</f>
        <v>6.8054910861876872E-2</v>
      </c>
      <c r="M145" s="29">
        <f>'Model Inputs'!M17</f>
        <v>7.2444876988377205E-2</v>
      </c>
      <c r="N145" s="201"/>
      <c r="O145" s="109">
        <v>143</v>
      </c>
      <c r="P145" s="109">
        <v>0</v>
      </c>
      <c r="Q145" s="158">
        <v>0.11782712385394033</v>
      </c>
      <c r="R145" s="158">
        <v>3.7645448323066393E-3</v>
      </c>
      <c r="S145" s="158">
        <v>-1.9855595667870037E-2</v>
      </c>
      <c r="T145" s="158">
        <v>4.020043597655918E-2</v>
      </c>
      <c r="U145" s="158">
        <v>7.7962550036267897E-2</v>
      </c>
      <c r="V145" s="158">
        <v>7.3553484858024307E-2</v>
      </c>
      <c r="W145" s="158">
        <v>4.1179173588773814E-2</v>
      </c>
      <c r="X145" s="194">
        <v>0.12163009404388715</v>
      </c>
      <c r="Y145" s="158">
        <v>-7.4242424242424249E-2</v>
      </c>
      <c r="Z145" s="158">
        <v>0.21895929933024214</v>
      </c>
      <c r="AA145" s="158">
        <v>0.12302015838732902</v>
      </c>
      <c r="AB145" s="158">
        <v>0.11704622682995083</v>
      </c>
      <c r="AC145" s="158">
        <v>0.34955473963932898</v>
      </c>
      <c r="AD145" s="158">
        <v>8.2493258284618023E-2</v>
      </c>
      <c r="AE145" s="158">
        <v>5.7428244211719423E-2</v>
      </c>
      <c r="AF145" s="158">
        <v>0.20419411211184299</v>
      </c>
      <c r="AG145" s="158">
        <v>9.3221131369798968E-2</v>
      </c>
      <c r="AH145" s="158">
        <v>-1.4885382554331646E-2</v>
      </c>
      <c r="AI145" s="158">
        <v>8.3517501960504739E-2</v>
      </c>
      <c r="AJ145" s="158">
        <v>9.4772413086887511E-2</v>
      </c>
      <c r="AK145" s="158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200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94">
        <v>0</v>
      </c>
      <c r="Y146" s="158">
        <v>0</v>
      </c>
      <c r="Z146" s="158">
        <v>0</v>
      </c>
      <c r="AA146" s="158">
        <v>0</v>
      </c>
      <c r="AB146" s="158">
        <v>0</v>
      </c>
      <c r="AC146" s="158">
        <v>0</v>
      </c>
      <c r="AD146" s="158">
        <v>0</v>
      </c>
      <c r="AE146" s="158">
        <v>0</v>
      </c>
      <c r="AF146" s="158">
        <v>0</v>
      </c>
      <c r="AG146" s="158">
        <v>0</v>
      </c>
      <c r="AH146" s="158">
        <v>0</v>
      </c>
      <c r="AI146" s="158">
        <v>0</v>
      </c>
      <c r="AJ146" s="158">
        <v>0</v>
      </c>
      <c r="AK146" s="158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200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94">
        <v>0</v>
      </c>
      <c r="Y147" s="158">
        <v>0</v>
      </c>
      <c r="Z147" s="158">
        <v>0</v>
      </c>
      <c r="AA147" s="158">
        <v>0</v>
      </c>
      <c r="AB147" s="158">
        <v>0</v>
      </c>
      <c r="AC147" s="158">
        <v>0</v>
      </c>
      <c r="AD147" s="158">
        <v>0</v>
      </c>
      <c r="AE147" s="158">
        <v>0</v>
      </c>
      <c r="AF147" s="158">
        <v>0</v>
      </c>
      <c r="AG147" s="158">
        <v>0</v>
      </c>
      <c r="AH147" s="158">
        <v>0</v>
      </c>
      <c r="AI147" s="158">
        <v>0</v>
      </c>
      <c r="AJ147" s="158">
        <v>0</v>
      </c>
      <c r="AK147" s="158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200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8">
        <v>0</v>
      </c>
      <c r="R148" s="158">
        <v>0</v>
      </c>
      <c r="S148" s="158">
        <v>0</v>
      </c>
      <c r="T148" s="158">
        <v>0</v>
      </c>
      <c r="U148" s="158">
        <v>0</v>
      </c>
      <c r="V148" s="158">
        <v>0</v>
      </c>
      <c r="W148" s="158">
        <v>0</v>
      </c>
      <c r="X148" s="194">
        <v>0</v>
      </c>
      <c r="Y148" s="158">
        <v>0</v>
      </c>
      <c r="Z148" s="158">
        <v>0</v>
      </c>
      <c r="AA148" s="158">
        <v>0</v>
      </c>
      <c r="AB148" s="158">
        <v>0</v>
      </c>
      <c r="AC148" s="158">
        <v>0</v>
      </c>
      <c r="AD148" s="158">
        <v>0</v>
      </c>
      <c r="AE148" s="158">
        <v>0</v>
      </c>
      <c r="AF148" s="158">
        <v>0</v>
      </c>
      <c r="AG148" s="158">
        <v>0</v>
      </c>
      <c r="AH148" s="158">
        <v>0</v>
      </c>
      <c r="AI148" s="158">
        <v>0</v>
      </c>
      <c r="AJ148" s="158">
        <v>0</v>
      </c>
      <c r="AK148" s="158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200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94">
        <v>0</v>
      </c>
      <c r="Y149" s="158">
        <v>0</v>
      </c>
      <c r="Z149" s="158">
        <v>0</v>
      </c>
      <c r="AA149" s="158">
        <v>0</v>
      </c>
      <c r="AB149" s="158">
        <v>0</v>
      </c>
      <c r="AC149" s="158">
        <v>0</v>
      </c>
      <c r="AD149" s="158">
        <v>0</v>
      </c>
      <c r="AE149" s="158">
        <v>0</v>
      </c>
      <c r="AF149" s="158">
        <v>0</v>
      </c>
      <c r="AG149" s="158">
        <v>0</v>
      </c>
      <c r="AH149" s="158">
        <v>0</v>
      </c>
      <c r="AI149" s="158">
        <v>0</v>
      </c>
      <c r="AJ149" s="158">
        <v>0</v>
      </c>
      <c r="AK149" s="158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200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94">
        <v>0</v>
      </c>
      <c r="Y150" s="158">
        <v>0</v>
      </c>
      <c r="Z150" s="158">
        <v>0</v>
      </c>
      <c r="AA150" s="158">
        <v>0</v>
      </c>
      <c r="AB150" s="158">
        <v>0</v>
      </c>
      <c r="AC150" s="158">
        <v>0</v>
      </c>
      <c r="AD150" s="158">
        <v>0</v>
      </c>
      <c r="AE150" s="158">
        <v>0</v>
      </c>
      <c r="AF150" s="158">
        <v>0</v>
      </c>
      <c r="AG150" s="158">
        <v>0</v>
      </c>
      <c r="AH150" s="158">
        <v>0</v>
      </c>
      <c r="AI150" s="158">
        <v>0</v>
      </c>
      <c r="AJ150" s="158">
        <v>0</v>
      </c>
      <c r="AK150" s="158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200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8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4"/>
      <c r="O151" s="109">
        <v>149</v>
      </c>
      <c r="P151" s="109">
        <v>0</v>
      </c>
      <c r="Q151" s="15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4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200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50"/>
      <c r="G152" s="43">
        <f t="shared" si="31"/>
        <v>0.14163974861735679</v>
      </c>
      <c r="H152" s="43">
        <f t="shared" ref="H152:K152" si="33">H113/H137</f>
        <v>0.14088584542267496</v>
      </c>
      <c r="I152" s="43">
        <f t="shared" si="33"/>
        <v>0.14013595501418136</v>
      </c>
      <c r="J152" s="43">
        <f t="shared" si="33"/>
        <v>0.13939005603309526</v>
      </c>
      <c r="K152" s="43">
        <f t="shared" si="33"/>
        <v>0.13864812723432199</v>
      </c>
      <c r="L152" s="43">
        <f t="shared" ref="L152:M152" si="34">L113/L137</f>
        <v>0.13791014748584768</v>
      </c>
      <c r="M152" s="43">
        <f t="shared" si="34"/>
        <v>0.13717609576813738</v>
      </c>
      <c r="N152" s="215"/>
      <c r="O152" s="109">
        <v>150</v>
      </c>
      <c r="P152" s="109">
        <v>0</v>
      </c>
      <c r="Q152" s="158">
        <v>0.11943848755082175</v>
      </c>
      <c r="R152" s="158">
        <v>0.15059557158338899</v>
      </c>
      <c r="S152" s="158">
        <v>0.14185129609232056</v>
      </c>
      <c r="T152" s="158">
        <v>0.13101713682927596</v>
      </c>
      <c r="U152" s="158">
        <v>0.13968556527146372</v>
      </c>
      <c r="V152" s="158">
        <v>0.1243303051805227</v>
      </c>
      <c r="W152" s="158">
        <v>0.14163974861735679</v>
      </c>
      <c r="X152" s="194">
        <v>0.1329990196253617</v>
      </c>
      <c r="Y152" s="158">
        <v>0.14001404553829822</v>
      </c>
      <c r="Z152" s="158">
        <v>0.12036333911457747</v>
      </c>
      <c r="AA152" s="158">
        <v>0.11669143589215614</v>
      </c>
      <c r="AB152" s="158">
        <v>0.11887215045921178</v>
      </c>
      <c r="AC152" s="158">
        <v>0.12798710124000107</v>
      </c>
      <c r="AD152" s="158">
        <v>0.13713124605093696</v>
      </c>
      <c r="AE152" s="158">
        <v>0.11669143589215614</v>
      </c>
      <c r="AF152" s="158">
        <v>0.14681999985092253</v>
      </c>
      <c r="AG152" s="158">
        <v>0.13630825525743545</v>
      </c>
      <c r="AH152" s="158">
        <v>0.14001404553829822</v>
      </c>
      <c r="AI152" s="158">
        <v>0.11669143589215614</v>
      </c>
      <c r="AJ152" s="158">
        <v>0.13953026714350747</v>
      </c>
      <c r="AK152" s="158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200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4"/>
      <c r="G153" s="24">
        <f t="shared" si="31"/>
        <v>29456</v>
      </c>
      <c r="H153" s="24">
        <f t="shared" ref="H153:K153" si="35">H96</f>
        <v>29719</v>
      </c>
      <c r="I153" s="24">
        <f t="shared" si="35"/>
        <v>29930.710560873631</v>
      </c>
      <c r="J153" s="24">
        <f t="shared" si="35"/>
        <v>30144.019209864549</v>
      </c>
      <c r="K153" s="24">
        <f t="shared" si="35"/>
        <v>30358.848055966788</v>
      </c>
      <c r="L153" s="24">
        <f t="shared" ref="L153:M153" si="36">L96</f>
        <v>30575.207933242949</v>
      </c>
      <c r="M153" s="24">
        <f t="shared" si="36"/>
        <v>30793.109752967277</v>
      </c>
      <c r="N153" s="210"/>
      <c r="O153" s="109">
        <v>151</v>
      </c>
      <c r="P153" s="109">
        <v>0</v>
      </c>
      <c r="Q153" s="158">
        <v>1054614</v>
      </c>
      <c r="R153" s="158">
        <v>11732</v>
      </c>
      <c r="S153" s="158">
        <v>1629</v>
      </c>
      <c r="T153" s="158">
        <v>36743</v>
      </c>
      <c r="U153" s="158">
        <v>40125</v>
      </c>
      <c r="V153" s="158">
        <v>68205</v>
      </c>
      <c r="W153" s="158">
        <v>29456</v>
      </c>
      <c r="X153" s="194">
        <v>7156</v>
      </c>
      <c r="Y153" s="158">
        <v>1222</v>
      </c>
      <c r="Z153" s="158">
        <v>2366</v>
      </c>
      <c r="AA153" s="158">
        <v>12479</v>
      </c>
      <c r="AB153" s="158">
        <v>167653</v>
      </c>
      <c r="AC153" s="158">
        <v>66529</v>
      </c>
      <c r="AD153" s="158">
        <v>59811</v>
      </c>
      <c r="AE153" s="158">
        <v>89561</v>
      </c>
      <c r="AF153" s="158">
        <v>17916</v>
      </c>
      <c r="AG153" s="158">
        <v>23384</v>
      </c>
      <c r="AH153" s="158">
        <v>3309</v>
      </c>
      <c r="AI153" s="158">
        <v>30397</v>
      </c>
      <c r="AJ153" s="158">
        <v>21382</v>
      </c>
      <c r="AK153" s="158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200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4"/>
      <c r="G154" s="24">
        <f t="shared" si="31"/>
        <v>116948</v>
      </c>
      <c r="H154" s="24">
        <f t="shared" ref="H154:K154" si="37">H131</f>
        <v>116948</v>
      </c>
      <c r="I154" s="24">
        <f t="shared" si="37"/>
        <v>116948</v>
      </c>
      <c r="J154" s="24">
        <f t="shared" si="37"/>
        <v>116948</v>
      </c>
      <c r="K154" s="24">
        <f t="shared" si="37"/>
        <v>116948</v>
      </c>
      <c r="L154" s="24">
        <f t="shared" ref="L154:M154" si="38">L131</f>
        <v>116948</v>
      </c>
      <c r="M154" s="24">
        <f t="shared" si="38"/>
        <v>116948</v>
      </c>
      <c r="N154" s="210"/>
      <c r="O154" s="109">
        <v>152</v>
      </c>
      <c r="P154" s="109">
        <v>0</v>
      </c>
      <c r="Q154" s="158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4">
        <v>39945</v>
      </c>
      <c r="Y154" s="158">
        <v>8879</v>
      </c>
      <c r="Z154" s="158">
        <v>7251</v>
      </c>
      <c r="AA154" s="158">
        <v>65612</v>
      </c>
      <c r="AB154" s="158">
        <v>739846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111673</v>
      </c>
      <c r="AK154" s="158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200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6"/>
      <c r="G155" s="38">
        <f t="shared" si="31"/>
        <v>465069748</v>
      </c>
      <c r="H155" s="38">
        <f t="shared" ref="H155:K155" si="39">H97</f>
        <v>458372068.28954172</v>
      </c>
      <c r="I155" s="38">
        <f t="shared" si="39"/>
        <v>470634489.97400326</v>
      </c>
      <c r="J155" s="38">
        <f t="shared" si="39"/>
        <v>476071353.43813455</v>
      </c>
      <c r="K155" s="38">
        <f t="shared" si="39"/>
        <v>481571024.6330151</v>
      </c>
      <c r="L155" s="38">
        <f t="shared" ref="L155:M155" si="40">L97</f>
        <v>487134229.12607324</v>
      </c>
      <c r="M155" s="38">
        <f t="shared" si="40"/>
        <v>492761700.86663693</v>
      </c>
      <c r="N155" s="211"/>
      <c r="O155" s="109">
        <v>153</v>
      </c>
      <c r="P155" s="109">
        <v>0</v>
      </c>
      <c r="Q155" s="158">
        <v>26328005697</v>
      </c>
      <c r="R155" s="158">
        <v>235234354</v>
      </c>
      <c r="S155" s="158">
        <v>29166609.600000001</v>
      </c>
      <c r="T155" s="158">
        <v>968790791</v>
      </c>
      <c r="U155" s="158">
        <v>985202186.73000002</v>
      </c>
      <c r="V155" s="158">
        <v>1521791950</v>
      </c>
      <c r="W155" s="158">
        <v>465069748</v>
      </c>
      <c r="X155" s="194">
        <v>139072664.70999998</v>
      </c>
      <c r="Y155" s="158">
        <v>25025731</v>
      </c>
      <c r="Z155" s="158">
        <v>28318560</v>
      </c>
      <c r="AA155" s="158">
        <v>241131396</v>
      </c>
      <c r="AB155" s="158">
        <v>3420220802</v>
      </c>
      <c r="AC155" s="158">
        <v>1723381576.3600001</v>
      </c>
      <c r="AD155" s="158">
        <v>1182245787</v>
      </c>
      <c r="AE155" s="158">
        <v>2319341970.71</v>
      </c>
      <c r="AF155" s="158">
        <v>301705633.06</v>
      </c>
      <c r="AG155" s="158">
        <v>662289126.36000001</v>
      </c>
      <c r="AH155" s="158">
        <v>56944854.579999998</v>
      </c>
      <c r="AI155" s="158">
        <v>533666540.88999999</v>
      </c>
      <c r="AJ155" s="158">
        <v>607370642</v>
      </c>
      <c r="AK155" s="158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200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51"/>
      <c r="G156" s="44">
        <f t="shared" si="31"/>
        <v>1020.6555555555556</v>
      </c>
      <c r="H156" s="44">
        <f t="shared" ref="H156:K156" si="41">H143</f>
        <v>1056.2785185185187</v>
      </c>
      <c r="I156" s="44">
        <f t="shared" si="41"/>
        <v>1087.4486111111114</v>
      </c>
      <c r="J156" s="44">
        <f t="shared" si="41"/>
        <v>1114.9516339869283</v>
      </c>
      <c r="K156" s="44">
        <f t="shared" si="41"/>
        <v>1139.398765432099</v>
      </c>
      <c r="L156" s="44">
        <f t="shared" ref="L156:M156" si="42">L143</f>
        <v>1162.4877229080935</v>
      </c>
      <c r="M156" s="44">
        <f t="shared" si="42"/>
        <v>1184.2939605243105</v>
      </c>
      <c r="N156" s="216"/>
      <c r="O156" s="109">
        <v>154</v>
      </c>
      <c r="P156" s="109">
        <v>0</v>
      </c>
      <c r="Q156" s="158">
        <v>21586.805555555558</v>
      </c>
      <c r="R156" s="158">
        <v>1859.4888888888891</v>
      </c>
      <c r="S156" s="158">
        <v>92.083333333333329</v>
      </c>
      <c r="T156" s="158">
        <v>772.43333333333328</v>
      </c>
      <c r="U156" s="158">
        <v>502.5</v>
      </c>
      <c r="V156" s="158">
        <v>1532.2722222222224</v>
      </c>
      <c r="W156" s="158">
        <v>1020.6555555555556</v>
      </c>
      <c r="X156" s="194">
        <v>148.22222222222223</v>
      </c>
      <c r="Y156" s="158">
        <v>28.916666666666668</v>
      </c>
      <c r="Z156" s="158">
        <v>30.005555555555556</v>
      </c>
      <c r="AA156" s="158">
        <v>149.36111111111114</v>
      </c>
      <c r="AB156" s="158">
        <v>3291.9444444444443</v>
      </c>
      <c r="AC156" s="158">
        <v>1528.0944444444444</v>
      </c>
      <c r="AD156" s="158">
        <v>1282.5333333333333</v>
      </c>
      <c r="AE156" s="158">
        <v>1751.0555555555557</v>
      </c>
      <c r="AF156" s="158">
        <v>336.38888888888891</v>
      </c>
      <c r="AG156" s="158">
        <v>392.6611111111111</v>
      </c>
      <c r="AH156" s="158">
        <v>137.5333333333333</v>
      </c>
      <c r="AI156" s="158">
        <v>520.68333333333328</v>
      </c>
      <c r="AJ156" s="158">
        <v>269.26111111111106</v>
      </c>
      <c r="AK156" s="158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200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40"/>
      <c r="G157" s="30">
        <f t="shared" si="31"/>
        <v>4.1179173588773814E-2</v>
      </c>
      <c r="H157" s="30">
        <f t="shared" ref="H157:L157" si="43">H145</f>
        <v>4.7734884540807432E-2</v>
      </c>
      <c r="I157" s="30">
        <f t="shared" si="43"/>
        <v>5.4009598227757527E-2</v>
      </c>
      <c r="J157" s="30">
        <f t="shared" si="43"/>
        <v>5.7759113266353745E-2</v>
      </c>
      <c r="K157" s="30">
        <f t="shared" si="43"/>
        <v>6.2092361319856737E-2</v>
      </c>
      <c r="L157" s="30">
        <f t="shared" si="43"/>
        <v>6.8054910861876872E-2</v>
      </c>
      <c r="M157" s="30">
        <f t="shared" ref="M157" si="44">M145</f>
        <v>7.2444876988377205E-2</v>
      </c>
      <c r="N157" s="217"/>
      <c r="O157" s="109">
        <v>155</v>
      </c>
      <c r="P157" s="109">
        <v>0</v>
      </c>
      <c r="Q157" s="158">
        <v>0.11782712385394033</v>
      </c>
      <c r="R157" s="158">
        <v>3.7645448323066393E-3</v>
      </c>
      <c r="S157" s="158">
        <v>-1.9855595667870037E-2</v>
      </c>
      <c r="T157" s="158">
        <v>4.020043597655918E-2</v>
      </c>
      <c r="U157" s="158">
        <v>7.7962550036267897E-2</v>
      </c>
      <c r="V157" s="158">
        <v>7.3553484858024307E-2</v>
      </c>
      <c r="W157" s="158">
        <v>4.1179173588773814E-2</v>
      </c>
      <c r="X157" s="194">
        <v>0.12163009404388715</v>
      </c>
      <c r="Y157" s="158">
        <v>-7.4242424242424249E-2</v>
      </c>
      <c r="Z157" s="158">
        <v>0.21895929933024214</v>
      </c>
      <c r="AA157" s="158">
        <v>0.12302015838732902</v>
      </c>
      <c r="AB157" s="158">
        <v>0.11704622682995083</v>
      </c>
      <c r="AC157" s="158">
        <v>0.34955473963932898</v>
      </c>
      <c r="AD157" s="158">
        <v>8.2493258284618023E-2</v>
      </c>
      <c r="AE157" s="158">
        <v>5.7428244211719423E-2</v>
      </c>
      <c r="AF157" s="158">
        <v>0.20419411211184299</v>
      </c>
      <c r="AG157" s="158">
        <v>9.3221131369798968E-2</v>
      </c>
      <c r="AH157" s="158">
        <v>-1.4885382554331646E-2</v>
      </c>
      <c r="AI157" s="158">
        <v>8.3517501960504739E-2</v>
      </c>
      <c r="AJ157" s="158">
        <v>9.4772413086887511E-2</v>
      </c>
      <c r="AK157" s="158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200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14</v>
      </c>
      <c r="I158" s="3">
        <f t="shared" si="45"/>
        <v>15</v>
      </c>
      <c r="J158" s="3">
        <f t="shared" si="45"/>
        <v>16</v>
      </c>
      <c r="K158" s="3">
        <f t="shared" si="45"/>
        <v>17</v>
      </c>
      <c r="L158" s="3">
        <f t="shared" si="45"/>
        <v>18</v>
      </c>
      <c r="M158" s="3">
        <f t="shared" si="45"/>
        <v>19</v>
      </c>
      <c r="O158" s="109">
        <v>156</v>
      </c>
      <c r="P158" s="109">
        <v>0</v>
      </c>
      <c r="Q158" s="158">
        <v>13</v>
      </c>
      <c r="R158" s="158">
        <v>13</v>
      </c>
      <c r="S158" s="158">
        <v>13</v>
      </c>
      <c r="T158" s="158">
        <v>13</v>
      </c>
      <c r="U158" s="158">
        <v>13</v>
      </c>
      <c r="V158" s="158">
        <v>13</v>
      </c>
      <c r="W158" s="158">
        <v>13</v>
      </c>
      <c r="X158" s="194">
        <v>13</v>
      </c>
      <c r="Y158" s="158">
        <v>13</v>
      </c>
      <c r="Z158" s="158">
        <v>13</v>
      </c>
      <c r="AA158" s="158">
        <v>13</v>
      </c>
      <c r="AB158" s="158">
        <v>13</v>
      </c>
      <c r="AC158" s="158">
        <v>13</v>
      </c>
      <c r="AD158" s="158">
        <v>13</v>
      </c>
      <c r="AE158" s="158">
        <v>13</v>
      </c>
      <c r="AF158" s="158">
        <v>13</v>
      </c>
      <c r="AG158" s="158">
        <v>13</v>
      </c>
      <c r="AH158" s="158">
        <v>13</v>
      </c>
      <c r="AI158" s="158">
        <v>13</v>
      </c>
      <c r="AJ158" s="158">
        <v>13</v>
      </c>
      <c r="AK158" s="158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200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94">
        <v>0</v>
      </c>
      <c r="Y159" s="158">
        <v>0</v>
      </c>
      <c r="Z159" s="158">
        <v>0</v>
      </c>
      <c r="AA159" s="158">
        <v>0</v>
      </c>
      <c r="AB159" s="158">
        <v>0</v>
      </c>
      <c r="AC159" s="158">
        <v>0</v>
      </c>
      <c r="AD159" s="158">
        <v>0</v>
      </c>
      <c r="AE159" s="158">
        <v>0</v>
      </c>
      <c r="AF159" s="158">
        <v>0</v>
      </c>
      <c r="AG159" s="158">
        <v>0</v>
      </c>
      <c r="AH159" s="158">
        <v>0</v>
      </c>
      <c r="AI159" s="158">
        <v>0</v>
      </c>
      <c r="AJ159" s="158">
        <v>0</v>
      </c>
      <c r="AK159" s="158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200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94">
        <v>0</v>
      </c>
      <c r="Y160" s="158">
        <v>0</v>
      </c>
      <c r="Z160" s="158">
        <v>0</v>
      </c>
      <c r="AA160" s="158">
        <v>0</v>
      </c>
      <c r="AB160" s="158">
        <v>0</v>
      </c>
      <c r="AC160" s="158">
        <v>0</v>
      </c>
      <c r="AD160" s="158">
        <v>0</v>
      </c>
      <c r="AE160" s="158">
        <v>0</v>
      </c>
      <c r="AF160" s="158">
        <v>0</v>
      </c>
      <c r="AG160" s="158">
        <v>0</v>
      </c>
      <c r="AH160" s="158">
        <v>0</v>
      </c>
      <c r="AI160" s="158">
        <v>0</v>
      </c>
      <c r="AJ160" s="158">
        <v>0</v>
      </c>
      <c r="AK160" s="158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200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94">
        <v>0</v>
      </c>
      <c r="Y161" s="158">
        <v>0</v>
      </c>
      <c r="Z161" s="158">
        <v>0</v>
      </c>
      <c r="AA161" s="158">
        <v>0</v>
      </c>
      <c r="AB161" s="158">
        <v>0</v>
      </c>
      <c r="AC161" s="158">
        <v>0</v>
      </c>
      <c r="AD161" s="158">
        <v>0</v>
      </c>
      <c r="AE161" s="158">
        <v>0</v>
      </c>
      <c r="AF161" s="158">
        <v>0</v>
      </c>
      <c r="AG161" s="158">
        <v>0</v>
      </c>
      <c r="AH161" s="158">
        <v>0</v>
      </c>
      <c r="AI161" s="158">
        <v>0</v>
      </c>
      <c r="AJ161" s="158">
        <v>0</v>
      </c>
      <c r="AK161" s="158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200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2"/>
      <c r="G162" s="103">
        <f t="shared" ref="G162:G179" si="46">HLOOKUP($E$3,$P$3:$CE$269,O162,FALSE)</f>
        <v>12.81288440307239</v>
      </c>
      <c r="H162" s="48">
        <f t="shared" ref="H162:M179" si="47">G162</f>
        <v>12.81288440307239</v>
      </c>
      <c r="I162" s="48">
        <f t="shared" si="47"/>
        <v>12.81288440307239</v>
      </c>
      <c r="J162" s="48">
        <f t="shared" si="47"/>
        <v>12.81288440307239</v>
      </c>
      <c r="K162" s="48">
        <f t="shared" si="47"/>
        <v>12.81288440307239</v>
      </c>
      <c r="L162" s="48">
        <f t="shared" si="47"/>
        <v>12.81288440307239</v>
      </c>
      <c r="M162" s="48">
        <f t="shared" si="47"/>
        <v>12.81288440307239</v>
      </c>
      <c r="N162" s="218"/>
      <c r="O162" s="109">
        <v>160</v>
      </c>
      <c r="P162" s="109">
        <v>0</v>
      </c>
      <c r="Q162" s="158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4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200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2"/>
      <c r="G163" s="103">
        <f t="shared" si="46"/>
        <v>0.62777892695115167</v>
      </c>
      <c r="H163" s="48">
        <f t="shared" si="47"/>
        <v>0.62777892695115167</v>
      </c>
      <c r="I163" s="48">
        <f t="shared" si="47"/>
        <v>0.62777892695115167</v>
      </c>
      <c r="J163" s="48">
        <f t="shared" si="47"/>
        <v>0.62777892695115167</v>
      </c>
      <c r="K163" s="48">
        <f t="shared" si="47"/>
        <v>0.62777892695115167</v>
      </c>
      <c r="L163" s="48">
        <f t="shared" si="47"/>
        <v>0.62777892695115167</v>
      </c>
      <c r="M163" s="48">
        <f t="shared" si="47"/>
        <v>0.62777892695115167</v>
      </c>
      <c r="N163" s="218"/>
      <c r="O163" s="109">
        <v>161</v>
      </c>
      <c r="P163" s="109">
        <v>0</v>
      </c>
      <c r="Q163" s="158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4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200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2"/>
      <c r="G164" s="103">
        <f t="shared" si="46"/>
        <v>0.44479564805494209</v>
      </c>
      <c r="H164" s="48">
        <f t="shared" si="47"/>
        <v>0.44479564805494209</v>
      </c>
      <c r="I164" s="48">
        <f t="shared" si="47"/>
        <v>0.44479564805494209</v>
      </c>
      <c r="J164" s="48">
        <f t="shared" si="47"/>
        <v>0.44479564805494209</v>
      </c>
      <c r="K164" s="48">
        <f t="shared" si="47"/>
        <v>0.44479564805494209</v>
      </c>
      <c r="L164" s="48">
        <f t="shared" si="47"/>
        <v>0.44479564805494209</v>
      </c>
      <c r="M164" s="48">
        <f t="shared" si="47"/>
        <v>0.44479564805494209</v>
      </c>
      <c r="N164" s="218"/>
      <c r="O164" s="109">
        <v>162</v>
      </c>
      <c r="P164" s="109">
        <v>0</v>
      </c>
      <c r="Q164" s="158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4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200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2"/>
      <c r="G165" s="103">
        <f t="shared" si="46"/>
        <v>0.16252049393951762</v>
      </c>
      <c r="H165" s="48">
        <f t="shared" si="47"/>
        <v>0.16252049393951762</v>
      </c>
      <c r="I165" s="48">
        <f t="shared" si="47"/>
        <v>0.16252049393951762</v>
      </c>
      <c r="J165" s="48">
        <f t="shared" si="47"/>
        <v>0.16252049393951762</v>
      </c>
      <c r="K165" s="48">
        <f t="shared" si="47"/>
        <v>0.16252049393951762</v>
      </c>
      <c r="L165" s="48">
        <f t="shared" si="47"/>
        <v>0.16252049393951762</v>
      </c>
      <c r="M165" s="48">
        <f t="shared" si="47"/>
        <v>0.16252049393951762</v>
      </c>
      <c r="N165" s="218"/>
      <c r="O165" s="109">
        <v>163</v>
      </c>
      <c r="P165" s="109">
        <v>0</v>
      </c>
      <c r="Q165" s="158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4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200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2"/>
      <c r="G166" s="103">
        <f t="shared" si="46"/>
        <v>0.10179342606131343</v>
      </c>
      <c r="H166" s="48">
        <f t="shared" si="47"/>
        <v>0.10179342606131343</v>
      </c>
      <c r="I166" s="48">
        <f t="shared" si="47"/>
        <v>0.10179342606131343</v>
      </c>
      <c r="J166" s="48">
        <f t="shared" si="47"/>
        <v>0.10179342606131343</v>
      </c>
      <c r="K166" s="48">
        <f t="shared" si="47"/>
        <v>0.10179342606131343</v>
      </c>
      <c r="L166" s="48">
        <f t="shared" si="47"/>
        <v>0.10179342606131343</v>
      </c>
      <c r="M166" s="48">
        <f t="shared" si="47"/>
        <v>0.10179342606131343</v>
      </c>
      <c r="N166" s="218"/>
      <c r="O166" s="109">
        <v>164</v>
      </c>
      <c r="P166" s="109">
        <v>0</v>
      </c>
      <c r="Q166" s="158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4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200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2"/>
      <c r="G167" s="103">
        <f t="shared" si="46"/>
        <v>0.12919440994006814</v>
      </c>
      <c r="H167" s="48">
        <f t="shared" si="47"/>
        <v>0.12919440994006814</v>
      </c>
      <c r="I167" s="48">
        <f t="shared" si="47"/>
        <v>0.12919440994006814</v>
      </c>
      <c r="J167" s="48">
        <f t="shared" si="47"/>
        <v>0.12919440994006814</v>
      </c>
      <c r="K167" s="48">
        <f t="shared" si="47"/>
        <v>0.12919440994006814</v>
      </c>
      <c r="L167" s="48">
        <f t="shared" si="47"/>
        <v>0.12919440994006814</v>
      </c>
      <c r="M167" s="48">
        <f t="shared" si="47"/>
        <v>0.12919440994006814</v>
      </c>
      <c r="N167" s="218"/>
      <c r="O167" s="109">
        <v>165</v>
      </c>
      <c r="P167" s="109">
        <v>0</v>
      </c>
      <c r="Q167" s="158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4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200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2"/>
      <c r="G168" s="103">
        <f t="shared" si="46"/>
        <v>-0.3479372427761262</v>
      </c>
      <c r="H168" s="48">
        <f t="shared" si="47"/>
        <v>-0.3479372427761262</v>
      </c>
      <c r="I168" s="48">
        <f t="shared" si="47"/>
        <v>-0.3479372427761262</v>
      </c>
      <c r="J168" s="48">
        <f t="shared" si="47"/>
        <v>-0.3479372427761262</v>
      </c>
      <c r="K168" s="48">
        <f t="shared" si="47"/>
        <v>-0.3479372427761262</v>
      </c>
      <c r="L168" s="48">
        <f t="shared" si="47"/>
        <v>-0.3479372427761262</v>
      </c>
      <c r="M168" s="48">
        <f t="shared" si="47"/>
        <v>-0.3479372427761262</v>
      </c>
      <c r="N168" s="218"/>
      <c r="O168" s="109">
        <v>166</v>
      </c>
      <c r="P168" s="109">
        <v>0</v>
      </c>
      <c r="Q168" s="158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4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200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2"/>
      <c r="G169" s="103">
        <f t="shared" si="46"/>
        <v>0.20381579665316127</v>
      </c>
      <c r="H169" s="48">
        <f t="shared" si="47"/>
        <v>0.20381579665316127</v>
      </c>
      <c r="I169" s="48">
        <f t="shared" si="47"/>
        <v>0.20381579665316127</v>
      </c>
      <c r="J169" s="48">
        <f t="shared" si="47"/>
        <v>0.20381579665316127</v>
      </c>
      <c r="K169" s="48">
        <f t="shared" si="47"/>
        <v>0.20381579665316127</v>
      </c>
      <c r="L169" s="48">
        <f t="shared" si="47"/>
        <v>0.20381579665316127</v>
      </c>
      <c r="M169" s="48">
        <f t="shared" si="47"/>
        <v>0.20381579665316127</v>
      </c>
      <c r="N169" s="218"/>
      <c r="O169" s="109">
        <v>167</v>
      </c>
      <c r="P169" s="109">
        <v>0</v>
      </c>
      <c r="Q169" s="158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4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200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2"/>
      <c r="G170" s="103">
        <f t="shared" si="46"/>
        <v>0.16001913836834675</v>
      </c>
      <c r="H170" s="48">
        <f t="shared" si="47"/>
        <v>0.16001913836834675</v>
      </c>
      <c r="I170" s="48">
        <f t="shared" si="47"/>
        <v>0.16001913836834675</v>
      </c>
      <c r="J170" s="48">
        <f t="shared" si="47"/>
        <v>0.16001913836834675</v>
      </c>
      <c r="K170" s="48">
        <f t="shared" si="47"/>
        <v>0.16001913836834675</v>
      </c>
      <c r="L170" s="48">
        <f t="shared" si="47"/>
        <v>0.16001913836834675</v>
      </c>
      <c r="M170" s="48">
        <f t="shared" si="47"/>
        <v>0.16001913836834675</v>
      </c>
      <c r="N170" s="218"/>
      <c r="O170" s="109">
        <v>168</v>
      </c>
      <c r="P170" s="109">
        <v>0</v>
      </c>
      <c r="Q170" s="158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4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200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2"/>
      <c r="G171" s="103">
        <f t="shared" si="46"/>
        <v>5.3204514285881799E-2</v>
      </c>
      <c r="H171" s="48">
        <f t="shared" si="47"/>
        <v>5.3204514285881799E-2</v>
      </c>
      <c r="I171" s="48">
        <f t="shared" si="47"/>
        <v>5.3204514285881799E-2</v>
      </c>
      <c r="J171" s="48">
        <f t="shared" si="47"/>
        <v>5.3204514285881799E-2</v>
      </c>
      <c r="K171" s="48">
        <f t="shared" si="47"/>
        <v>5.3204514285881799E-2</v>
      </c>
      <c r="L171" s="48">
        <f t="shared" si="47"/>
        <v>5.3204514285881799E-2</v>
      </c>
      <c r="M171" s="48">
        <f t="shared" si="47"/>
        <v>5.3204514285881799E-2</v>
      </c>
      <c r="N171" s="218"/>
      <c r="O171" s="109">
        <v>169</v>
      </c>
      <c r="P171" s="109">
        <v>0</v>
      </c>
      <c r="Q171" s="158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4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200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2"/>
      <c r="G172" s="103">
        <f t="shared" si="46"/>
        <v>1.0619573680694994E-2</v>
      </c>
      <c r="H172" s="48">
        <f t="shared" si="47"/>
        <v>1.0619573680694994E-2</v>
      </c>
      <c r="I172" s="48">
        <f t="shared" si="47"/>
        <v>1.0619573680694994E-2</v>
      </c>
      <c r="J172" s="48">
        <f t="shared" si="47"/>
        <v>1.0619573680694994E-2</v>
      </c>
      <c r="K172" s="48">
        <f t="shared" si="47"/>
        <v>1.0619573680694994E-2</v>
      </c>
      <c r="L172" s="48">
        <f t="shared" si="47"/>
        <v>1.0619573680694994E-2</v>
      </c>
      <c r="M172" s="48">
        <f t="shared" si="47"/>
        <v>1.0619573680694994E-2</v>
      </c>
      <c r="N172" s="218"/>
      <c r="O172" s="109">
        <v>170</v>
      </c>
      <c r="P172" s="109">
        <v>0</v>
      </c>
      <c r="Q172" s="158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4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200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2"/>
      <c r="G173" s="103">
        <f t="shared" si="46"/>
        <v>-2.2490720512663431E-4</v>
      </c>
      <c r="H173" s="48">
        <f t="shared" si="47"/>
        <v>-2.2490720512663431E-4</v>
      </c>
      <c r="I173" s="48">
        <f t="shared" si="47"/>
        <v>-2.2490720512663431E-4</v>
      </c>
      <c r="J173" s="48">
        <f t="shared" si="47"/>
        <v>-2.2490720512663431E-4</v>
      </c>
      <c r="K173" s="48">
        <f t="shared" si="47"/>
        <v>-2.2490720512663431E-4</v>
      </c>
      <c r="L173" s="48">
        <f t="shared" si="47"/>
        <v>-2.2490720512663431E-4</v>
      </c>
      <c r="M173" s="48">
        <f t="shared" si="47"/>
        <v>-2.2490720512663431E-4</v>
      </c>
      <c r="N173" s="218"/>
      <c r="O173" s="109">
        <v>171</v>
      </c>
      <c r="P173" s="109">
        <v>0</v>
      </c>
      <c r="Q173" s="158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4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200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2"/>
      <c r="G174" s="103">
        <f t="shared" si="46"/>
        <v>0.11784423877075456</v>
      </c>
      <c r="H174" s="48">
        <f t="shared" si="47"/>
        <v>0.11784423877075456</v>
      </c>
      <c r="I174" s="48">
        <f t="shared" si="47"/>
        <v>0.11784423877075456</v>
      </c>
      <c r="J174" s="48">
        <f t="shared" si="47"/>
        <v>0.11784423877075456</v>
      </c>
      <c r="K174" s="48">
        <f t="shared" si="47"/>
        <v>0.11784423877075456</v>
      </c>
      <c r="L174" s="48">
        <f t="shared" si="47"/>
        <v>0.11784423877075456</v>
      </c>
      <c r="M174" s="48">
        <f t="shared" si="47"/>
        <v>0.11784423877075456</v>
      </c>
      <c r="N174" s="218"/>
      <c r="O174" s="109">
        <v>172</v>
      </c>
      <c r="P174" s="109">
        <v>0</v>
      </c>
      <c r="Q174" s="158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4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200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2"/>
      <c r="G175" s="103">
        <f t="shared" si="46"/>
        <v>6.051504417461831E-2</v>
      </c>
      <c r="H175" s="48">
        <f t="shared" si="47"/>
        <v>6.051504417461831E-2</v>
      </c>
      <c r="I175" s="48">
        <f t="shared" si="47"/>
        <v>6.051504417461831E-2</v>
      </c>
      <c r="J175" s="48">
        <f t="shared" si="47"/>
        <v>6.051504417461831E-2</v>
      </c>
      <c r="K175" s="48">
        <f t="shared" si="47"/>
        <v>6.051504417461831E-2</v>
      </c>
      <c r="L175" s="48">
        <f t="shared" si="47"/>
        <v>6.051504417461831E-2</v>
      </c>
      <c r="M175" s="48">
        <f t="shared" si="47"/>
        <v>6.051504417461831E-2</v>
      </c>
      <c r="N175" s="218"/>
      <c r="O175" s="109">
        <v>173</v>
      </c>
      <c r="P175" s="109">
        <v>0</v>
      </c>
      <c r="Q175" s="158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4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200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2"/>
      <c r="G176" s="103">
        <f t="shared" si="46"/>
        <v>-0.18759065264887106</v>
      </c>
      <c r="H176" s="48">
        <f t="shared" si="47"/>
        <v>-0.18759065264887106</v>
      </c>
      <c r="I176" s="48">
        <f t="shared" si="47"/>
        <v>-0.18759065264887106</v>
      </c>
      <c r="J176" s="48">
        <f t="shared" si="47"/>
        <v>-0.18759065264887106</v>
      </c>
      <c r="K176" s="48">
        <f t="shared" si="47"/>
        <v>-0.18759065264887106</v>
      </c>
      <c r="L176" s="48">
        <f t="shared" si="47"/>
        <v>-0.18759065264887106</v>
      </c>
      <c r="M176" s="48">
        <f t="shared" si="47"/>
        <v>-0.18759065264887106</v>
      </c>
      <c r="N176" s="218"/>
      <c r="O176" s="109">
        <v>174</v>
      </c>
      <c r="P176" s="109">
        <v>0</v>
      </c>
      <c r="Q176" s="158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4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200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2"/>
      <c r="G177" s="103">
        <f t="shared" si="46"/>
        <v>0.28500958184648895</v>
      </c>
      <c r="H177" s="48">
        <f t="shared" si="47"/>
        <v>0.28500958184648895</v>
      </c>
      <c r="I177" s="48">
        <f t="shared" si="47"/>
        <v>0.28500958184648895</v>
      </c>
      <c r="J177" s="48">
        <f t="shared" si="47"/>
        <v>0.28500958184648895</v>
      </c>
      <c r="K177" s="48">
        <f t="shared" si="47"/>
        <v>0.28500958184648895</v>
      </c>
      <c r="L177" s="48">
        <f t="shared" si="47"/>
        <v>0.28500958184648895</v>
      </c>
      <c r="M177" s="48">
        <f t="shared" si="47"/>
        <v>0.28500958184648895</v>
      </c>
      <c r="N177" s="218"/>
      <c r="O177" s="109">
        <v>175</v>
      </c>
      <c r="P177" s="109">
        <v>0</v>
      </c>
      <c r="Q177" s="158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4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200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2"/>
      <c r="G178" s="103">
        <f t="shared" si="46"/>
        <v>1.6487334535780412E-2</v>
      </c>
      <c r="H178" s="48">
        <f t="shared" si="47"/>
        <v>1.6487334535780412E-2</v>
      </c>
      <c r="I178" s="48">
        <f t="shared" si="47"/>
        <v>1.6487334535780412E-2</v>
      </c>
      <c r="J178" s="48">
        <f t="shared" si="47"/>
        <v>1.6487334535780412E-2</v>
      </c>
      <c r="K178" s="48">
        <f t="shared" si="47"/>
        <v>1.6487334535780412E-2</v>
      </c>
      <c r="L178" s="48">
        <f t="shared" si="47"/>
        <v>1.6487334535780412E-2</v>
      </c>
      <c r="M178" s="48">
        <f t="shared" si="47"/>
        <v>1.6487334535780412E-2</v>
      </c>
      <c r="N178" s="218"/>
      <c r="O178" s="109">
        <v>176</v>
      </c>
      <c r="P178" s="109">
        <v>0</v>
      </c>
      <c r="Q178" s="158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4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200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2"/>
      <c r="G179" s="103">
        <f t="shared" si="46"/>
        <v>1.690720112802924E-2</v>
      </c>
      <c r="H179" s="48">
        <f t="shared" si="47"/>
        <v>1.690720112802924E-2</v>
      </c>
      <c r="I179" s="48">
        <f t="shared" si="47"/>
        <v>1.690720112802924E-2</v>
      </c>
      <c r="J179" s="48">
        <f t="shared" si="47"/>
        <v>1.690720112802924E-2</v>
      </c>
      <c r="K179" s="48">
        <f t="shared" si="47"/>
        <v>1.690720112802924E-2</v>
      </c>
      <c r="L179" s="48">
        <f t="shared" si="47"/>
        <v>1.690720112802924E-2</v>
      </c>
      <c r="M179" s="48">
        <f t="shared" si="47"/>
        <v>1.690720112802924E-2</v>
      </c>
      <c r="N179" s="218"/>
      <c r="O179" s="109">
        <v>177</v>
      </c>
      <c r="P179" s="109">
        <v>0</v>
      </c>
      <c r="Q179" s="158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4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200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94">
        <v>0</v>
      </c>
      <c r="Y180" s="158">
        <v>0</v>
      </c>
      <c r="Z180" s="158">
        <v>0</v>
      </c>
      <c r="AA180" s="158">
        <v>0</v>
      </c>
      <c r="AB180" s="158">
        <v>0</v>
      </c>
      <c r="AC180" s="158">
        <v>0</v>
      </c>
      <c r="AD180" s="158">
        <v>0</v>
      </c>
      <c r="AE180" s="158">
        <v>0</v>
      </c>
      <c r="AF180" s="158">
        <v>0</v>
      </c>
      <c r="AG180" s="158">
        <v>0</v>
      </c>
      <c r="AH180" s="158">
        <v>0</v>
      </c>
      <c r="AI180" s="158">
        <v>0</v>
      </c>
      <c r="AJ180" s="158">
        <v>0</v>
      </c>
      <c r="AK180" s="158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200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8">
        <v>0</v>
      </c>
      <c r="R181" s="158">
        <v>0</v>
      </c>
      <c r="S181" s="158">
        <v>0</v>
      </c>
      <c r="T181" s="158">
        <v>0</v>
      </c>
      <c r="U181" s="158">
        <v>0</v>
      </c>
      <c r="V181" s="158">
        <v>0</v>
      </c>
      <c r="W181" s="158">
        <v>0</v>
      </c>
      <c r="X181" s="194">
        <v>0</v>
      </c>
      <c r="Y181" s="158">
        <v>0</v>
      </c>
      <c r="Z181" s="158">
        <v>0</v>
      </c>
      <c r="AA181" s="158">
        <v>0</v>
      </c>
      <c r="AB181" s="158">
        <v>0</v>
      </c>
      <c r="AC181" s="158">
        <v>0</v>
      </c>
      <c r="AD181" s="158">
        <v>0</v>
      </c>
      <c r="AE181" s="158">
        <v>0</v>
      </c>
      <c r="AF181" s="158">
        <v>0</v>
      </c>
      <c r="AG181" s="158">
        <v>0</v>
      </c>
      <c r="AH181" s="158">
        <v>0</v>
      </c>
      <c r="AI181" s="158">
        <v>0</v>
      </c>
      <c r="AJ181" s="158">
        <v>0</v>
      </c>
      <c r="AK181" s="158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200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94">
        <v>0</v>
      </c>
      <c r="Y182" s="158">
        <v>0</v>
      </c>
      <c r="Z182" s="158">
        <v>0</v>
      </c>
      <c r="AA182" s="158">
        <v>0</v>
      </c>
      <c r="AB182" s="158">
        <v>0</v>
      </c>
      <c r="AC182" s="158">
        <v>0</v>
      </c>
      <c r="AD182" s="158">
        <v>0</v>
      </c>
      <c r="AE182" s="158">
        <v>0</v>
      </c>
      <c r="AF182" s="158">
        <v>0</v>
      </c>
      <c r="AG182" s="158">
        <v>0</v>
      </c>
      <c r="AH182" s="158">
        <v>0</v>
      </c>
      <c r="AI182" s="158">
        <v>0</v>
      </c>
      <c r="AJ182" s="158">
        <v>0</v>
      </c>
      <c r="AK182" s="158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200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2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8"/>
      <c r="O183" s="109">
        <v>181</v>
      </c>
      <c r="P183" s="109">
        <v>0</v>
      </c>
      <c r="Q183" s="158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4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200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2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8"/>
      <c r="O184" s="109">
        <v>182</v>
      </c>
      <c r="P184" s="109">
        <v>0</v>
      </c>
      <c r="Q184" s="158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4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200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2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8"/>
      <c r="O185" s="109">
        <v>183</v>
      </c>
      <c r="P185" s="109">
        <v>0</v>
      </c>
      <c r="Q185" s="158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4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200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2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8"/>
      <c r="O186" s="109">
        <v>184</v>
      </c>
      <c r="P186" s="109">
        <v>0</v>
      </c>
      <c r="Q186" s="158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4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200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0"/>
      <c r="O187" s="109">
        <v>185</v>
      </c>
      <c r="P187" s="109">
        <v>0</v>
      </c>
      <c r="Q187" s="158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4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200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2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8"/>
      <c r="O188" s="109">
        <v>186</v>
      </c>
      <c r="P188" s="109">
        <v>0</v>
      </c>
      <c r="Q188" s="158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4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200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2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8"/>
      <c r="O189" s="109">
        <v>187</v>
      </c>
      <c r="P189" s="109">
        <v>0</v>
      </c>
      <c r="Q189" s="158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4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200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2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8"/>
      <c r="O190" s="109">
        <v>188</v>
      </c>
      <c r="P190" s="109">
        <v>0</v>
      </c>
      <c r="Q190" s="158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4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200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2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8"/>
      <c r="O191" s="109">
        <v>189</v>
      </c>
      <c r="P191" s="109">
        <v>0</v>
      </c>
      <c r="Q191" s="158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4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200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2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8"/>
      <c r="O192" s="109">
        <v>190</v>
      </c>
      <c r="P192" s="109">
        <v>0</v>
      </c>
      <c r="Q192" s="158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4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200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2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8"/>
      <c r="O193" s="109">
        <v>191</v>
      </c>
      <c r="P193" s="109">
        <v>0</v>
      </c>
      <c r="Q193" s="158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4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200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2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8"/>
      <c r="O194" s="109">
        <v>192</v>
      </c>
      <c r="P194" s="109">
        <v>0</v>
      </c>
      <c r="Q194" s="158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4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200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2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8"/>
      <c r="O195" s="109">
        <v>193</v>
      </c>
      <c r="P195" s="109">
        <v>0</v>
      </c>
      <c r="Q195" s="158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4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200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2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8"/>
      <c r="O196" s="109">
        <v>194</v>
      </c>
      <c r="P196" s="109">
        <v>0</v>
      </c>
      <c r="Q196" s="158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4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200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2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8"/>
      <c r="O197" s="109">
        <v>195</v>
      </c>
      <c r="P197" s="109">
        <v>0</v>
      </c>
      <c r="Q197" s="158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4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200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0"/>
      <c r="O198" s="109">
        <v>196</v>
      </c>
      <c r="P198" s="109">
        <v>0</v>
      </c>
      <c r="Q198" s="158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4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200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2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8"/>
      <c r="O199" s="109">
        <v>197</v>
      </c>
      <c r="P199" s="109">
        <v>0</v>
      </c>
      <c r="Q199" s="158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4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200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2"/>
      <c r="G200" s="103"/>
      <c r="H200" s="48"/>
      <c r="I200" s="48"/>
      <c r="J200" s="48"/>
      <c r="K200" s="48"/>
      <c r="L200" s="48"/>
      <c r="M200" s="48"/>
      <c r="N200" s="218"/>
      <c r="O200" s="109">
        <v>198</v>
      </c>
      <c r="P200" s="109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94">
        <v>0</v>
      </c>
      <c r="Y200" s="158">
        <v>0</v>
      </c>
      <c r="Z200" s="158">
        <v>0</v>
      </c>
      <c r="AA200" s="158">
        <v>0</v>
      </c>
      <c r="AB200" s="158">
        <v>0</v>
      </c>
      <c r="AC200" s="158">
        <v>0</v>
      </c>
      <c r="AD200" s="158">
        <v>0</v>
      </c>
      <c r="AE200" s="158">
        <v>0</v>
      </c>
      <c r="AF200" s="158">
        <v>0</v>
      </c>
      <c r="AG200" s="158">
        <v>0</v>
      </c>
      <c r="AH200" s="158">
        <v>0</v>
      </c>
      <c r="AI200" s="158">
        <v>0</v>
      </c>
      <c r="AJ200" s="158">
        <v>0</v>
      </c>
      <c r="AK200" s="158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200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94">
        <v>0</v>
      </c>
      <c r="Y201" s="158">
        <v>0</v>
      </c>
      <c r="Z201" s="158">
        <v>0</v>
      </c>
      <c r="AA201" s="158">
        <v>0</v>
      </c>
      <c r="AB201" s="158">
        <v>0</v>
      </c>
      <c r="AC201" s="158">
        <v>0</v>
      </c>
      <c r="AD201" s="158">
        <v>0</v>
      </c>
      <c r="AE201" s="158">
        <v>0</v>
      </c>
      <c r="AF201" s="158">
        <v>0</v>
      </c>
      <c r="AG201" s="158">
        <v>0</v>
      </c>
      <c r="AH201" s="158">
        <v>0</v>
      </c>
      <c r="AI201" s="158">
        <v>0</v>
      </c>
      <c r="AJ201" s="158">
        <v>0</v>
      </c>
      <c r="AK201" s="158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200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94">
        <v>0</v>
      </c>
      <c r="Y202" s="158">
        <v>0</v>
      </c>
      <c r="Z202" s="158">
        <v>0</v>
      </c>
      <c r="AA202" s="158">
        <v>0</v>
      </c>
      <c r="AB202" s="158">
        <v>0</v>
      </c>
      <c r="AC202" s="158">
        <v>0</v>
      </c>
      <c r="AD202" s="158">
        <v>0</v>
      </c>
      <c r="AE202" s="158">
        <v>0</v>
      </c>
      <c r="AF202" s="158">
        <v>0</v>
      </c>
      <c r="AG202" s="158">
        <v>0</v>
      </c>
      <c r="AH202" s="158">
        <v>0</v>
      </c>
      <c r="AI202" s="158">
        <v>0</v>
      </c>
      <c r="AJ202" s="158">
        <v>0</v>
      </c>
      <c r="AK202" s="158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200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94">
        <v>0</v>
      </c>
      <c r="Y203" s="158">
        <v>0</v>
      </c>
      <c r="Z203" s="158">
        <v>0</v>
      </c>
      <c r="AA203" s="158">
        <v>0</v>
      </c>
      <c r="AB203" s="158">
        <v>0</v>
      </c>
      <c r="AC203" s="158">
        <v>0</v>
      </c>
      <c r="AD203" s="158">
        <v>0</v>
      </c>
      <c r="AE203" s="158">
        <v>0</v>
      </c>
      <c r="AF203" s="158">
        <v>0</v>
      </c>
      <c r="AG203" s="158">
        <v>0</v>
      </c>
      <c r="AH203" s="158">
        <v>0</v>
      </c>
      <c r="AI203" s="158">
        <v>0</v>
      </c>
      <c r="AJ203" s="158">
        <v>0</v>
      </c>
      <c r="AK203" s="158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200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94">
        <v>0</v>
      </c>
      <c r="Y204" s="158">
        <v>0</v>
      </c>
      <c r="Z204" s="158">
        <v>0</v>
      </c>
      <c r="AA204" s="158">
        <v>0</v>
      </c>
      <c r="AB204" s="158">
        <v>0</v>
      </c>
      <c r="AC204" s="158">
        <v>0</v>
      </c>
      <c r="AD204" s="158">
        <v>0</v>
      </c>
      <c r="AE204" s="158">
        <v>0</v>
      </c>
      <c r="AF204" s="158">
        <v>0</v>
      </c>
      <c r="AG204" s="158">
        <v>0</v>
      </c>
      <c r="AH204" s="158">
        <v>0</v>
      </c>
      <c r="AI204" s="158">
        <v>0</v>
      </c>
      <c r="AJ204" s="158">
        <v>0</v>
      </c>
      <c r="AK204" s="158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200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3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9"/>
      <c r="O205" s="109">
        <v>203</v>
      </c>
      <c r="P205" s="109">
        <v>0</v>
      </c>
      <c r="Q205" s="158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4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200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3"/>
      <c r="G206" s="47">
        <f t="shared" si="50"/>
        <v>-0.14901563017974825</v>
      </c>
      <c r="H206" s="47">
        <f t="shared" ref="H206:K209" si="51">LN(H152/H184)</f>
        <v>-0.15435252708398289</v>
      </c>
      <c r="I206" s="47">
        <f t="shared" si="51"/>
        <v>-0.15968942398821731</v>
      </c>
      <c r="J206" s="47">
        <f t="shared" si="51"/>
        <v>-0.16502632089245173</v>
      </c>
      <c r="K206" s="47">
        <f t="shared" si="51"/>
        <v>-0.17036321779668609</v>
      </c>
      <c r="L206" s="47">
        <f t="shared" ref="L206:M206" si="52">LN(L152/L184)</f>
        <v>-0.17570011470092048</v>
      </c>
      <c r="M206" s="47">
        <f t="shared" si="52"/>
        <v>-0.18103701160515517</v>
      </c>
      <c r="N206" s="219"/>
      <c r="O206" s="109">
        <v>204</v>
      </c>
      <c r="P206" s="109">
        <v>0</v>
      </c>
      <c r="Q206" s="158">
        <v>-0.31950099230770751</v>
      </c>
      <c r="R206" s="158">
        <v>-8.7704572845405962E-2</v>
      </c>
      <c r="S206" s="158">
        <v>-0.14752318434642703</v>
      </c>
      <c r="T206" s="158">
        <v>-0.22697435248587197</v>
      </c>
      <c r="U206" s="158">
        <v>-0.16290854831573814</v>
      </c>
      <c r="V206" s="158">
        <v>-0.2793607070594038</v>
      </c>
      <c r="W206" s="158">
        <v>-0.14901563017974825</v>
      </c>
      <c r="X206" s="194">
        <v>-0.21196072566537538</v>
      </c>
      <c r="Y206" s="158">
        <v>-0.16055973977146018</v>
      </c>
      <c r="Z206" s="158">
        <v>-0.31178748851842503</v>
      </c>
      <c r="AA206" s="158">
        <v>-0.3427693316937564</v>
      </c>
      <c r="AB206" s="158">
        <v>-0.32425393294425853</v>
      </c>
      <c r="AC206" s="158">
        <v>-0.25037299534274898</v>
      </c>
      <c r="AD206" s="158">
        <v>-0.18136401501164559</v>
      </c>
      <c r="AE206" s="158">
        <v>-0.3427693316937564</v>
      </c>
      <c r="AF206" s="158">
        <v>-0.11309513695481999</v>
      </c>
      <c r="AG206" s="158">
        <v>-0.18738357893464611</v>
      </c>
      <c r="AH206" s="158">
        <v>-0.16055973977146018</v>
      </c>
      <c r="AI206" s="158">
        <v>-0.3427693316937564</v>
      </c>
      <c r="AJ206" s="158">
        <v>-0.16402093612431601</v>
      </c>
      <c r="AK206" s="158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200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3"/>
      <c r="G207" s="47">
        <f t="shared" si="50"/>
        <v>-0.76691809617838647</v>
      </c>
      <c r="H207" s="47">
        <f t="shared" si="51"/>
        <v>-0.75802914876114058</v>
      </c>
      <c r="I207" s="47">
        <f t="shared" si="51"/>
        <v>-0.75093065832875305</v>
      </c>
      <c r="J207" s="47">
        <f t="shared" si="51"/>
        <v>-0.74382918500543638</v>
      </c>
      <c r="K207" s="47">
        <f t="shared" si="51"/>
        <v>-0.7367277116821197</v>
      </c>
      <c r="L207" s="47">
        <f t="shared" ref="L207:M207" si="53">LN(L153/L185)</f>
        <v>-0.72962623835880303</v>
      </c>
      <c r="M207" s="47">
        <f t="shared" si="53"/>
        <v>-0.72252476503548635</v>
      </c>
      <c r="N207" s="219"/>
      <c r="O207" s="109">
        <v>205</v>
      </c>
      <c r="P207" s="109">
        <v>0</v>
      </c>
      <c r="Q207" s="158">
        <v>2.8111143815145683</v>
      </c>
      <c r="R207" s="158">
        <v>-1.687495569553904</v>
      </c>
      <c r="S207" s="158">
        <v>-3.6618493910492003</v>
      </c>
      <c r="T207" s="158">
        <v>-0.54586798934363245</v>
      </c>
      <c r="U207" s="158">
        <v>-0.45781613921892861</v>
      </c>
      <c r="V207" s="158">
        <v>7.2702155275974928E-2</v>
      </c>
      <c r="W207" s="158">
        <v>-0.76691809617838647</v>
      </c>
      <c r="X207" s="194">
        <v>-2.1818645550226359</v>
      </c>
      <c r="Y207" s="158">
        <v>-3.9493268599197049</v>
      </c>
      <c r="Z207" s="158">
        <v>-3.2886149551129136</v>
      </c>
      <c r="AA207" s="158">
        <v>-1.6257684891433912</v>
      </c>
      <c r="AB207" s="158">
        <v>0.97208064650593051</v>
      </c>
      <c r="AC207" s="158">
        <v>4.7822222158556783E-2</v>
      </c>
      <c r="AD207" s="158">
        <v>-5.8626130140309048E-2</v>
      </c>
      <c r="AE207" s="158">
        <v>0.34510423669808227</v>
      </c>
      <c r="AF207" s="158">
        <v>-1.2641215523240548</v>
      </c>
      <c r="AG207" s="158">
        <v>-0.99776369286016375</v>
      </c>
      <c r="AH207" s="158">
        <v>-2.9531696917296335</v>
      </c>
      <c r="AI207" s="158">
        <v>-0.73547180133706602</v>
      </c>
      <c r="AJ207" s="158">
        <v>-1.0872662740778003</v>
      </c>
      <c r="AK207" s="158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200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3"/>
      <c r="G208" s="47">
        <f t="shared" si="50"/>
        <v>-1.0821889109311928</v>
      </c>
      <c r="H208" s="47">
        <f t="shared" si="51"/>
        <v>-1.0821889109311928</v>
      </c>
      <c r="I208" s="47">
        <f t="shared" si="51"/>
        <v>-1.0821889109311928</v>
      </c>
      <c r="J208" s="47">
        <f t="shared" si="51"/>
        <v>-1.0821889109311928</v>
      </c>
      <c r="K208" s="47">
        <f t="shared" si="51"/>
        <v>-1.0821889109311928</v>
      </c>
      <c r="L208" s="47">
        <f t="shared" ref="L208:M208" si="54">LN(L154/L186)</f>
        <v>-1.0821889109311928</v>
      </c>
      <c r="M208" s="47">
        <f t="shared" si="54"/>
        <v>-1.0821889109311928</v>
      </c>
      <c r="N208" s="219"/>
      <c r="O208" s="109">
        <v>206</v>
      </c>
      <c r="P208" s="109">
        <v>0</v>
      </c>
      <c r="Q208" s="158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4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0.76252375394281147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-1.1283433445232467</v>
      </c>
      <c r="AK208" s="158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200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3"/>
      <c r="G209" s="47">
        <f t="shared" si="50"/>
        <v>-1.2543491068717716</v>
      </c>
      <c r="H209" s="47">
        <f t="shared" si="51"/>
        <v>-1.2688552664165245</v>
      </c>
      <c r="I209" s="47">
        <f t="shared" si="51"/>
        <v>-1.2424547339395717</v>
      </c>
      <c r="J209" s="47">
        <f t="shared" si="51"/>
        <v>-1.2309687517316568</v>
      </c>
      <c r="K209" s="47">
        <f t="shared" si="51"/>
        <v>-1.219482769523742</v>
      </c>
      <c r="L209" s="47">
        <f t="shared" ref="L209:M209" si="55">LN(L155/L187)</f>
        <v>-1.2079967873158273</v>
      </c>
      <c r="M209" s="47">
        <f t="shared" si="55"/>
        <v>-1.1965108051079123</v>
      </c>
      <c r="N209" s="219"/>
      <c r="O209" s="109">
        <v>207</v>
      </c>
      <c r="P209" s="109">
        <v>0</v>
      </c>
      <c r="Q209" s="158">
        <v>2.7818520100989268</v>
      </c>
      <c r="R209" s="158">
        <v>-1.9359542286263312</v>
      </c>
      <c r="S209" s="158">
        <v>-4.0235119487877062</v>
      </c>
      <c r="T209" s="158">
        <v>-0.52048781029002433</v>
      </c>
      <c r="U209" s="158">
        <v>-0.50368961108612231</v>
      </c>
      <c r="V209" s="158">
        <v>-6.8892662969799706E-2</v>
      </c>
      <c r="W209" s="158">
        <v>-1.2543491068717716</v>
      </c>
      <c r="X209" s="194">
        <v>-2.4615399326767191</v>
      </c>
      <c r="Y209" s="158">
        <v>-4.1766319613459544</v>
      </c>
      <c r="Z209" s="158">
        <v>-4.0530190768347065</v>
      </c>
      <c r="AA209" s="158">
        <v>-1.9111945003747643</v>
      </c>
      <c r="AB209" s="158">
        <v>0.74092389305109685</v>
      </c>
      <c r="AC209" s="158">
        <v>5.5507175552059633E-2</v>
      </c>
      <c r="AD209" s="158">
        <v>-0.32136537893627659</v>
      </c>
      <c r="AE209" s="158">
        <v>0.3525022942043417</v>
      </c>
      <c r="AF209" s="158">
        <v>-1.6870846798551384</v>
      </c>
      <c r="AG209" s="158">
        <v>-0.90083428955155176</v>
      </c>
      <c r="AH209" s="158">
        <v>-3.3544531608789279</v>
      </c>
      <c r="AI209" s="158">
        <v>-1.1167653082651929</v>
      </c>
      <c r="AJ209" s="158">
        <v>-0.98739727934841448</v>
      </c>
      <c r="AK209" s="158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200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3"/>
      <c r="G210" s="47">
        <f t="shared" si="50"/>
        <v>1.1102829018933748E-2</v>
      </c>
      <c r="H210" s="47">
        <f t="shared" ref="H210:K213" si="56">H206*H206/2</f>
        <v>1.1912351308605837E-2</v>
      </c>
      <c r="I210" s="47">
        <f t="shared" si="56"/>
        <v>1.2750356066844317E-2</v>
      </c>
      <c r="J210" s="47">
        <f t="shared" si="56"/>
        <v>1.3616843293649225E-2</v>
      </c>
      <c r="K210" s="47">
        <f t="shared" si="56"/>
        <v>1.451181298902055E-2</v>
      </c>
      <c r="L210" s="47">
        <f t="shared" ref="L210:M210" si="57">L206*L206/2</f>
        <v>1.5435265152958306E-2</v>
      </c>
      <c r="M210" s="47">
        <f t="shared" si="57"/>
        <v>1.6387199785462544E-2</v>
      </c>
      <c r="N210" s="219"/>
      <c r="O210" s="109">
        <v>208</v>
      </c>
      <c r="P210" s="109">
        <v>0</v>
      </c>
      <c r="Q210" s="158">
        <v>5.104044204280489E-2</v>
      </c>
      <c r="R210" s="158">
        <v>3.8460460489975604E-3</v>
      </c>
      <c r="S210" s="158">
        <v>1.0881544959854945E-2</v>
      </c>
      <c r="T210" s="158">
        <v>2.5758678343190428E-2</v>
      </c>
      <c r="U210" s="158">
        <v>1.3269597557170595E-2</v>
      </c>
      <c r="V210" s="158">
        <v>3.9021202324365012E-2</v>
      </c>
      <c r="W210" s="158">
        <v>1.1102829018933748E-2</v>
      </c>
      <c r="X210" s="194">
        <v>2.2463674612296262E-2</v>
      </c>
      <c r="Y210" s="158">
        <v>1.2889715017739506E-2</v>
      </c>
      <c r="Z210" s="158">
        <v>4.8605718998313507E-2</v>
      </c>
      <c r="AA210" s="158">
        <v>5.8745407374892193E-2</v>
      </c>
      <c r="AB210" s="158">
        <v>5.2570306514909855E-2</v>
      </c>
      <c r="AC210" s="158">
        <v>3.1343318398450101E-2</v>
      </c>
      <c r="AD210" s="158">
        <v>1.6446452970572203E-2</v>
      </c>
      <c r="AE210" s="158">
        <v>5.8745407374892193E-2</v>
      </c>
      <c r="AF210" s="158">
        <v>6.3952550014147449E-3</v>
      </c>
      <c r="AG210" s="158">
        <v>1.7556302827178374E-2</v>
      </c>
      <c r="AH210" s="158">
        <v>1.2889715017739506E-2</v>
      </c>
      <c r="AI210" s="158">
        <v>5.8745407374892193E-2</v>
      </c>
      <c r="AJ210" s="158">
        <v>1.3451433743548477E-2</v>
      </c>
      <c r="AK210" s="158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200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3"/>
      <c r="G211" s="47">
        <f t="shared" si="50"/>
        <v>0.29408168312294042</v>
      </c>
      <c r="H211" s="47">
        <f t="shared" si="56"/>
        <v>0.28730409518576971</v>
      </c>
      <c r="I211" s="47">
        <f t="shared" si="56"/>
        <v>0.28194842680902721</v>
      </c>
      <c r="J211" s="47">
        <f t="shared" si="56"/>
        <v>0.27664092823292585</v>
      </c>
      <c r="K211" s="47">
        <f t="shared" si="56"/>
        <v>0.27138386058018626</v>
      </c>
      <c r="L211" s="47">
        <f t="shared" ref="L211:M211" si="58">L207*L207/2</f>
        <v>0.26617722385080844</v>
      </c>
      <c r="M211" s="47">
        <f t="shared" si="58"/>
        <v>0.26102101804479239</v>
      </c>
      <c r="N211" s="219"/>
      <c r="O211" s="109">
        <v>209</v>
      </c>
      <c r="P211" s="109">
        <v>0</v>
      </c>
      <c r="Q211" s="158">
        <v>3.951182032979017</v>
      </c>
      <c r="R211" s="158">
        <v>1.4238206486320275</v>
      </c>
      <c r="S211" s="158">
        <v>6.7045704813636995</v>
      </c>
      <c r="T211" s="158">
        <v>0.14898593089503001</v>
      </c>
      <c r="U211" s="158">
        <v>0.10479780866466271</v>
      </c>
      <c r="V211" s="158">
        <v>2.6428016908859845E-3</v>
      </c>
      <c r="W211" s="158">
        <v>0.29408168312294042</v>
      </c>
      <c r="X211" s="194">
        <v>2.3802664682320622</v>
      </c>
      <c r="Y211" s="158">
        <v>7.7985913232416184</v>
      </c>
      <c r="Z211" s="158">
        <v>5.4074941614961549</v>
      </c>
      <c r="AA211" s="158">
        <v>1.3215615901457924</v>
      </c>
      <c r="AB211" s="158">
        <v>0.47247039165569393</v>
      </c>
      <c r="AC211" s="158">
        <v>1.1434824660911797E-3</v>
      </c>
      <c r="AD211" s="158">
        <v>1.7185115676142265E-3</v>
      </c>
      <c r="AE211" s="158">
        <v>5.9548467093482993E-2</v>
      </c>
      <c r="AF211" s="158">
        <v>0.79900164952508901</v>
      </c>
      <c r="AG211" s="158">
        <v>0.49776619339497558</v>
      </c>
      <c r="AH211" s="158">
        <v>4.3606056140752489</v>
      </c>
      <c r="AI211" s="158">
        <v>0.27045938528099434</v>
      </c>
      <c r="AJ211" s="158">
        <v>0.59107397537351114</v>
      </c>
      <c r="AK211" s="158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200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3"/>
      <c r="G212" s="47">
        <f t="shared" si="50"/>
        <v>0.58556641947122068</v>
      </c>
      <c r="H212" s="47">
        <f t="shared" si="56"/>
        <v>0.58556641947122068</v>
      </c>
      <c r="I212" s="47">
        <f t="shared" si="56"/>
        <v>0.58556641947122068</v>
      </c>
      <c r="J212" s="47">
        <f t="shared" si="56"/>
        <v>0.58556641947122068</v>
      </c>
      <c r="K212" s="47">
        <f t="shared" si="56"/>
        <v>0.58556641947122068</v>
      </c>
      <c r="L212" s="47">
        <f t="shared" ref="L212:M212" si="59">L208*L208/2</f>
        <v>0.58556641947122068</v>
      </c>
      <c r="M212" s="47">
        <f t="shared" si="59"/>
        <v>0.58556641947122068</v>
      </c>
      <c r="N212" s="219"/>
      <c r="O212" s="109">
        <v>210</v>
      </c>
      <c r="P212" s="109">
        <v>0</v>
      </c>
      <c r="Q212" s="158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4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0.29072123766351865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0.63657935156495304</v>
      </c>
      <c r="AK212" s="158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200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3"/>
      <c r="G213" s="47">
        <f t="shared" si="50"/>
        <v>0.78669584095500555</v>
      </c>
      <c r="H213" s="47">
        <f t="shared" si="56"/>
        <v>0.80499684355647461</v>
      </c>
      <c r="I213" s="47">
        <f t="shared" si="56"/>
        <v>0.77184688294442594</v>
      </c>
      <c r="J213" s="47">
        <f t="shared" si="56"/>
        <v>0.75764203386989659</v>
      </c>
      <c r="K213" s="47">
        <f t="shared" si="56"/>
        <v>0.74356911258264802</v>
      </c>
      <c r="L213" s="47">
        <f t="shared" ref="L213:M213" si="60">L209*L209/2</f>
        <v>0.72962811908267999</v>
      </c>
      <c r="M213" s="47">
        <f t="shared" si="60"/>
        <v>0.7158190533699923</v>
      </c>
      <c r="N213" s="219"/>
      <c r="O213" s="109">
        <v>211</v>
      </c>
      <c r="P213" s="109">
        <v>0</v>
      </c>
      <c r="Q213" s="158">
        <v>3.8693503030457199</v>
      </c>
      <c r="R213" s="158">
        <v>1.8739593876680865</v>
      </c>
      <c r="S213" s="158">
        <v>8.094324201018722</v>
      </c>
      <c r="T213" s="158">
        <v>0.13545378033025218</v>
      </c>
      <c r="U213" s="158">
        <v>0.12685161215804458</v>
      </c>
      <c r="V213" s="158">
        <v>2.3730995055352058E-3</v>
      </c>
      <c r="W213" s="158">
        <v>0.78669584095500555</v>
      </c>
      <c r="X213" s="194">
        <v>3.0295894200810536</v>
      </c>
      <c r="Y213" s="158">
        <v>8.7221272702682775</v>
      </c>
      <c r="Z213" s="158">
        <v>8.2134818185930278</v>
      </c>
      <c r="AA213" s="158">
        <v>1.8263322091313725</v>
      </c>
      <c r="AB213" s="158">
        <v>0.2744841076469966</v>
      </c>
      <c r="AC213" s="158">
        <v>1.5405232688835834E-3</v>
      </c>
      <c r="AD213" s="158">
        <v>5.163785338942832E-2</v>
      </c>
      <c r="AE213" s="158">
        <v>6.2128933709662139E-2</v>
      </c>
      <c r="AF213" s="158">
        <v>1.4231273585009574</v>
      </c>
      <c r="AG213" s="158">
        <v>0.40575120861592451</v>
      </c>
      <c r="AH213" s="158">
        <v>5.6261780042653156</v>
      </c>
      <c r="AI213" s="158">
        <v>0.62358237687232565</v>
      </c>
      <c r="AJ213" s="158">
        <v>0.48747669363232543</v>
      </c>
      <c r="AK213" s="158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200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3"/>
      <c r="G214" s="47">
        <f t="shared" si="50"/>
        <v>0.11428278339827504</v>
      </c>
      <c r="H214" s="47">
        <f t="shared" ref="H214:K214" si="61">H206*H207</f>
        <v>0.11700371471460246</v>
      </c>
      <c r="I214" s="47">
        <f t="shared" si="61"/>
        <v>0.11991568428361139</v>
      </c>
      <c r="J214" s="47">
        <f t="shared" si="61"/>
        <v>0.12275139377387799</v>
      </c>
      <c r="K214" s="47">
        <f t="shared" si="61"/>
        <v>0.12551130360215512</v>
      </c>
      <c r="L214" s="47">
        <f t="shared" ref="L214:M214" si="62">L206*L207</f>
        <v>0.12819541376844285</v>
      </c>
      <c r="M214" s="47">
        <f t="shared" si="62"/>
        <v>0.13080372427274137</v>
      </c>
      <c r="N214" s="219"/>
      <c r="O214" s="109">
        <v>212</v>
      </c>
      <c r="P214" s="109">
        <v>0</v>
      </c>
      <c r="Q214" s="158">
        <v>-0.89815383438437202</v>
      </c>
      <c r="R214" s="158">
        <v>0.14800107810624019</v>
      </c>
      <c r="S214" s="158">
        <v>0.54020768276460274</v>
      </c>
      <c r="T214" s="158">
        <v>0.12389803342403584</v>
      </c>
      <c r="U214" s="158">
        <v>7.4582162635671537E-2</v>
      </c>
      <c r="V214" s="158">
        <v>-2.0310125502638922E-2</v>
      </c>
      <c r="W214" s="158">
        <v>0.11428278339827504</v>
      </c>
      <c r="X214" s="194">
        <v>0.46246959438615926</v>
      </c>
      <c r="Y214" s="158">
        <v>0.63410289290114574</v>
      </c>
      <c r="Z214" s="158">
        <v>1.0253489975587884</v>
      </c>
      <c r="AA214" s="158">
        <v>0.55726357851244823</v>
      </c>
      <c r="AB214" s="158">
        <v>-0.31520097276854547</v>
      </c>
      <c r="AC214" s="158">
        <v>-1.1973393005784245E-2</v>
      </c>
      <c r="AD214" s="158">
        <v>1.0632670346841698E-2</v>
      </c>
      <c r="AE214" s="158">
        <v>-0.11829114857768558</v>
      </c>
      <c r="AF214" s="158">
        <v>0.14296600008762861</v>
      </c>
      <c r="AG214" s="158">
        <v>0.18696453169918648</v>
      </c>
      <c r="AH214" s="158">
        <v>0.47416015720507326</v>
      </c>
      <c r="AI214" s="158">
        <v>0.25209717782390928</v>
      </c>
      <c r="AJ214" s="158">
        <v>0.17833443209063796</v>
      </c>
      <c r="AK214" s="158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200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3"/>
      <c r="G215" s="47">
        <f t="shared" si="50"/>
        <v>0.16126306253594716</v>
      </c>
      <c r="H215" s="47">
        <f t="shared" ref="H215:K215" si="63">H206*H208</f>
        <v>0.16703859318449291</v>
      </c>
      <c r="I215" s="47">
        <f t="shared" si="63"/>
        <v>0.1728141238330384</v>
      </c>
      <c r="J215" s="47">
        <f t="shared" si="63"/>
        <v>0.1785896544815839</v>
      </c>
      <c r="K215" s="47">
        <f t="shared" si="63"/>
        <v>0.18436518513012934</v>
      </c>
      <c r="L215" s="47">
        <f t="shared" ref="L215:M215" si="64">L206*L208</f>
        <v>0.19014071577867481</v>
      </c>
      <c r="M215" s="47">
        <f t="shared" si="64"/>
        <v>0.19591624642722061</v>
      </c>
      <c r="N215" s="219"/>
      <c r="O215" s="109">
        <v>213</v>
      </c>
      <c r="P215" s="109">
        <v>0</v>
      </c>
      <c r="Q215" s="158">
        <v>-0.91821801726774921</v>
      </c>
      <c r="R215" s="158">
        <v>0.17246261668054558</v>
      </c>
      <c r="S215" s="158">
        <v>0.54260055927058481</v>
      </c>
      <c r="T215" s="158">
        <v>0.10286156530823455</v>
      </c>
      <c r="U215" s="158">
        <v>9.0857203210019596E-2</v>
      </c>
      <c r="V215" s="158">
        <v>-2.6661299699199052E-2</v>
      </c>
      <c r="W215" s="158">
        <v>0.16126306253594716</v>
      </c>
      <c r="X215" s="194">
        <v>0.45707524468959737</v>
      </c>
      <c r="Y215" s="158">
        <v>0.58768547425828077</v>
      </c>
      <c r="Z215" s="158">
        <v>1.2043661357057001</v>
      </c>
      <c r="AA215" s="158">
        <v>0.56905182965349732</v>
      </c>
      <c r="AB215" s="158">
        <v>-0.24725132617937667</v>
      </c>
      <c r="AC215" s="158">
        <v>-2.5698384815745851E-2</v>
      </c>
      <c r="AD215" s="158">
        <v>1.6869918569982319E-2</v>
      </c>
      <c r="AE215" s="158">
        <v>-0.22050659281726726</v>
      </c>
      <c r="AF215" s="158">
        <v>0.17959274826071775</v>
      </c>
      <c r="AG215" s="158">
        <v>0.17410570433556918</v>
      </c>
      <c r="AH215" s="158">
        <v>0.48727908034421052</v>
      </c>
      <c r="AI215" s="158">
        <v>0.30099977423684815</v>
      </c>
      <c r="AJ215" s="158">
        <v>0.18507193163834454</v>
      </c>
      <c r="AK215" s="158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200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3"/>
      <c r="G216" s="47">
        <f t="shared" si="50"/>
        <v>0.18691762262590145</v>
      </c>
      <c r="H216" s="47">
        <f t="shared" ref="H216:K216" si="65">H206*H209</f>
        <v>0.19585101687521092</v>
      </c>
      <c r="I216" s="47">
        <f t="shared" si="65"/>
        <v>0.19840688079424401</v>
      </c>
      <c r="J216" s="47">
        <f t="shared" si="65"/>
        <v>0.20314224423184912</v>
      </c>
      <c r="K216" s="47">
        <f t="shared" si="65"/>
        <v>0.20775500866367921</v>
      </c>
      <c r="L216" s="47">
        <f t="shared" ref="L216:M216" si="66">L206*L209</f>
        <v>0.21224517408973428</v>
      </c>
      <c r="M216" s="47">
        <f t="shared" si="66"/>
        <v>0.21661274051001467</v>
      </c>
      <c r="N216" s="219"/>
      <c r="O216" s="109">
        <v>214</v>
      </c>
      <c r="P216" s="109">
        <v>0</v>
      </c>
      <c r="Q216" s="158">
        <v>-0.88880447767979787</v>
      </c>
      <c r="R216" s="158">
        <v>0.16979203866992976</v>
      </c>
      <c r="S216" s="158">
        <v>0.59356129494106069</v>
      </c>
      <c r="T216" s="158">
        <v>0.11813738371736765</v>
      </c>
      <c r="U216" s="158">
        <v>8.2055343343758913E-2</v>
      </c>
      <c r="V216" s="158">
        <v>1.9245903038448451E-2</v>
      </c>
      <c r="W216" s="158">
        <v>0.18691762262590145</v>
      </c>
      <c r="X216" s="194">
        <v>0.52174979038445668</v>
      </c>
      <c r="Y216" s="158">
        <v>0.67059894083486982</v>
      </c>
      <c r="Z216" s="158">
        <v>1.2636806388835586</v>
      </c>
      <c r="AA216" s="158">
        <v>0.65509886163024067</v>
      </c>
      <c r="AB216" s="158">
        <v>-0.24024748633418933</v>
      </c>
      <c r="AC216" s="158">
        <v>-1.3897497805984977E-2</v>
      </c>
      <c r="AD216" s="158">
        <v>5.8284115409622042E-2</v>
      </c>
      <c r="AE216" s="158">
        <v>-0.12082697580493811</v>
      </c>
      <c r="AF216" s="158">
        <v>0.19080107292259552</v>
      </c>
      <c r="AG216" s="158">
        <v>0.16880155320321905</v>
      </c>
      <c r="AH216" s="158">
        <v>0.5385901265862727</v>
      </c>
      <c r="AI216" s="158">
        <v>0.38279289837283204</v>
      </c>
      <c r="AJ216" s="158">
        <v>0.16195382608532971</v>
      </c>
      <c r="AK216" s="158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200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3"/>
      <c r="G217" s="47">
        <f t="shared" si="50"/>
        <v>0.82995025927671184</v>
      </c>
      <c r="H217" s="47">
        <f t="shared" ref="H217:K217" si="67">H207*H208</f>
        <v>0.82033073895191788</v>
      </c>
      <c r="I217" s="47">
        <f t="shared" si="67"/>
        <v>0.8126488313216369</v>
      </c>
      <c r="J217" s="47">
        <f t="shared" si="67"/>
        <v>0.80496369563986991</v>
      </c>
      <c r="K217" s="47">
        <f t="shared" si="67"/>
        <v>0.79727855995810293</v>
      </c>
      <c r="L217" s="47">
        <f t="shared" ref="L217:M217" si="68">L207*L208</f>
        <v>0.78959342427633594</v>
      </c>
      <c r="M217" s="47">
        <f t="shared" si="68"/>
        <v>0.78190828859456896</v>
      </c>
      <c r="N217" s="219"/>
      <c r="O217" s="109">
        <v>215</v>
      </c>
      <c r="P217" s="109">
        <v>0</v>
      </c>
      <c r="Q217" s="158">
        <v>8.0788978308437436</v>
      </c>
      <c r="R217" s="158">
        <v>3.3182979190273576</v>
      </c>
      <c r="S217" s="158">
        <v>13.468537412276033</v>
      </c>
      <c r="T217" s="158">
        <v>0.24737964981765823</v>
      </c>
      <c r="U217" s="158">
        <v>0.25533278900271406</v>
      </c>
      <c r="V217" s="158">
        <v>6.9384630751893901E-3</v>
      </c>
      <c r="W217" s="158">
        <v>0.82995025927671184</v>
      </c>
      <c r="X217" s="194">
        <v>4.7050050061677053</v>
      </c>
      <c r="Y217" s="158">
        <v>14.455442142448179</v>
      </c>
      <c r="Z217" s="158">
        <v>12.703192498627979</v>
      </c>
      <c r="AA217" s="158">
        <v>2.6990353214172935</v>
      </c>
      <c r="AB217" s="158">
        <v>0.7412345837088572</v>
      </c>
      <c r="AC217" s="158">
        <v>4.9084920923372737E-3</v>
      </c>
      <c r="AD217" s="158">
        <v>5.4532209240994896E-3</v>
      </c>
      <c r="AE217" s="158">
        <v>0.22200865819899715</v>
      </c>
      <c r="AF217" s="158">
        <v>2.0073989901809486</v>
      </c>
      <c r="AG217" s="158">
        <v>0.92706282745546498</v>
      </c>
      <c r="AH217" s="158">
        <v>8.9625071237328946</v>
      </c>
      <c r="AI217" s="158">
        <v>0.64584787987337122</v>
      </c>
      <c r="AJ217" s="158">
        <v>1.2268096640802741</v>
      </c>
      <c r="AK217" s="158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200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3"/>
      <c r="G218" s="47">
        <f t="shared" si="50"/>
        <v>0.96198302898515853</v>
      </c>
      <c r="H218" s="47">
        <f t="shared" ref="H218:K218" si="69">H207*H209</f>
        <v>0.96182927750280833</v>
      </c>
      <c r="I218" s="47">
        <f t="shared" si="69"/>
        <v>0.93299735130091832</v>
      </c>
      <c r="J218" s="47">
        <f t="shared" si="69"/>
        <v>0.91563048336771757</v>
      </c>
      <c r="K218" s="47">
        <f t="shared" si="69"/>
        <v>0.89842675022700025</v>
      </c>
      <c r="L218" s="47">
        <f t="shared" ref="L218:M218" si="70">L207*L209</f>
        <v>0.88138615187876612</v>
      </c>
      <c r="M218" s="47">
        <f t="shared" si="70"/>
        <v>0.86450868832301497</v>
      </c>
      <c r="N218" s="219"/>
      <c r="O218" s="109">
        <v>216</v>
      </c>
      <c r="P218" s="109">
        <v>0</v>
      </c>
      <c r="Q218" s="158">
        <v>7.8201041928343029</v>
      </c>
      <c r="R218" s="158">
        <v>3.2669141836660796</v>
      </c>
      <c r="S218" s="158">
        <v>14.733494779547444</v>
      </c>
      <c r="T218" s="158">
        <v>0.28411763448088562</v>
      </c>
      <c r="U218" s="158">
        <v>0.23059723311213218</v>
      </c>
      <c r="V218" s="158">
        <v>-5.0086450806057859E-3</v>
      </c>
      <c r="W218" s="158">
        <v>0.96198302898515853</v>
      </c>
      <c r="X218" s="194">
        <v>5.370746729880139</v>
      </c>
      <c r="Y218" s="158">
        <v>16.494884788942695</v>
      </c>
      <c r="Z218" s="158">
        <v>13.328819149436551</v>
      </c>
      <c r="AA218" s="158">
        <v>3.1071597953334389</v>
      </c>
      <c r="AB218" s="158">
        <v>0.72023777696880109</v>
      </c>
      <c r="AC218" s="158">
        <v>2.6544764806446077E-3</v>
      </c>
      <c r="AD218" s="158">
        <v>1.8840408528107883E-2</v>
      </c>
      <c r="AE218" s="158">
        <v>0.12165003517571217</v>
      </c>
      <c r="AF218" s="158">
        <v>2.1326801044006087</v>
      </c>
      <c r="AG218" s="158">
        <v>0.89881974739801829</v>
      </c>
      <c r="AH218" s="158">
        <v>9.9062694070343174</v>
      </c>
      <c r="AI218" s="158">
        <v>0.82134939294054532</v>
      </c>
      <c r="AJ218" s="158">
        <v>1.0735637609517075</v>
      </c>
      <c r="AK218" s="158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200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3"/>
      <c r="G219" s="47">
        <f t="shared" si="50"/>
        <v>1.357442693893077</v>
      </c>
      <c r="H219" s="47">
        <f t="shared" ref="H219:K219" si="71">H208*H209</f>
        <v>1.3731410988926072</v>
      </c>
      <c r="I219" s="47">
        <f t="shared" si="71"/>
        <v>1.34457073540337</v>
      </c>
      <c r="J219" s="47">
        <f t="shared" si="71"/>
        <v>1.3321407328268116</v>
      </c>
      <c r="K219" s="47">
        <f t="shared" si="71"/>
        <v>1.3197107302502533</v>
      </c>
      <c r="L219" s="47">
        <f t="shared" ref="L219:M219" si="72">L208*L209</f>
        <v>1.3072807276736949</v>
      </c>
      <c r="M219" s="47">
        <f t="shared" si="72"/>
        <v>1.2948507250971364</v>
      </c>
      <c r="N219" s="219"/>
      <c r="O219" s="109">
        <v>217</v>
      </c>
      <c r="P219" s="109">
        <v>0</v>
      </c>
      <c r="Q219" s="158">
        <v>7.9948003247053423</v>
      </c>
      <c r="R219" s="158">
        <v>3.806868002551969</v>
      </c>
      <c r="S219" s="158">
        <v>14.798757519478434</v>
      </c>
      <c r="T219" s="158">
        <v>0.23587771174992037</v>
      </c>
      <c r="U219" s="158">
        <v>0.28091729883033056</v>
      </c>
      <c r="V219" s="158">
        <v>-6.5748972138847317E-3</v>
      </c>
      <c r="W219" s="158">
        <v>1.357442693893077</v>
      </c>
      <c r="X219" s="194">
        <v>5.3081011282139485</v>
      </c>
      <c r="Y219" s="158">
        <v>15.287430949375462</v>
      </c>
      <c r="Z219" s="158">
        <v>15.655916620337505</v>
      </c>
      <c r="AA219" s="158">
        <v>3.1728880815791243</v>
      </c>
      <c r="AB219" s="158">
        <v>0.56497206831524449</v>
      </c>
      <c r="AC219" s="158">
        <v>5.6972787956594603E-3</v>
      </c>
      <c r="AD219" s="158">
        <v>2.9892411532234674E-2</v>
      </c>
      <c r="AE219" s="158">
        <v>0.22676789510654219</v>
      </c>
      <c r="AF219" s="158">
        <v>2.6790557256655276</v>
      </c>
      <c r="AG219" s="158">
        <v>0.83700177658953945</v>
      </c>
      <c r="AH219" s="158">
        <v>10.180353142185147</v>
      </c>
      <c r="AI219" s="158">
        <v>0.98067730856298829</v>
      </c>
      <c r="AJ219" s="158">
        <v>1.1141231485531444</v>
      </c>
      <c r="AK219" s="158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200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3"/>
      <c r="G220" s="47">
        <f t="shared" si="50"/>
        <v>-0.98121490567635494</v>
      </c>
      <c r="H220" s="47">
        <f t="shared" ref="H220:K220" si="73">LN(H156/H198)</f>
        <v>-0.94690812894780874</v>
      </c>
      <c r="I220" s="47">
        <f t="shared" si="73"/>
        <v>-0.91782579933992647</v>
      </c>
      <c r="J220" s="47">
        <f t="shared" si="73"/>
        <v>-0.89284900167236547</v>
      </c>
      <c r="K220" s="47">
        <f t="shared" si="73"/>
        <v>-0.87115930351441784</v>
      </c>
      <c r="L220" s="47">
        <f t="shared" ref="L220:M220" si="74">LN(L156/L198)</f>
        <v>-0.85109773056908111</v>
      </c>
      <c r="M220" s="47">
        <f t="shared" si="74"/>
        <v>-0.83251324493749368</v>
      </c>
      <c r="N220" s="219"/>
      <c r="O220" s="109">
        <v>218</v>
      </c>
      <c r="P220" s="109">
        <v>0</v>
      </c>
      <c r="Q220" s="158">
        <v>2.0704222460799779</v>
      </c>
      <c r="R220" s="158">
        <v>-0.38135836901019887</v>
      </c>
      <c r="S220" s="158">
        <v>-3.3867213428716982</v>
      </c>
      <c r="T220" s="158">
        <v>-1.2598696018798254</v>
      </c>
      <c r="U220" s="158">
        <v>-1.6898196671023202</v>
      </c>
      <c r="V220" s="158">
        <v>-0.57490828177456887</v>
      </c>
      <c r="W220" s="158">
        <v>-0.98121490567635494</v>
      </c>
      <c r="X220" s="194">
        <v>-2.9107026578962012</v>
      </c>
      <c r="Y220" s="158">
        <v>-4.5449971768766924</v>
      </c>
      <c r="Z220" s="158">
        <v>-4.5080327573328702</v>
      </c>
      <c r="AA220" s="158">
        <v>-2.9030483686819828</v>
      </c>
      <c r="AB220" s="158">
        <v>0.1898183786908334</v>
      </c>
      <c r="AC220" s="158">
        <v>-0.57763853002780408</v>
      </c>
      <c r="AD220" s="158">
        <v>-0.75282273942520006</v>
      </c>
      <c r="AE220" s="158">
        <v>-0.44144124735150159</v>
      </c>
      <c r="AF220" s="158">
        <v>-2.091147408944523</v>
      </c>
      <c r="AG220" s="158">
        <v>-1.9364683798661271</v>
      </c>
      <c r="AH220" s="158">
        <v>-2.9855489950665093</v>
      </c>
      <c r="AI220" s="158">
        <v>-1.6542732555730684</v>
      </c>
      <c r="AJ220" s="158">
        <v>-2.3137337249568732</v>
      </c>
      <c r="AK220" s="158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200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40"/>
      <c r="G221" s="30">
        <f t="shared" si="50"/>
        <v>0.32021130317864555</v>
      </c>
      <c r="H221" s="30">
        <f t="shared" ref="H221:K221" si="75">H157/H199</f>
        <v>0.37118883779788053</v>
      </c>
      <c r="I221" s="30">
        <f t="shared" si="75"/>
        <v>0.41998132369951424</v>
      </c>
      <c r="J221" s="30">
        <f t="shared" si="75"/>
        <v>0.44913773924069789</v>
      </c>
      <c r="K221" s="30">
        <f t="shared" si="75"/>
        <v>0.48283329175627326</v>
      </c>
      <c r="L221" s="30">
        <f t="shared" ref="L221:M221" si="76">L157/L199</f>
        <v>0.52919837373154643</v>
      </c>
      <c r="M221" s="30">
        <f t="shared" si="76"/>
        <v>0.56333496880542155</v>
      </c>
      <c r="N221" s="217"/>
      <c r="O221" s="109">
        <v>219</v>
      </c>
      <c r="P221" s="109">
        <v>0</v>
      </c>
      <c r="Q221" s="158">
        <v>0.91622957895754542</v>
      </c>
      <c r="R221" s="158">
        <v>2.9273287965059406E-2</v>
      </c>
      <c r="S221" s="158">
        <v>-0.15439810006119781</v>
      </c>
      <c r="T221" s="158">
        <v>0.3126005907975053</v>
      </c>
      <c r="U221" s="158">
        <v>0.60624066902230089</v>
      </c>
      <c r="V221" s="158">
        <v>0.57195555877157322</v>
      </c>
      <c r="W221" s="158">
        <v>0.32021130317864555</v>
      </c>
      <c r="X221" s="194">
        <v>0.94580166441591884</v>
      </c>
      <c r="Y221" s="158">
        <v>-0.5773127857109196</v>
      </c>
      <c r="Z221" s="158">
        <v>1.7026384084777773</v>
      </c>
      <c r="AA221" s="158">
        <v>0.95661087392946365</v>
      </c>
      <c r="AB221" s="158">
        <v>0.91015728483632063</v>
      </c>
      <c r="AC221" s="158">
        <v>2.7181550516277526</v>
      </c>
      <c r="AD221" s="158">
        <v>0.64147168183995351</v>
      </c>
      <c r="AE221" s="158">
        <v>0.44656488500559427</v>
      </c>
      <c r="AF221" s="158">
        <v>1.5878235778525895</v>
      </c>
      <c r="AG221" s="158">
        <v>0.72489215684136066</v>
      </c>
      <c r="AH221" s="158">
        <v>-0.11574947553912633</v>
      </c>
      <c r="AI221" s="158">
        <v>0.64943625163689533</v>
      </c>
      <c r="AJ221" s="158">
        <v>0.73695500067564168</v>
      </c>
      <c r="AK221" s="158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200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3"/>
      <c r="G222" s="47">
        <f t="shared" si="50"/>
        <v>13</v>
      </c>
      <c r="H222" s="47">
        <f t="shared" ref="H222:K222" si="77">H158</f>
        <v>14</v>
      </c>
      <c r="I222" s="47">
        <f t="shared" si="77"/>
        <v>15</v>
      </c>
      <c r="J222" s="47">
        <f t="shared" si="77"/>
        <v>16</v>
      </c>
      <c r="K222" s="47">
        <f t="shared" si="77"/>
        <v>17</v>
      </c>
      <c r="L222" s="47">
        <f t="shared" ref="L222:M222" si="78">L158</f>
        <v>18</v>
      </c>
      <c r="M222" s="47">
        <f t="shared" si="78"/>
        <v>19</v>
      </c>
      <c r="N222" s="219"/>
      <c r="O222" s="109">
        <v>220</v>
      </c>
      <c r="P222" s="109">
        <v>0</v>
      </c>
      <c r="Q222" s="158">
        <v>13</v>
      </c>
      <c r="R222" s="158">
        <v>13</v>
      </c>
      <c r="S222" s="158">
        <v>13</v>
      </c>
      <c r="T222" s="158">
        <v>13</v>
      </c>
      <c r="U222" s="158">
        <v>13</v>
      </c>
      <c r="V222" s="158">
        <v>13</v>
      </c>
      <c r="W222" s="158">
        <v>13</v>
      </c>
      <c r="X222" s="194">
        <v>13</v>
      </c>
      <c r="Y222" s="158">
        <v>13</v>
      </c>
      <c r="Z222" s="158">
        <v>13</v>
      </c>
      <c r="AA222" s="158">
        <v>13</v>
      </c>
      <c r="AB222" s="158">
        <v>13</v>
      </c>
      <c r="AC222" s="158">
        <v>13</v>
      </c>
      <c r="AD222" s="158">
        <v>13</v>
      </c>
      <c r="AE222" s="158">
        <v>13</v>
      </c>
      <c r="AF222" s="158">
        <v>13</v>
      </c>
      <c r="AG222" s="158">
        <v>13</v>
      </c>
      <c r="AH222" s="158">
        <v>13</v>
      </c>
      <c r="AI222" s="158">
        <v>13</v>
      </c>
      <c r="AJ222" s="158">
        <v>13</v>
      </c>
      <c r="AK222" s="158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200"/>
      <c r="BY222" s="110"/>
      <c r="BZ222" s="110"/>
      <c r="CA222" s="110"/>
      <c r="CB222" s="110"/>
      <c r="CC222" s="110"/>
      <c r="CD222" s="113"/>
      <c r="CE222" s="113"/>
      <c r="ET222" s="232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8">
        <v>0</v>
      </c>
      <c r="R223" s="158">
        <v>0</v>
      </c>
      <c r="S223" s="158">
        <v>0</v>
      </c>
      <c r="T223" s="158">
        <v>0</v>
      </c>
      <c r="U223" s="158">
        <v>0</v>
      </c>
      <c r="V223" s="158">
        <v>0</v>
      </c>
      <c r="W223" s="158">
        <v>0</v>
      </c>
      <c r="X223" s="194">
        <v>0</v>
      </c>
      <c r="Y223" s="158">
        <v>0</v>
      </c>
      <c r="Z223" s="158">
        <v>0</v>
      </c>
      <c r="AA223" s="158">
        <v>0</v>
      </c>
      <c r="AB223" s="158">
        <v>0</v>
      </c>
      <c r="AC223" s="158">
        <v>0</v>
      </c>
      <c r="AD223" s="158">
        <v>0</v>
      </c>
      <c r="AE223" s="158">
        <v>0</v>
      </c>
      <c r="AF223" s="158">
        <v>0</v>
      </c>
      <c r="AG223" s="158">
        <v>0</v>
      </c>
      <c r="AH223" s="158">
        <v>0</v>
      </c>
      <c r="AI223" s="158">
        <v>0</v>
      </c>
      <c r="AJ223" s="158">
        <v>0</v>
      </c>
      <c r="AK223" s="158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200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94">
        <v>0</v>
      </c>
      <c r="Y224" s="158">
        <v>0</v>
      </c>
      <c r="Z224" s="158">
        <v>0</v>
      </c>
      <c r="AA224" s="158">
        <v>0</v>
      </c>
      <c r="AB224" s="158">
        <v>0</v>
      </c>
      <c r="AC224" s="158">
        <v>0</v>
      </c>
      <c r="AD224" s="158">
        <v>0</v>
      </c>
      <c r="AE224" s="158">
        <v>0</v>
      </c>
      <c r="AF224" s="158">
        <v>0</v>
      </c>
      <c r="AG224" s="158">
        <v>0</v>
      </c>
      <c r="AH224" s="158">
        <v>0</v>
      </c>
      <c r="AI224" s="158">
        <v>0</v>
      </c>
      <c r="AJ224" s="158">
        <v>0</v>
      </c>
      <c r="AK224" s="158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200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94">
        <v>0</v>
      </c>
      <c r="Y225" s="158">
        <v>0</v>
      </c>
      <c r="Z225" s="158">
        <v>0</v>
      </c>
      <c r="AA225" s="158">
        <v>0</v>
      </c>
      <c r="AB225" s="158">
        <v>0</v>
      </c>
      <c r="AC225" s="158">
        <v>0</v>
      </c>
      <c r="AD225" s="158">
        <v>0</v>
      </c>
      <c r="AE225" s="158">
        <v>0</v>
      </c>
      <c r="AF225" s="158">
        <v>0</v>
      </c>
      <c r="AG225" s="158">
        <v>0</v>
      </c>
      <c r="AH225" s="158">
        <v>0</v>
      </c>
      <c r="AI225" s="158">
        <v>0</v>
      </c>
      <c r="AJ225" s="158">
        <v>0</v>
      </c>
      <c r="AK225" s="158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200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4"/>
      <c r="G226" s="49">
        <f t="shared" ref="G226:G243" si="79">HLOOKUP($E$3,$P$3:$CE$269,O226,FALSE)</f>
        <v>12.81288440307239</v>
      </c>
      <c r="H226" s="49">
        <f t="shared" ref="H226:K241" si="80">H162*H205</f>
        <v>12.81288440307239</v>
      </c>
      <c r="I226" s="49">
        <f t="shared" si="80"/>
        <v>12.81288440307239</v>
      </c>
      <c r="J226" s="49">
        <f t="shared" si="80"/>
        <v>12.81288440307239</v>
      </c>
      <c r="K226" s="49">
        <f t="shared" si="80"/>
        <v>12.81288440307239</v>
      </c>
      <c r="L226" s="49">
        <f t="shared" ref="L226:M226" si="81">L162*L205</f>
        <v>12.81288440307239</v>
      </c>
      <c r="M226" s="49">
        <f t="shared" si="81"/>
        <v>12.81288440307239</v>
      </c>
      <c r="N226" s="220"/>
      <c r="O226" s="109">
        <v>224</v>
      </c>
      <c r="P226" s="109">
        <v>0</v>
      </c>
      <c r="Q226" s="158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4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200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4"/>
      <c r="G227" s="49">
        <f t="shared" si="79"/>
        <v>-9.3548872413192014E-2</v>
      </c>
      <c r="H227" s="49">
        <f t="shared" si="80"/>
        <v>-9.689926382498136E-2</v>
      </c>
      <c r="I227" s="49">
        <f t="shared" si="80"/>
        <v>-0.10024965523677057</v>
      </c>
      <c r="J227" s="49">
        <f t="shared" si="80"/>
        <v>-0.10360004664855976</v>
      </c>
      <c r="K227" s="49">
        <f t="shared" si="80"/>
        <v>-0.10695043806034894</v>
      </c>
      <c r="L227" s="49">
        <f t="shared" ref="L227:M227" si="82">L163*L206</f>
        <v>-0.11030082947213812</v>
      </c>
      <c r="M227" s="49">
        <f t="shared" si="82"/>
        <v>-0.11365122088392751</v>
      </c>
      <c r="N227" s="220"/>
      <c r="O227" s="109">
        <v>225</v>
      </c>
      <c r="P227" s="109">
        <v>0</v>
      </c>
      <c r="Q227" s="158">
        <v>-0.20036856404874945</v>
      </c>
      <c r="R227" s="158">
        <v>-5.4940988395248795E-2</v>
      </c>
      <c r="S227" s="158">
        <v>-9.2428959156760221E-2</v>
      </c>
      <c r="T227" s="158">
        <v>-0.14363044945329634</v>
      </c>
      <c r="U227" s="158">
        <v>-0.10208534628693267</v>
      </c>
      <c r="V227" s="158">
        <v>-0.17500630001222117</v>
      </c>
      <c r="W227" s="158">
        <v>-9.3548872413192014E-2</v>
      </c>
      <c r="X227" s="194">
        <v>-0.13294641688424702</v>
      </c>
      <c r="Y227" s="158">
        <v>-0.10061602431068169</v>
      </c>
      <c r="Z227" s="158">
        <v>-0.19679439869956902</v>
      </c>
      <c r="AA227" s="158">
        <v>-0.21508328391630838</v>
      </c>
      <c r="AB227" s="158">
        <v>-0.20329127572663383</v>
      </c>
      <c r="AC227" s="158">
        <v>-0.15679806950602523</v>
      </c>
      <c r="AD227" s="158">
        <v>-0.11393563822626994</v>
      </c>
      <c r="AE227" s="158">
        <v>-0.21481947110622904</v>
      </c>
      <c r="AF227" s="158">
        <v>-7.1178420434991813E-2</v>
      </c>
      <c r="AG227" s="158">
        <v>-0.11762435053762148</v>
      </c>
      <c r="AH227" s="158">
        <v>-0.10058998963701059</v>
      </c>
      <c r="AI227" s="158">
        <v>-0.21459973719770536</v>
      </c>
      <c r="AJ227" s="158">
        <v>-0.10203663891808401</v>
      </c>
      <c r="AK227" s="158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200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4"/>
      <c r="G228" s="49">
        <f t="shared" si="79"/>
        <v>-0.34112183159472781</v>
      </c>
      <c r="H228" s="49">
        <f t="shared" si="80"/>
        <v>-0.33716806646774761</v>
      </c>
      <c r="I228" s="49">
        <f t="shared" si="80"/>
        <v>-0.33401068881566204</v>
      </c>
      <c r="J228" s="49">
        <f t="shared" si="80"/>
        <v>-0.33085198438667252</v>
      </c>
      <c r="K228" s="49">
        <f t="shared" si="80"/>
        <v>-0.32769327995768299</v>
      </c>
      <c r="L228" s="49">
        <f t="shared" ref="L228:M228" si="83">L164*L207</f>
        <v>-0.32453457552869341</v>
      </c>
      <c r="M228" s="49">
        <f t="shared" si="83"/>
        <v>-0.32137587109970389</v>
      </c>
      <c r="N228" s="220"/>
      <c r="O228" s="109">
        <v>226</v>
      </c>
      <c r="P228" s="109">
        <v>0</v>
      </c>
      <c r="Q228" s="158">
        <v>1.1913998073901886</v>
      </c>
      <c r="R228" s="158">
        <v>-0.77142161816868549</v>
      </c>
      <c r="S228" s="158">
        <v>-1.6255035893831318</v>
      </c>
      <c r="T228" s="158">
        <v>-0.24049383600522575</v>
      </c>
      <c r="U228" s="158">
        <v>-0.20362651417963923</v>
      </c>
      <c r="V228" s="158">
        <v>3.1896897350681595E-2</v>
      </c>
      <c r="W228" s="158">
        <v>-0.34112183159472781</v>
      </c>
      <c r="X228" s="194">
        <v>-0.97649694880876414</v>
      </c>
      <c r="Y228" s="158">
        <v>-1.7584245838264245</v>
      </c>
      <c r="Z228" s="158">
        <v>-1.4715042778138165</v>
      </c>
      <c r="AA228" s="158">
        <v>-0.72044037559859853</v>
      </c>
      <c r="AB228" s="158">
        <v>0.42808316396818585</v>
      </c>
      <c r="AC228" s="158">
        <v>2.0845209651499792E-2</v>
      </c>
      <c r="AD228" s="158">
        <v>-2.4997295745481096E-2</v>
      </c>
      <c r="AE228" s="158">
        <v>0.1561415220873468</v>
      </c>
      <c r="AF228" s="158">
        <v>-0.55699363668158175</v>
      </c>
      <c r="AG228" s="158">
        <v>-0.45170520492833077</v>
      </c>
      <c r="AH228" s="158">
        <v>-1.3147987991683534</v>
      </c>
      <c r="AI228" s="158">
        <v>-0.32862959107225592</v>
      </c>
      <c r="AJ228" s="158">
        <v>-0.49146112315527846</v>
      </c>
      <c r="AK228" s="158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200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4"/>
      <c r="G229" s="49">
        <f t="shared" si="79"/>
        <v>-0.17587787634040611</v>
      </c>
      <c r="H229" s="49">
        <f t="shared" si="80"/>
        <v>-0.17587787634040611</v>
      </c>
      <c r="I229" s="49">
        <f t="shared" si="80"/>
        <v>-0.17587787634040611</v>
      </c>
      <c r="J229" s="49">
        <f t="shared" si="80"/>
        <v>-0.17587787634040611</v>
      </c>
      <c r="K229" s="49">
        <f t="shared" si="80"/>
        <v>-0.17587787634040611</v>
      </c>
      <c r="L229" s="49">
        <f t="shared" ref="L229:M229" si="84">L165*L208</f>
        <v>-0.17587787634040611</v>
      </c>
      <c r="M229" s="49">
        <f t="shared" si="84"/>
        <v>-0.17587787634040611</v>
      </c>
      <c r="N229" s="220"/>
      <c r="O229" s="109">
        <v>227</v>
      </c>
      <c r="P229" s="109">
        <v>0</v>
      </c>
      <c r="Q229" s="158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4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0.12605523359972601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-0.17439125603850716</v>
      </c>
      <c r="AK229" s="158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200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4"/>
      <c r="G230" s="49">
        <f t="shared" si="79"/>
        <v>-0.12768449306542623</v>
      </c>
      <c r="H230" s="49">
        <f t="shared" si="80"/>
        <v>-0.12916112474447863</v>
      </c>
      <c r="I230" s="49">
        <f t="shared" si="80"/>
        <v>-0.12647372409380664</v>
      </c>
      <c r="J230" s="49">
        <f t="shared" si="80"/>
        <v>-0.1253045266131837</v>
      </c>
      <c r="K230" s="49">
        <f t="shared" si="80"/>
        <v>-0.12413532913256076</v>
      </c>
      <c r="L230" s="49">
        <f t="shared" ref="L230:M230" si="85">L166*L209</f>
        <v>-0.12296613165193783</v>
      </c>
      <c r="M230" s="49">
        <f t="shared" si="85"/>
        <v>-0.12179693417131487</v>
      </c>
      <c r="N230" s="220"/>
      <c r="O230" s="109">
        <v>228</v>
      </c>
      <c r="P230" s="109">
        <v>0</v>
      </c>
      <c r="Q230" s="158">
        <v>0.26337882538005419</v>
      </c>
      <c r="R230" s="158">
        <v>-0.21480639599974291</v>
      </c>
      <c r="S230" s="158">
        <v>-0.40025705492744401</v>
      </c>
      <c r="T230" s="158">
        <v>-5.7286526693869931E-2</v>
      </c>
      <c r="U230" s="158">
        <v>-5.2917550435991237E-2</v>
      </c>
      <c r="V230" s="158">
        <v>-7.5142327514645347E-3</v>
      </c>
      <c r="W230" s="158">
        <v>-0.12768449306542623</v>
      </c>
      <c r="X230" s="194">
        <v>-0.2702034216869586</v>
      </c>
      <c r="Y230" s="158">
        <v>-0.45428520389640265</v>
      </c>
      <c r="Z230" s="158">
        <v>-0.43209765041103809</v>
      </c>
      <c r="AA230" s="158">
        <v>-0.19462931768102723</v>
      </c>
      <c r="AB230" s="158">
        <v>7.7020609809520635E-2</v>
      </c>
      <c r="AC230" s="158">
        <v>5.9644502079137405E-3</v>
      </c>
      <c r="AD230" s="158">
        <v>-3.6266567763301498E-2</v>
      </c>
      <c r="AE230" s="158">
        <v>3.0455373636435894E-2</v>
      </c>
      <c r="AF230" s="158">
        <v>-0.17657911879410237</v>
      </c>
      <c r="AG230" s="158">
        <v>-9.5236477169967124E-2</v>
      </c>
      <c r="AH230" s="158">
        <v>-0.34560170059478823</v>
      </c>
      <c r="AI230" s="158">
        <v>-0.11649448745940495</v>
      </c>
      <c r="AJ230" s="158">
        <v>-9.1508166754867518E-2</v>
      </c>
      <c r="AK230" s="158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200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4"/>
      <c r="G231" s="49">
        <f t="shared" si="79"/>
        <v>1.4344234437666113E-3</v>
      </c>
      <c r="H231" s="49">
        <f t="shared" si="80"/>
        <v>1.5390091983141297E-3</v>
      </c>
      <c r="I231" s="49">
        <f t="shared" si="80"/>
        <v>1.6472747285817197E-3</v>
      </c>
      <c r="J231" s="49">
        <f t="shared" si="80"/>
        <v>1.7592200345693857E-3</v>
      </c>
      <c r="K231" s="49">
        <f t="shared" si="80"/>
        <v>1.8748451162771266E-3</v>
      </c>
      <c r="L231" s="49">
        <f t="shared" ref="L231:M231" si="86">L167*L210</f>
        <v>1.9941499737049441E-3</v>
      </c>
      <c r="M231" s="49">
        <f t="shared" si="86"/>
        <v>2.1171346068528446E-3</v>
      </c>
      <c r="N231" s="220"/>
      <c r="O231" s="109">
        <v>229</v>
      </c>
      <c r="P231" s="109">
        <v>0</v>
      </c>
      <c r="Q231" s="158">
        <v>6.2016526623621341E-3</v>
      </c>
      <c r="R231" s="158">
        <v>4.7533897277764507E-4</v>
      </c>
      <c r="S231" s="158">
        <v>1.3411272646075452E-3</v>
      </c>
      <c r="T231" s="158">
        <v>3.4046215174529434E-3</v>
      </c>
      <c r="U231" s="158">
        <v>1.5940808275625947E-3</v>
      </c>
      <c r="V231" s="158">
        <v>4.7952257134402307E-3</v>
      </c>
      <c r="W231" s="158">
        <v>1.4344234437666113E-3</v>
      </c>
      <c r="X231" s="194">
        <v>2.8051447149896654E-3</v>
      </c>
      <c r="Y231" s="158">
        <v>1.5593139883864884E-3</v>
      </c>
      <c r="Z231" s="158">
        <v>6.6619087900906667E-3</v>
      </c>
      <c r="AA231" s="158">
        <v>7.5611003655951968E-3</v>
      </c>
      <c r="AB231" s="158">
        <v>6.4703289386690045E-3</v>
      </c>
      <c r="AC231" s="158">
        <v>3.8205242415420525E-3</v>
      </c>
      <c r="AD231" s="158">
        <v>2.2575672051926361E-3</v>
      </c>
      <c r="AE231" s="158">
        <v>7.1658681482940894E-3</v>
      </c>
      <c r="AF231" s="158">
        <v>8.1822006024059586E-4</v>
      </c>
      <c r="AG231" s="158">
        <v>2.2255724632444804E-3</v>
      </c>
      <c r="AH231" s="158">
        <v>1.5691620424570243E-3</v>
      </c>
      <c r="AI231" s="158">
        <v>7.1504711358490068E-3</v>
      </c>
      <c r="AJ231" s="158">
        <v>1.5372944380638185E-3</v>
      </c>
      <c r="AK231" s="158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200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4"/>
      <c r="G232" s="49">
        <f t="shared" si="79"/>
        <v>-0.10232196997675834</v>
      </c>
      <c r="H232" s="49">
        <f t="shared" si="80"/>
        <v>-9.9963794717226426E-2</v>
      </c>
      <c r="I232" s="49">
        <f t="shared" si="80"/>
        <v>-9.8100358228999346E-2</v>
      </c>
      <c r="J232" s="49">
        <f t="shared" si="80"/>
        <v>-9.625368180839243E-2</v>
      </c>
      <c r="K232" s="49">
        <f t="shared" si="80"/>
        <v>-9.4424552184210656E-2</v>
      </c>
      <c r="L232" s="49">
        <f t="shared" ref="L232:M232" si="87">L168*L211</f>
        <v>-9.2612969356454022E-2</v>
      </c>
      <c r="M232" s="49">
        <f t="shared" si="87"/>
        <v>-9.0818933325122544E-2</v>
      </c>
      <c r="N232" s="220"/>
      <c r="O232" s="109">
        <v>230</v>
      </c>
      <c r="P232" s="109">
        <v>0</v>
      </c>
      <c r="Q232" s="158">
        <v>-1.4709921030182214</v>
      </c>
      <c r="R232" s="158">
        <v>-0.56995049815102095</v>
      </c>
      <c r="S232" s="158">
        <v>-2.3740714043839204</v>
      </c>
      <c r="T232" s="158">
        <v>-5.6732754881166129E-2</v>
      </c>
      <c r="U232" s="158">
        <v>-3.8706456353905218E-2</v>
      </c>
      <c r="V232" s="158">
        <v>-9.8414769270560023E-4</v>
      </c>
      <c r="W232" s="158">
        <v>-0.10232196997675834</v>
      </c>
      <c r="X232" s="194">
        <v>-0.94155863209825741</v>
      </c>
      <c r="Y232" s="158">
        <v>-3.2320387241020581</v>
      </c>
      <c r="Z232" s="158">
        <v>-1.8097751456401558</v>
      </c>
      <c r="AA232" s="158">
        <v>-0.51829643207352349</v>
      </c>
      <c r="AB232" s="158">
        <v>-0.1764775069114477</v>
      </c>
      <c r="AC232" s="158">
        <v>-3.9937054333372097E-4</v>
      </c>
      <c r="AD232" s="158">
        <v>-6.2960671220022816E-4</v>
      </c>
      <c r="AE232" s="158">
        <v>-2.7347775742546397E-2</v>
      </c>
      <c r="AF232" s="158">
        <v>-0.34278708246028733</v>
      </c>
      <c r="AG232" s="158">
        <v>-0.1855003654159762</v>
      </c>
      <c r="AH232" s="158">
        <v>-1.8828716521674471</v>
      </c>
      <c r="AI232" s="158">
        <v>-0.10205763809236749</v>
      </c>
      <c r="AJ232" s="158">
        <v>-0.21185555342685716</v>
      </c>
      <c r="AK232" s="158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200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4"/>
      <c r="G233" s="49">
        <f t="shared" si="79"/>
        <v>0.11934768627786604</v>
      </c>
      <c r="H233" s="49">
        <f t="shared" si="80"/>
        <v>0.11934768627786604</v>
      </c>
      <c r="I233" s="49">
        <f t="shared" si="80"/>
        <v>0.11934768627786604</v>
      </c>
      <c r="J233" s="49">
        <f t="shared" si="80"/>
        <v>0.11934768627786604</v>
      </c>
      <c r="K233" s="49">
        <f t="shared" si="80"/>
        <v>0.11934768627786604</v>
      </c>
      <c r="L233" s="49">
        <f t="shared" ref="L233:M233" si="88">L169*L212</f>
        <v>0.11934768627786604</v>
      </c>
      <c r="M233" s="49">
        <f t="shared" si="88"/>
        <v>0.11934768627786604</v>
      </c>
      <c r="N233" s="220"/>
      <c r="O233" s="109">
        <v>231</v>
      </c>
      <c r="P233" s="109">
        <v>0</v>
      </c>
      <c r="Q233" s="158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4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5.4175994300533346E-2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0.13863434709824368</v>
      </c>
      <c r="AK233" s="158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200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4"/>
      <c r="G234" s="49">
        <f t="shared" si="79"/>
        <v>0.12588639062758195</v>
      </c>
      <c r="H234" s="49">
        <f t="shared" si="80"/>
        <v>0.12881490129514589</v>
      </c>
      <c r="I234" s="49">
        <f t="shared" si="80"/>
        <v>0.12351027316106122</v>
      </c>
      <c r="J234" s="49">
        <f t="shared" si="80"/>
        <v>0.12123722545150263</v>
      </c>
      <c r="K234" s="49">
        <f t="shared" si="80"/>
        <v>0.11898528871279156</v>
      </c>
      <c r="L234" s="49">
        <f t="shared" ref="L234:M234" si="89">L170*L213</f>
        <v>0.11675446294492794</v>
      </c>
      <c r="M234" s="49">
        <f t="shared" si="89"/>
        <v>0.11454474814791178</v>
      </c>
      <c r="N234" s="220"/>
      <c r="O234" s="109">
        <v>232</v>
      </c>
      <c r="P234" s="109">
        <v>0</v>
      </c>
      <c r="Q234" s="158">
        <v>0.56480250464440163</v>
      </c>
      <c r="R234" s="158">
        <v>0.32190592482993907</v>
      </c>
      <c r="S234" s="158">
        <v>1.2533159723344756</v>
      </c>
      <c r="T234" s="158">
        <v>2.4103965666733503E-2</v>
      </c>
      <c r="U234" s="158">
        <v>2.1116576150164254E-2</v>
      </c>
      <c r="V234" s="158">
        <v>4.0790440525589547E-4</v>
      </c>
      <c r="W234" s="158">
        <v>0.12588639062758195</v>
      </c>
      <c r="X234" s="194">
        <v>0.5400847759680748</v>
      </c>
      <c r="Y234" s="158">
        <v>1.5205109138638413</v>
      </c>
      <c r="Z234" s="158">
        <v>1.3914670379000771</v>
      </c>
      <c r="AA234" s="158">
        <v>0.28362412299561623</v>
      </c>
      <c r="AB234" s="158">
        <v>4.524722391904213E-2</v>
      </c>
      <c r="AC234" s="158">
        <v>2.5774633291818536E-4</v>
      </c>
      <c r="AD234" s="158">
        <v>9.6380421814788488E-3</v>
      </c>
      <c r="AE234" s="158">
        <v>9.6148373865324044E-3</v>
      </c>
      <c r="AF234" s="158">
        <v>0.23393162196088027</v>
      </c>
      <c r="AG234" s="158">
        <v>5.8070881490041429E-2</v>
      </c>
      <c r="AH234" s="158">
        <v>0.87645420137905306</v>
      </c>
      <c r="AI234" s="158">
        <v>0.10224644502816389</v>
      </c>
      <c r="AJ234" s="158">
        <v>6.5403956237416225E-2</v>
      </c>
      <c r="AK234" s="158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200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4"/>
      <c r="G235" s="49">
        <f t="shared" si="79"/>
        <v>6.0803599819438591E-3</v>
      </c>
      <c r="H235" s="49">
        <f t="shared" si="80"/>
        <v>6.2251258110343046E-3</v>
      </c>
      <c r="I235" s="49">
        <f t="shared" si="80"/>
        <v>6.3800557375686935E-3</v>
      </c>
      <c r="J235" s="49">
        <f t="shared" si="80"/>
        <v>6.530928283654194E-3</v>
      </c>
      <c r="K235" s="49">
        <f t="shared" si="80"/>
        <v>6.6777679455405099E-3</v>
      </c>
      <c r="L235" s="49">
        <f t="shared" ref="L235:M235" si="90">L171*L214</f>
        <v>6.8205747232276456E-3</v>
      </c>
      <c r="M235" s="49">
        <f t="shared" si="90"/>
        <v>6.9593486167156115E-3</v>
      </c>
      <c r="N235" s="220"/>
      <c r="O235" s="109">
        <v>233</v>
      </c>
      <c r="P235" s="109">
        <v>0</v>
      </c>
      <c r="Q235" s="158">
        <v>-4.9434298623319432E-2</v>
      </c>
      <c r="R235" s="158">
        <v>7.275784627435773E-3</v>
      </c>
      <c r="S235" s="158">
        <v>2.8784743271568092E-2</v>
      </c>
      <c r="T235" s="158">
        <v>5.7536723390625537E-3</v>
      </c>
      <c r="U235" s="158">
        <v>4.0111205227348935E-3</v>
      </c>
      <c r="V235" s="158">
        <v>-1.0992637783506E-3</v>
      </c>
      <c r="W235" s="158">
        <v>6.0803599819438591E-3</v>
      </c>
      <c r="X235" s="194">
        <v>2.4748017800138623E-2</v>
      </c>
      <c r="Y235" s="158">
        <v>3.3341228360626203E-2</v>
      </c>
      <c r="Z235" s="158">
        <v>5.1571748888825382E-2</v>
      </c>
      <c r="AA235" s="158">
        <v>3.0193807646027776E-2</v>
      </c>
      <c r="AB235" s="158">
        <v>-1.7034917154597019E-2</v>
      </c>
      <c r="AC235" s="158">
        <v>-6.6337177809255626E-4</v>
      </c>
      <c r="AD235" s="158">
        <v>5.4559134599265196E-4</v>
      </c>
      <c r="AE235" s="158">
        <v>-6.2557506471016718E-3</v>
      </c>
      <c r="AF235" s="158">
        <v>7.8155368301357064E-3</v>
      </c>
      <c r="AG235" s="158">
        <v>9.6248244776147018E-3</v>
      </c>
      <c r="AH235" s="158">
        <v>2.5213739353193369E-2</v>
      </c>
      <c r="AI235" s="158">
        <v>1.3653243111705019E-2</v>
      </c>
      <c r="AJ235" s="158">
        <v>1.0418241416533859E-2</v>
      </c>
      <c r="AK235" s="158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200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4"/>
      <c r="G236" s="49">
        <f t="shared" si="79"/>
        <v>1.7125449745750154E-3</v>
      </c>
      <c r="H236" s="49">
        <f t="shared" si="80"/>
        <v>1.773878647842359E-3</v>
      </c>
      <c r="I236" s="49">
        <f t="shared" si="80"/>
        <v>1.8352123211096999E-3</v>
      </c>
      <c r="J236" s="49">
        <f t="shared" si="80"/>
        <v>1.8965459943770411E-3</v>
      </c>
      <c r="K236" s="49">
        <f t="shared" si="80"/>
        <v>1.9578796676443817E-3</v>
      </c>
      <c r="L236" s="49">
        <f t="shared" ref="L236:M236" si="91">L172*L215</f>
        <v>2.0192133409117222E-3</v>
      </c>
      <c r="M236" s="49">
        <f t="shared" si="91"/>
        <v>2.0805470141790666E-3</v>
      </c>
      <c r="N236" s="220"/>
      <c r="O236" s="109">
        <v>234</v>
      </c>
      <c r="P236" s="109">
        <v>0</v>
      </c>
      <c r="Q236" s="158">
        <v>-7.4753605734525896E-3</v>
      </c>
      <c r="R236" s="158">
        <v>1.4449057628802755E-3</v>
      </c>
      <c r="S236" s="158">
        <v>5.3105222893686651E-3</v>
      </c>
      <c r="T236" s="158">
        <v>1.6820633325984494E-3</v>
      </c>
      <c r="U236" s="158">
        <v>8.3550158876619692E-4</v>
      </c>
      <c r="V236" s="158">
        <v>-2.5119699940673724E-4</v>
      </c>
      <c r="W236" s="158">
        <v>1.7125449745750154E-3</v>
      </c>
      <c r="X236" s="194">
        <v>4.2320587501933028E-3</v>
      </c>
      <c r="Y236" s="158">
        <v>6.1616903199529973E-3</v>
      </c>
      <c r="Z236" s="158">
        <v>1.6386574653072646E-2</v>
      </c>
      <c r="AA236" s="158">
        <v>5.4597336578682499E-3</v>
      </c>
      <c r="AB236" s="158">
        <v>-2.3535183444786459E-3</v>
      </c>
      <c r="AC236" s="158">
        <v>-2.1425207146744249E-4</v>
      </c>
      <c r="AD236" s="158">
        <v>1.7699888557567775E-4</v>
      </c>
      <c r="AE236" s="158">
        <v>-2.4002103334546188E-3</v>
      </c>
      <c r="AF236" s="158">
        <v>1.4257571938690319E-3</v>
      </c>
      <c r="AG236" s="158">
        <v>1.916216773378812E-3</v>
      </c>
      <c r="AH236" s="158">
        <v>4.7575759027169689E-3</v>
      </c>
      <c r="AI236" s="158">
        <v>2.8508191991436379E-3</v>
      </c>
      <c r="AJ236" s="158">
        <v>1.4836319437500519E-3</v>
      </c>
      <c r="AK236" s="158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200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4"/>
      <c r="G237" s="49">
        <f t="shared" si="79"/>
        <v>-4.2039120093706439E-5</v>
      </c>
      <c r="H237" s="49">
        <f t="shared" si="80"/>
        <v>-4.4048304826612983E-5</v>
      </c>
      <c r="I237" s="49">
        <f t="shared" si="80"/>
        <v>-4.462313703732672E-5</v>
      </c>
      <c r="J237" s="49">
        <f t="shared" si="80"/>
        <v>-4.5688154393337335E-5</v>
      </c>
      <c r="K237" s="49">
        <f t="shared" si="80"/>
        <v>-4.6725598349607787E-5</v>
      </c>
      <c r="L237" s="49">
        <f t="shared" ref="L237:M237" si="92">L173*L216</f>
        <v>-4.7735468906138076E-5</v>
      </c>
      <c r="M237" s="49">
        <f t="shared" si="92"/>
        <v>-4.8717766062928277E-5</v>
      </c>
      <c r="N237" s="220"/>
      <c r="O237" s="109">
        <v>235</v>
      </c>
      <c r="P237" s="109">
        <v>0</v>
      </c>
      <c r="Q237" s="158">
        <v>-3.5853331310450567E-4</v>
      </c>
      <c r="R237" s="158">
        <v>1.017851326375199E-3</v>
      </c>
      <c r="S237" s="158">
        <v>-3.8596865822982166E-4</v>
      </c>
      <c r="T237" s="158">
        <v>1.979964075845761E-4</v>
      </c>
      <c r="U237" s="158">
        <v>2.2699013722572304E-5</v>
      </c>
      <c r="V237" s="158">
        <v>-5.0107890832074052E-6</v>
      </c>
      <c r="W237" s="158">
        <v>-4.2039120093706439E-5</v>
      </c>
      <c r="X237" s="194">
        <v>4.4545208721665533E-4</v>
      </c>
      <c r="Y237" s="158">
        <v>-6.3108819011415708E-4</v>
      </c>
      <c r="Z237" s="158">
        <v>8.6269175753754871E-4</v>
      </c>
      <c r="AA237" s="158">
        <v>2.2518180586226481E-5</v>
      </c>
      <c r="AB237" s="158">
        <v>-2.5467866847375675E-5</v>
      </c>
      <c r="AC237" s="158">
        <v>7.9723758292141066E-6</v>
      </c>
      <c r="AD237" s="158">
        <v>1.3231288942421309E-4</v>
      </c>
      <c r="AE237" s="158">
        <v>3.9083331985274095E-5</v>
      </c>
      <c r="AF237" s="158">
        <v>1.1696558265117131E-5</v>
      </c>
      <c r="AG237" s="158">
        <v>1.9244090343661485E-4</v>
      </c>
      <c r="AH237" s="158">
        <v>-3.1817735900056999E-4</v>
      </c>
      <c r="AI237" s="158">
        <v>-8.2076012595623497E-5</v>
      </c>
      <c r="AJ237" s="158">
        <v>-3.8589515078629597E-4</v>
      </c>
      <c r="AK237" s="158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200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4"/>
      <c r="G238" s="49">
        <f t="shared" si="79"/>
        <v>9.7804856522054492E-2</v>
      </c>
      <c r="H238" s="49">
        <f t="shared" si="80"/>
        <v>9.6671251472039338E-2</v>
      </c>
      <c r="I238" s="49">
        <f t="shared" si="80"/>
        <v>9.5765982915041625E-2</v>
      </c>
      <c r="J238" s="49">
        <f t="shared" si="80"/>
        <v>9.4860333950773826E-2</v>
      </c>
      <c r="K238" s="49">
        <f t="shared" si="80"/>
        <v>9.395468498650604E-2</v>
      </c>
      <c r="L238" s="49">
        <f t="shared" ref="L238:M238" si="93">L174*L217</f>
        <v>9.3049036022238241E-2</v>
      </c>
      <c r="M238" s="49">
        <f t="shared" si="93"/>
        <v>9.2143387057970455E-2</v>
      </c>
      <c r="N238" s="220"/>
      <c r="O238" s="109">
        <v>236</v>
      </c>
      <c r="P238" s="109">
        <v>0</v>
      </c>
      <c r="Q238" s="158">
        <v>0.82363604793515821</v>
      </c>
      <c r="R238" s="158">
        <v>0.45783298159623137</v>
      </c>
      <c r="S238" s="158">
        <v>1.5565770941573245</v>
      </c>
      <c r="T238" s="158">
        <v>3.8811704636923718E-2</v>
      </c>
      <c r="U238" s="158">
        <v>3.4598528517878653E-2</v>
      </c>
      <c r="V238" s="158">
        <v>9.8557083734166114E-4</v>
      </c>
      <c r="W238" s="158">
        <v>9.7804856522054492E-2</v>
      </c>
      <c r="X238" s="194">
        <v>0.5865680158554103</v>
      </c>
      <c r="Y238" s="158">
        <v>2.4561859324414077</v>
      </c>
      <c r="Z238" s="158">
        <v>1.448920286717317</v>
      </c>
      <c r="AA238" s="158">
        <v>0.41719845743162209</v>
      </c>
      <c r="AB238" s="158">
        <v>0.10502032551420905</v>
      </c>
      <c r="AC238" s="158">
        <v>5.9085576915827575E-4</v>
      </c>
      <c r="AD238" s="158">
        <v>8.1020825713306167E-4</v>
      </c>
      <c r="AE238" s="158">
        <v>4.5016939259361732E-2</v>
      </c>
      <c r="AF238" s="158">
        <v>0.35775416053250741</v>
      </c>
      <c r="AG238" s="158">
        <v>0.15693164711305382</v>
      </c>
      <c r="AH238" s="158">
        <v>1.7785330979734684</v>
      </c>
      <c r="AI238" s="158">
        <v>9.1513894510177524E-2</v>
      </c>
      <c r="AJ238" s="158">
        <v>0.12960849819468884</v>
      </c>
      <c r="AK238" s="158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200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4"/>
      <c r="G239" s="49">
        <f t="shared" si="79"/>
        <v>5.8214445494269997E-2</v>
      </c>
      <c r="H239" s="49">
        <f t="shared" si="80"/>
        <v>5.8205141216523662E-2</v>
      </c>
      <c r="I239" s="49">
        <f t="shared" si="80"/>
        <v>5.6460375928776951E-2</v>
      </c>
      <c r="J239" s="49">
        <f t="shared" si="80"/>
        <v>5.5409419148624545E-2</v>
      </c>
      <c r="K239" s="49">
        <f t="shared" si="80"/>
        <v>5.4368334477645691E-2</v>
      </c>
      <c r="L239" s="49">
        <f t="shared" ref="L239:M239" si="94">L175*L218</f>
        <v>5.3337121915840377E-2</v>
      </c>
      <c r="M239" s="49">
        <f t="shared" si="94"/>
        <v>5.2315781463208581E-2</v>
      </c>
      <c r="N239" s="220"/>
      <c r="O239" s="109">
        <v>237</v>
      </c>
      <c r="P239" s="109">
        <v>0</v>
      </c>
      <c r="Q239" s="158">
        <v>0.7131132576068433</v>
      </c>
      <c r="R239" s="158">
        <v>0.33138036993761488</v>
      </c>
      <c r="S239" s="158">
        <v>1.0352785874835921</v>
      </c>
      <c r="T239" s="158">
        <v>1.4865388687609582E-2</v>
      </c>
      <c r="U239" s="158">
        <v>1.5244453764383816E-2</v>
      </c>
      <c r="V239" s="158">
        <v>-3.0068496317916643E-4</v>
      </c>
      <c r="W239" s="158">
        <v>5.8214445494269997E-2</v>
      </c>
      <c r="X239" s="194">
        <v>0.56742921065596197</v>
      </c>
      <c r="Y239" s="158">
        <v>1.1716025434273114</v>
      </c>
      <c r="Z239" s="158">
        <v>0.66993580591634616</v>
      </c>
      <c r="AA239" s="158">
        <v>0.20529326493305763</v>
      </c>
      <c r="AB239" s="158">
        <v>4.4812012377910403E-2</v>
      </c>
      <c r="AC239" s="158">
        <v>1.550991675176778E-4</v>
      </c>
      <c r="AD239" s="158">
        <v>8.1669890652394655E-4</v>
      </c>
      <c r="AE239" s="158">
        <v>1.0671756720651706E-2</v>
      </c>
      <c r="AF239" s="158">
        <v>0.16619030020189121</v>
      </c>
      <c r="AG239" s="158">
        <v>3.3102337643211306E-2</v>
      </c>
      <c r="AH239" s="158">
        <v>0.71287049284917137</v>
      </c>
      <c r="AI239" s="158">
        <v>5.5296591590500849E-2</v>
      </c>
      <c r="AJ239" s="158">
        <v>9.5392274871903979E-2</v>
      </c>
      <c r="AK239" s="158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200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4"/>
      <c r="G240" s="49">
        <f t="shared" si="79"/>
        <v>-0.254643560880844</v>
      </c>
      <c r="H240" s="49">
        <f t="shared" si="80"/>
        <v>-0.25758843492025219</v>
      </c>
      <c r="I240" s="49">
        <f t="shared" si="80"/>
        <v>-0.25222890178689072</v>
      </c>
      <c r="J240" s="49">
        <f t="shared" si="80"/>
        <v>-0.24989714949112696</v>
      </c>
      <c r="K240" s="49">
        <f t="shared" si="80"/>
        <v>-0.24756539719536325</v>
      </c>
      <c r="L240" s="49">
        <f t="shared" ref="L240:M240" si="95">L176*L219</f>
        <v>-0.24523364489959951</v>
      </c>
      <c r="M240" s="49">
        <f t="shared" si="95"/>
        <v>-0.24290189260383574</v>
      </c>
      <c r="N240" s="220"/>
      <c r="O240" s="109">
        <v>238</v>
      </c>
      <c r="P240" s="109">
        <v>0</v>
      </c>
      <c r="Q240" s="158">
        <v>-1.6520193710735227</v>
      </c>
      <c r="R240" s="158">
        <v>-0.912274464243364</v>
      </c>
      <c r="S240" s="158">
        <v>-2.8676376325603905</v>
      </c>
      <c r="T240" s="158">
        <v>-4.6390699496790568E-2</v>
      </c>
      <c r="U240" s="158">
        <v>-5.6134171099164278E-2</v>
      </c>
      <c r="V240" s="158">
        <v>1.3039432669400264E-3</v>
      </c>
      <c r="W240" s="158">
        <v>-0.254643560880844</v>
      </c>
      <c r="X240" s="194">
        <v>-1.3203964545402058</v>
      </c>
      <c r="Y240" s="158">
        <v>-3.2486299860196417</v>
      </c>
      <c r="Z240" s="158">
        <v>-2.8721211648999927</v>
      </c>
      <c r="AA240" s="158">
        <v>-0.59634110294965814</v>
      </c>
      <c r="AB240" s="158">
        <v>-0.10979988341097233</v>
      </c>
      <c r="AC240" s="158">
        <v>-1.0943392648131408E-3</v>
      </c>
      <c r="AD240" s="158">
        <v>-5.8744347425071014E-3</v>
      </c>
      <c r="AE240" s="158">
        <v>-4.9608518871222432E-2</v>
      </c>
      <c r="AF240" s="158">
        <v>-0.56104429760921848</v>
      </c>
      <c r="AG240" s="158">
        <v>-0.12576578991394624</v>
      </c>
      <c r="AH240" s="158">
        <v>-1.9803876410069436</v>
      </c>
      <c r="AI240" s="158">
        <v>-0.1944843944423309</v>
      </c>
      <c r="AJ240" s="158">
        <v>-0.21239568475018755</v>
      </c>
      <c r="AK240" s="158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200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4"/>
      <c r="G241" s="49">
        <f t="shared" si="79"/>
        <v>-0.27965564996836001</v>
      </c>
      <c r="H241" s="49">
        <f t="shared" si="80"/>
        <v>-0.26987788987845618</v>
      </c>
      <c r="I241" s="49">
        <f t="shared" si="80"/>
        <v>-0.26158914727779192</v>
      </c>
      <c r="J241" s="49">
        <f t="shared" si="80"/>
        <v>-0.25447052061869602</v>
      </c>
      <c r="K241" s="49">
        <f t="shared" si="80"/>
        <v>-0.24828874881632276</v>
      </c>
      <c r="L241" s="49">
        <f t="shared" ref="L241:M241" si="96">L177*L220</f>
        <v>-0.24257100829998951</v>
      </c>
      <c r="M241" s="49">
        <f t="shared" si="96"/>
        <v>-0.23727425182129872</v>
      </c>
      <c r="N241" s="220"/>
      <c r="O241" s="109">
        <v>239</v>
      </c>
      <c r="P241" s="109">
        <v>0</v>
      </c>
      <c r="Q241" s="158">
        <v>0.59572053716078588</v>
      </c>
      <c r="R241" s="158">
        <v>-0.10332026446733623</v>
      </c>
      <c r="S241" s="158">
        <v>-0.98209588516977675</v>
      </c>
      <c r="T241" s="158">
        <v>-0.35652435579652669</v>
      </c>
      <c r="U241" s="158">
        <v>-0.48511161199584224</v>
      </c>
      <c r="V241" s="158">
        <v>-0.16393452817648607</v>
      </c>
      <c r="W241" s="158">
        <v>-0.27965564996836001</v>
      </c>
      <c r="X241" s="194">
        <v>-0.82577412002101147</v>
      </c>
      <c r="Y241" s="158">
        <v>-1.3032388224388847</v>
      </c>
      <c r="Z241" s="158">
        <v>-1.2701832300677456</v>
      </c>
      <c r="AA241" s="158">
        <v>-0.817610495592338</v>
      </c>
      <c r="AB241" s="158">
        <v>5.4168066617334157E-2</v>
      </c>
      <c r="AC241" s="158">
        <v>-0.16416567575026919</v>
      </c>
      <c r="AD241" s="158">
        <v>-0.21442667345909863</v>
      </c>
      <c r="AE241" s="158">
        <v>-0.12823805498085786</v>
      </c>
      <c r="AF241" s="158">
        <v>-0.59344680318616705</v>
      </c>
      <c r="AG241" s="158">
        <v>-0.54751270428081367</v>
      </c>
      <c r="AH241" s="158">
        <v>-0.86940010456667327</v>
      </c>
      <c r="AI241" s="158">
        <v>-0.46772533360411223</v>
      </c>
      <c r="AJ241" s="158">
        <v>-0.69050121537246467</v>
      </c>
      <c r="AK241" s="158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200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4"/>
      <c r="G242" s="49">
        <f t="shared" si="79"/>
        <v>5.2794308776445351E-3</v>
      </c>
      <c r="H242" s="49">
        <f t="shared" ref="H242:K243" si="97">H178*H221</f>
        <v>6.1199145447211898E-3</v>
      </c>
      <c r="I242" s="49">
        <f t="shared" si="97"/>
        <v>6.9243725826137739E-3</v>
      </c>
      <c r="J242" s="49">
        <f t="shared" si="97"/>
        <v>7.4050841595054958E-3</v>
      </c>
      <c r="K242" s="49">
        <f t="shared" si="97"/>
        <v>7.9606340061977449E-3</v>
      </c>
      <c r="L242" s="49">
        <f t="shared" ref="L242:M242" si="98">L178*L221</f>
        <v>8.7250706235029556E-3</v>
      </c>
      <c r="M242" s="49">
        <f t="shared" si="98"/>
        <v>9.2878920863984082E-3</v>
      </c>
      <c r="N242" s="220"/>
      <c r="O242" s="109">
        <v>240</v>
      </c>
      <c r="P242" s="109">
        <v>0</v>
      </c>
      <c r="Q242" s="158">
        <v>1.5639678388082355E-2</v>
      </c>
      <c r="R242" s="158">
        <v>4.8453930836653839E-4</v>
      </c>
      <c r="S242" s="158">
        <v>-2.6069824265513649E-3</v>
      </c>
      <c r="T242" s="158">
        <v>5.0995710587183659E-3</v>
      </c>
      <c r="U242" s="158">
        <v>9.7918150005497084E-3</v>
      </c>
      <c r="V242" s="158">
        <v>9.3766069141105537E-3</v>
      </c>
      <c r="W242" s="158">
        <v>5.2794308776445351E-3</v>
      </c>
      <c r="X242" s="194">
        <v>1.6118690679063356E-2</v>
      </c>
      <c r="Y242" s="158">
        <v>-9.4662260818250722E-3</v>
      </c>
      <c r="Z242" s="158">
        <v>2.9197764043337977E-2</v>
      </c>
      <c r="AA242" s="158">
        <v>1.5849345370833226E-2</v>
      </c>
      <c r="AB242" s="158">
        <v>1.4780643741348057E-2</v>
      </c>
      <c r="AC242" s="158">
        <v>4.3270560923371996E-2</v>
      </c>
      <c r="AD242" s="158">
        <v>9.5867856043402675E-3</v>
      </c>
      <c r="AE242" s="158">
        <v>7.7696785641933417E-3</v>
      </c>
      <c r="AF242" s="158">
        <v>2.725479959663021E-2</v>
      </c>
      <c r="AG242" s="158">
        <v>1.1970871431163925E-2</v>
      </c>
      <c r="AH242" s="158">
        <v>-1.7116530492708832E-3</v>
      </c>
      <c r="AI242" s="158">
        <v>1.045564896127993E-2</v>
      </c>
      <c r="AJ242" s="158">
        <v>1.2890897733356404E-2</v>
      </c>
      <c r="AK242" s="158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200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4"/>
      <c r="G243" s="49">
        <f t="shared" si="79"/>
        <v>0.21979361466438013</v>
      </c>
      <c r="H243" s="49">
        <f t="shared" si="97"/>
        <v>0.23670081579240937</v>
      </c>
      <c r="I243" s="49">
        <f t="shared" si="97"/>
        <v>0.25360801692043861</v>
      </c>
      <c r="J243" s="49">
        <f t="shared" si="97"/>
        <v>0.27051521804846784</v>
      </c>
      <c r="K243" s="49">
        <f t="shared" si="97"/>
        <v>0.28742241917649708</v>
      </c>
      <c r="L243" s="49">
        <f t="shared" ref="L243:M243" si="99">L179*L222</f>
        <v>0.30432962030452632</v>
      </c>
      <c r="M243" s="49">
        <f t="shared" si="99"/>
        <v>0.32123682143255555</v>
      </c>
      <c r="N243" s="220"/>
      <c r="O243" s="109">
        <v>241</v>
      </c>
      <c r="P243" s="109">
        <v>0</v>
      </c>
      <c r="Q243" s="158">
        <v>0.21822777687761616</v>
      </c>
      <c r="R243" s="158">
        <v>0.21771783233494496</v>
      </c>
      <c r="S243" s="158">
        <v>0.22112911677468913</v>
      </c>
      <c r="T243" s="158">
        <v>0.22042177187961559</v>
      </c>
      <c r="U243" s="158">
        <v>0.22364193405671939</v>
      </c>
      <c r="V243" s="158">
        <v>0.22213099560391367</v>
      </c>
      <c r="W243" s="158">
        <v>0.21979361466438013</v>
      </c>
      <c r="X243" s="194">
        <v>0.22319047747155082</v>
      </c>
      <c r="Y243" s="158">
        <v>0.22656681446464125</v>
      </c>
      <c r="Z243" s="158">
        <v>0.22638279680370937</v>
      </c>
      <c r="AA243" s="158">
        <v>0.22368088585778167</v>
      </c>
      <c r="AB243" s="158">
        <v>0.22070306688147787</v>
      </c>
      <c r="AC243" s="158">
        <v>0.22095208720346241</v>
      </c>
      <c r="AD243" s="158">
        <v>0.22507221973433428</v>
      </c>
      <c r="AE243" s="158">
        <v>0.22042833115470101</v>
      </c>
      <c r="AF243" s="158">
        <v>0.22035541269365508</v>
      </c>
      <c r="AG243" s="158">
        <v>0.22252431671216705</v>
      </c>
      <c r="AH243" s="158">
        <v>0.21858874413193971</v>
      </c>
      <c r="AI243" s="158">
        <v>0.22190266860160926</v>
      </c>
      <c r="AJ243" s="158">
        <v>0.2202123731198026</v>
      </c>
      <c r="AK243" s="158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200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94">
        <v>0</v>
      </c>
      <c r="Y244" s="158">
        <v>0</v>
      </c>
      <c r="Z244" s="158">
        <v>0</v>
      </c>
      <c r="AA244" s="158">
        <v>0</v>
      </c>
      <c r="AB244" s="158">
        <v>0</v>
      </c>
      <c r="AC244" s="158">
        <v>0</v>
      </c>
      <c r="AD244" s="158">
        <v>0</v>
      </c>
      <c r="AE244" s="158">
        <v>0</v>
      </c>
      <c r="AF244" s="158">
        <v>0</v>
      </c>
      <c r="AG244" s="158">
        <v>0</v>
      </c>
      <c r="AH244" s="158">
        <v>0</v>
      </c>
      <c r="AI244" s="158">
        <v>0</v>
      </c>
      <c r="AJ244" s="158">
        <v>0</v>
      </c>
      <c r="AK244" s="158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200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50"/>
      <c r="G245" s="43">
        <f>HLOOKUP($E$3,$P$3:$CE$269,O245,FALSE)</f>
        <v>12.073541862576663</v>
      </c>
      <c r="H245" s="43">
        <f t="shared" ref="H245:K245" si="100">SUM(H226:H243)</f>
        <v>12.101701628129909</v>
      </c>
      <c r="I245" s="43">
        <f t="shared" si="100"/>
        <v>12.129788678728083</v>
      </c>
      <c r="J245" s="43">
        <f t="shared" si="100"/>
        <v>12.155544590360302</v>
      </c>
      <c r="K245" s="43">
        <f t="shared" si="100"/>
        <v>12.180451596154111</v>
      </c>
      <c r="L245" s="43">
        <f t="shared" ref="L245:M245" si="101">SUM(L226:L243)</f>
        <v>12.205116568181014</v>
      </c>
      <c r="M245" s="43">
        <f t="shared" si="101"/>
        <v>12.229172051764374</v>
      </c>
      <c r="N245" s="215"/>
      <c r="O245" s="109">
        <v>243</v>
      </c>
      <c r="P245" s="109">
        <v>0</v>
      </c>
      <c r="Q245" s="158">
        <v>15.414356575402378</v>
      </c>
      <c r="R245" s="158">
        <v>11.645115510199229</v>
      </c>
      <c r="S245" s="158">
        <v>9.4183273080046188</v>
      </c>
      <c r="T245" s="158">
        <v>12.17274962548213</v>
      </c>
      <c r="U245" s="158">
        <v>12.129148377236486</v>
      </c>
      <c r="V245" s="158">
        <v>12.755038188092989</v>
      </c>
      <c r="W245" s="158">
        <v>12.073541862576663</v>
      </c>
      <c r="X245" s="194">
        <v>10.56253496058774</v>
      </c>
      <c r="Y245" s="158">
        <v>8.748486695088717</v>
      </c>
      <c r="Z245" s="158">
        <v>9.498606202520234</v>
      </c>
      <c r="AA245" s="158">
        <v>10.892108475014743</v>
      </c>
      <c r="AB245" s="158">
        <v>13.482433988088237</v>
      </c>
      <c r="AC245" s="158">
        <v>12.807456556196565</v>
      </c>
      <c r="AD245" s="158">
        <v>12.659374164307593</v>
      </c>
      <c r="AE245" s="158">
        <v>13.017824500190931</v>
      </c>
      <c r="AF245" s="158">
        <v>11.475392051350232</v>
      </c>
      <c r="AG245" s="158">
        <v>11.691417676104809</v>
      </c>
      <c r="AH245" s="158">
        <v>10.039965260792579</v>
      </c>
      <c r="AI245" s="158">
        <v>11.827157562426045</v>
      </c>
      <c r="AJ245" s="158">
        <v>11.516757449728839</v>
      </c>
      <c r="AK245" s="158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200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9"/>
      <c r="G246" s="7">
        <f>HLOOKUP($E$3,$P$3:$CE$269,O246,FALSE)</f>
        <v>175175.19432837941</v>
      </c>
      <c r="H246" s="7">
        <f t="shared" ref="H246:K246" si="102">EXP(H245)</f>
        <v>180178.1978350452</v>
      </c>
      <c r="I246" s="7">
        <f t="shared" si="102"/>
        <v>185310.61177788983</v>
      </c>
      <c r="J246" s="7">
        <f t="shared" si="102"/>
        <v>190145.45109670277</v>
      </c>
      <c r="K246" s="7">
        <f t="shared" si="102"/>
        <v>194940.87689334387</v>
      </c>
      <c r="L246" s="7">
        <f t="shared" ref="L246:M246" si="103">EXP(L245)</f>
        <v>199808.87590943353</v>
      </c>
      <c r="M246" s="7">
        <f t="shared" si="103"/>
        <v>204673.65273528398</v>
      </c>
      <c r="N246" s="209"/>
      <c r="O246" s="109">
        <v>244</v>
      </c>
      <c r="P246" s="109">
        <v>0</v>
      </c>
      <c r="Q246" s="158">
        <v>4947320.0079972353</v>
      </c>
      <c r="R246" s="158">
        <v>114132.52020672028</v>
      </c>
      <c r="S246" s="158">
        <v>12311.970851200951</v>
      </c>
      <c r="T246" s="158">
        <v>193445.21514180503</v>
      </c>
      <c r="U246" s="158">
        <v>185191.99509603152</v>
      </c>
      <c r="V246" s="158">
        <v>346292.19369035377</v>
      </c>
      <c r="W246" s="158">
        <v>175175.19432837941</v>
      </c>
      <c r="X246" s="194">
        <v>38659.002887389586</v>
      </c>
      <c r="Y246" s="158">
        <v>6301.1453351651962</v>
      </c>
      <c r="Z246" s="158">
        <v>13341.119046829137</v>
      </c>
      <c r="AA246" s="158">
        <v>53750.512187525113</v>
      </c>
      <c r="AB246" s="158">
        <v>716715.31325192447</v>
      </c>
      <c r="AC246" s="158">
        <v>364928.43914158252</v>
      </c>
      <c r="AD246" s="158">
        <v>314699.71087111114</v>
      </c>
      <c r="AE246" s="158">
        <v>450369.88923679251</v>
      </c>
      <c r="AF246" s="158">
        <v>96316.223444624804</v>
      </c>
      <c r="AG246" s="158">
        <v>119541.35723217824</v>
      </c>
      <c r="AH246" s="158">
        <v>22924.586520815752</v>
      </c>
      <c r="AI246" s="158">
        <v>136920.74892458916</v>
      </c>
      <c r="AJ246" s="158">
        <v>100383.93361994096</v>
      </c>
      <c r="AK246" s="158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200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3"/>
      <c r="G247" s="28">
        <f>HLOOKUP($E$3,$P$3:$CE$269,O247,FALSE)</f>
        <v>128.44783469671762</v>
      </c>
      <c r="H247" s="20">
        <f t="shared" ref="H247:K247" si="104">H137</f>
        <v>131.68390072142716</v>
      </c>
      <c r="I247" s="20">
        <f t="shared" si="104"/>
        <v>135.00149496606355</v>
      </c>
      <c r="J247" s="20">
        <f t="shared" si="104"/>
        <v>138.40267142167443</v>
      </c>
      <c r="K247" s="20">
        <f t="shared" si="104"/>
        <v>141.88953582677883</v>
      </c>
      <c r="L247" s="20">
        <f t="shared" ref="L247:M247" si="105">L137</f>
        <v>145.46424697107327</v>
      </c>
      <c r="M247" s="20">
        <f t="shared" si="105"/>
        <v>149.12901803198301</v>
      </c>
      <c r="N247" s="208"/>
      <c r="O247" s="109">
        <v>245</v>
      </c>
      <c r="P247" s="109">
        <v>0</v>
      </c>
      <c r="Q247" s="158">
        <v>152.32375585085606</v>
      </c>
      <c r="R247" s="158">
        <v>120.80912357248653</v>
      </c>
      <c r="S247" s="158">
        <v>128.25627624189059</v>
      </c>
      <c r="T247" s="158">
        <v>138.86213252083189</v>
      </c>
      <c r="U247" s="158">
        <v>130.24480361682427</v>
      </c>
      <c r="V247" s="158">
        <v>146.33052649931889</v>
      </c>
      <c r="W247" s="158">
        <v>128.44783469671762</v>
      </c>
      <c r="X247" s="194">
        <v>136.79288064028393</v>
      </c>
      <c r="Y247" s="158">
        <v>129.93924250199913</v>
      </c>
      <c r="Z247" s="158">
        <v>151.15332584424328</v>
      </c>
      <c r="AA247" s="158">
        <v>155.90963362299166</v>
      </c>
      <c r="AB247" s="158">
        <v>153.04946487974487</v>
      </c>
      <c r="AC247" s="158">
        <v>142.14962945969702</v>
      </c>
      <c r="AD247" s="158">
        <v>132.67085030445236</v>
      </c>
      <c r="AE247" s="158">
        <v>155.90963362299166</v>
      </c>
      <c r="AF247" s="158">
        <v>123.91580871379877</v>
      </c>
      <c r="AG247" s="158">
        <v>133.47187947293793</v>
      </c>
      <c r="AH247" s="158">
        <v>129.93924250199913</v>
      </c>
      <c r="AI247" s="158">
        <v>155.90963362299166</v>
      </c>
      <c r="AJ247" s="158">
        <v>130.38976696127855</v>
      </c>
      <c r="AK247" s="158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200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9"/>
      <c r="G248" s="7">
        <f>HLOOKUP($E$3,$P$3:$CE$269,O248,FALSE)</f>
        <v>22500874.404057063</v>
      </c>
      <c r="H248" s="7">
        <f t="shared" ref="H248:K248" si="106">H246*H247</f>
        <v>23726567.915875755</v>
      </c>
      <c r="I248" s="7">
        <f t="shared" si="106"/>
        <v>25017209.623090949</v>
      </c>
      <c r="J248" s="7">
        <f t="shared" si="106"/>
        <v>26316638.390463017</v>
      </c>
      <c r="K248" s="7">
        <f t="shared" si="106"/>
        <v>27660070.536061797</v>
      </c>
      <c r="L248" s="7">
        <f t="shared" ref="L248:M248" si="107">L246*L247</f>
        <v>29065047.672302369</v>
      </c>
      <c r="M248" s="7">
        <f t="shared" si="107"/>
        <v>30522780.849431992</v>
      </c>
      <c r="N248" s="209"/>
      <c r="O248" s="109">
        <v>246</v>
      </c>
      <c r="P248" s="109">
        <v>0</v>
      </c>
      <c r="Q248" s="158">
        <v>753594365.01422608</v>
      </c>
      <c r="R248" s="158">
        <v>13788249.737292986</v>
      </c>
      <c r="S248" s="158">
        <v>1579087.534573734</v>
      </c>
      <c r="T248" s="158">
        <v>26862215.100542165</v>
      </c>
      <c r="U248" s="158">
        <v>24120295.03269051</v>
      </c>
      <c r="V248" s="158">
        <v>50673119.025313586</v>
      </c>
      <c r="W248" s="158">
        <v>22500874.404057063</v>
      </c>
      <c r="X248" s="194">
        <v>5288276.3676470751</v>
      </c>
      <c r="Y248" s="158">
        <v>818766.05174637109</v>
      </c>
      <c r="Z248" s="158">
        <v>2016554.514412205</v>
      </c>
      <c r="AA248" s="158">
        <v>8380222.6622051885</v>
      </c>
      <c r="AB248" s="158">
        <v>109692895.16432576</v>
      </c>
      <c r="AC248" s="158">
        <v>51874442.403281555</v>
      </c>
      <c r="AD248" s="158">
        <v>41751478.231835626</v>
      </c>
      <c r="AE248" s="158">
        <v>70217004.425735652</v>
      </c>
      <c r="AF248" s="158">
        <v>11935102.720399627</v>
      </c>
      <c r="AG248" s="158">
        <v>15955409.624524711</v>
      </c>
      <c r="AH248" s="158">
        <v>2978803.4071863387</v>
      </c>
      <c r="AI248" s="158">
        <v>21347263.800218325</v>
      </c>
      <c r="AJ248" s="158">
        <v>13089037.711360557</v>
      </c>
      <c r="AK248" s="158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200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94">
        <v>0</v>
      </c>
      <c r="Y249" s="158">
        <v>0</v>
      </c>
      <c r="Z249" s="158">
        <v>0</v>
      </c>
      <c r="AA249" s="158">
        <v>0</v>
      </c>
      <c r="AB249" s="158">
        <v>0</v>
      </c>
      <c r="AC249" s="158">
        <v>0</v>
      </c>
      <c r="AD249" s="158">
        <v>0</v>
      </c>
      <c r="AE249" s="158">
        <v>0</v>
      </c>
      <c r="AF249" s="158">
        <v>0</v>
      </c>
      <c r="AG249" s="158">
        <v>0</v>
      </c>
      <c r="AH249" s="158">
        <v>0</v>
      </c>
      <c r="AI249" s="158">
        <v>0</v>
      </c>
      <c r="AJ249" s="158">
        <v>0</v>
      </c>
      <c r="AK249" s="158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200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94">
        <v>0</v>
      </c>
      <c r="Y250" s="158">
        <v>0</v>
      </c>
      <c r="Z250" s="158">
        <v>0</v>
      </c>
      <c r="AA250" s="158">
        <v>0</v>
      </c>
      <c r="AB250" s="158">
        <v>0</v>
      </c>
      <c r="AC250" s="158">
        <v>0</v>
      </c>
      <c r="AD250" s="158">
        <v>0</v>
      </c>
      <c r="AE250" s="158">
        <v>0</v>
      </c>
      <c r="AF250" s="158">
        <v>0</v>
      </c>
      <c r="AG250" s="158">
        <v>0</v>
      </c>
      <c r="AH250" s="158">
        <v>0</v>
      </c>
      <c r="AI250" s="158">
        <v>0</v>
      </c>
      <c r="AJ250" s="158">
        <v>0</v>
      </c>
      <c r="AK250" s="158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200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8">
        <v>0</v>
      </c>
      <c r="R251" s="158">
        <v>0</v>
      </c>
      <c r="S251" s="158">
        <v>0</v>
      </c>
      <c r="T251" s="158">
        <v>0</v>
      </c>
      <c r="U251" s="158">
        <v>0</v>
      </c>
      <c r="V251" s="158">
        <v>0</v>
      </c>
      <c r="W251" s="158">
        <v>0</v>
      </c>
      <c r="X251" s="194">
        <v>0</v>
      </c>
      <c r="Y251" s="158">
        <v>0</v>
      </c>
      <c r="Z251" s="158">
        <v>0</v>
      </c>
      <c r="AA251" s="158">
        <v>0</v>
      </c>
      <c r="AB251" s="158">
        <v>0</v>
      </c>
      <c r="AC251" s="158">
        <v>0</v>
      </c>
      <c r="AD251" s="158">
        <v>0</v>
      </c>
      <c r="AE251" s="158">
        <v>0</v>
      </c>
      <c r="AF251" s="158">
        <v>0</v>
      </c>
      <c r="AG251" s="158">
        <v>0</v>
      </c>
      <c r="AH251" s="158">
        <v>0</v>
      </c>
      <c r="AI251" s="158">
        <v>0</v>
      </c>
      <c r="AJ251" s="158">
        <v>0</v>
      </c>
      <c r="AK251" s="158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200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94">
        <v>0</v>
      </c>
      <c r="Y252" s="158">
        <v>0</v>
      </c>
      <c r="Z252" s="158">
        <v>0</v>
      </c>
      <c r="AA252" s="158">
        <v>0</v>
      </c>
      <c r="AB252" s="158">
        <v>0</v>
      </c>
      <c r="AC252" s="158">
        <v>0</v>
      </c>
      <c r="AD252" s="158">
        <v>0</v>
      </c>
      <c r="AE252" s="158">
        <v>0</v>
      </c>
      <c r="AF252" s="158">
        <v>0</v>
      </c>
      <c r="AG252" s="158">
        <v>0</v>
      </c>
      <c r="AH252" s="158">
        <v>0</v>
      </c>
      <c r="AI252" s="158">
        <v>0</v>
      </c>
      <c r="AJ252" s="158">
        <v>0</v>
      </c>
      <c r="AK252" s="158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200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72" t="s">
        <v>151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7"/>
      <c r="N253" s="209"/>
      <c r="O253" s="109">
        <v>251</v>
      </c>
      <c r="P253" s="109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94">
        <v>0</v>
      </c>
      <c r="Y253" s="158">
        <v>0</v>
      </c>
      <c r="Z253" s="158">
        <v>0</v>
      </c>
      <c r="AA253" s="158">
        <v>0</v>
      </c>
      <c r="AB253" s="158">
        <v>0</v>
      </c>
      <c r="AC253" s="158">
        <v>0</v>
      </c>
      <c r="AD253" s="158">
        <v>0</v>
      </c>
      <c r="AE253" s="158">
        <v>0</v>
      </c>
      <c r="AF253" s="158">
        <v>0</v>
      </c>
      <c r="AG253" s="158">
        <v>0</v>
      </c>
      <c r="AH253" s="158">
        <v>0</v>
      </c>
      <c r="AI253" s="158">
        <v>0</v>
      </c>
      <c r="AJ253" s="158">
        <v>0</v>
      </c>
      <c r="AK253" s="158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200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5"/>
      <c r="G254" s="37"/>
      <c r="H254" s="37"/>
      <c r="I254" s="37"/>
      <c r="J254" s="37"/>
      <c r="K254" s="37"/>
      <c r="L254" s="37"/>
      <c r="M254" s="7"/>
      <c r="N254" s="209"/>
      <c r="O254" s="109">
        <v>252</v>
      </c>
      <c r="P254" s="109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94">
        <v>0</v>
      </c>
      <c r="Y254" s="158">
        <v>0</v>
      </c>
      <c r="Z254" s="158">
        <v>0</v>
      </c>
      <c r="AA254" s="158">
        <v>0</v>
      </c>
      <c r="AB254" s="158">
        <v>0</v>
      </c>
      <c r="AC254" s="158">
        <v>0</v>
      </c>
      <c r="AD254" s="158">
        <v>0</v>
      </c>
      <c r="AE254" s="158">
        <v>0</v>
      </c>
      <c r="AF254" s="158">
        <v>0</v>
      </c>
      <c r="AG254" s="158">
        <v>0</v>
      </c>
      <c r="AH254" s="158">
        <v>0</v>
      </c>
      <c r="AI254" s="158">
        <v>0</v>
      </c>
      <c r="AJ254" s="158">
        <v>0</v>
      </c>
      <c r="AK254" s="158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200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5"/>
      <c r="G255" s="37"/>
      <c r="H255" s="37"/>
      <c r="I255" s="37"/>
      <c r="J255" s="37"/>
      <c r="K255" s="37"/>
      <c r="L255" s="37"/>
      <c r="M255" s="7"/>
      <c r="N255" s="209"/>
      <c r="O255" s="109">
        <v>253</v>
      </c>
      <c r="P255" s="109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94">
        <v>0</v>
      </c>
      <c r="Y255" s="158">
        <v>0</v>
      </c>
      <c r="Z255" s="158">
        <v>0</v>
      </c>
      <c r="AA255" s="158">
        <v>0</v>
      </c>
      <c r="AB255" s="158">
        <v>0</v>
      </c>
      <c r="AC255" s="158">
        <v>0</v>
      </c>
      <c r="AD255" s="158">
        <v>0</v>
      </c>
      <c r="AE255" s="158">
        <v>0</v>
      </c>
      <c r="AF255" s="158">
        <v>0</v>
      </c>
      <c r="AG255" s="158">
        <v>0</v>
      </c>
      <c r="AH255" s="158">
        <v>0</v>
      </c>
      <c r="AI255" s="158">
        <v>0</v>
      </c>
      <c r="AJ255" s="158">
        <v>0</v>
      </c>
      <c r="AK255" s="158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200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6"/>
      <c r="G256" s="59">
        <f t="shared" ref="G256" si="108">G121</f>
        <v>26306344.396604195</v>
      </c>
      <c r="H256" s="59">
        <f t="shared" ref="H256:K256" si="109">H121</f>
        <v>26944769.651654303</v>
      </c>
      <c r="I256" s="59">
        <f t="shared" si="109"/>
        <v>28013042.949889638</v>
      </c>
      <c r="J256" s="59">
        <f t="shared" si="109"/>
        <v>29046462.843772624</v>
      </c>
      <c r="K256" s="59">
        <f t="shared" si="109"/>
        <v>29941378.960046999</v>
      </c>
      <c r="L256" s="59">
        <f t="shared" ref="L256:M256" si="110">L121</f>
        <v>30919140.368723676</v>
      </c>
      <c r="M256" s="59">
        <f t="shared" si="110"/>
        <v>31758522.268955193</v>
      </c>
      <c r="N256" s="221"/>
      <c r="O256" s="109">
        <v>254</v>
      </c>
      <c r="P256" s="109">
        <v>0</v>
      </c>
      <c r="Q256" s="158">
        <v>754668088.66934586</v>
      </c>
      <c r="R256" s="158">
        <v>26224814.845055759</v>
      </c>
      <c r="S256" s="158">
        <v>1686235.4800142241</v>
      </c>
      <c r="T256" s="158">
        <v>26955316.859215051</v>
      </c>
      <c r="U256" s="158">
        <v>21770577.404011413</v>
      </c>
      <c r="V256" s="158">
        <v>45082250.024861157</v>
      </c>
      <c r="W256" s="158">
        <v>26306344.396604195</v>
      </c>
      <c r="X256" s="194">
        <v>5230753.3686561054</v>
      </c>
      <c r="Y256" s="158">
        <v>1055872.8556044884</v>
      </c>
      <c r="Z256" s="158">
        <v>1207885.8657857338</v>
      </c>
      <c r="AA256" s="158">
        <v>5216114.614904413</v>
      </c>
      <c r="AB256" s="158">
        <v>98545535.322468042</v>
      </c>
      <c r="AC256" s="158">
        <v>45032973.797178172</v>
      </c>
      <c r="AD256" s="158">
        <v>33858673.570738837</v>
      </c>
      <c r="AE256" s="158">
        <v>63496958.673404016</v>
      </c>
      <c r="AF256" s="158">
        <v>11482969.2908895</v>
      </c>
      <c r="AG256" s="158">
        <v>16165659.711521346</v>
      </c>
      <c r="AH256" s="158">
        <v>2508193.4709556494</v>
      </c>
      <c r="AI256" s="158">
        <v>17625637.12082497</v>
      </c>
      <c r="AJ256" s="158">
        <v>13890202.932600494</v>
      </c>
      <c r="AK256" s="158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200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6"/>
      <c r="G257" s="59">
        <f t="shared" ref="G257" si="111">G248</f>
        <v>22500874.404057063</v>
      </c>
      <c r="H257" s="59">
        <f t="shared" ref="H257:K257" si="112">H248</f>
        <v>23726567.915875755</v>
      </c>
      <c r="I257" s="59">
        <f t="shared" si="112"/>
        <v>25017209.623090949</v>
      </c>
      <c r="J257" s="59">
        <f t="shared" si="112"/>
        <v>26316638.390463017</v>
      </c>
      <c r="K257" s="59">
        <f t="shared" si="112"/>
        <v>27660070.536061797</v>
      </c>
      <c r="L257" s="59">
        <f t="shared" ref="L257:M257" si="113">L248</f>
        <v>29065047.672302369</v>
      </c>
      <c r="M257" s="59">
        <f t="shared" si="113"/>
        <v>30522780.849431992</v>
      </c>
      <c r="N257" s="221"/>
      <c r="O257" s="109">
        <v>255</v>
      </c>
      <c r="P257" s="109">
        <v>0</v>
      </c>
      <c r="Q257" s="158">
        <v>753594365.01422608</v>
      </c>
      <c r="R257" s="158">
        <v>13788249.737292986</v>
      </c>
      <c r="S257" s="158">
        <v>1579087.534573734</v>
      </c>
      <c r="T257" s="158">
        <v>26862215.100542165</v>
      </c>
      <c r="U257" s="158">
        <v>24120295.03269051</v>
      </c>
      <c r="V257" s="158">
        <v>50673119.025313586</v>
      </c>
      <c r="W257" s="158">
        <v>22500874.404057063</v>
      </c>
      <c r="X257" s="194">
        <v>5288276.3676470751</v>
      </c>
      <c r="Y257" s="158">
        <v>818766.05174637109</v>
      </c>
      <c r="Z257" s="158">
        <v>2016554.514412205</v>
      </c>
      <c r="AA257" s="158">
        <v>8380222.6622051885</v>
      </c>
      <c r="AB257" s="158">
        <v>109692895.16432576</v>
      </c>
      <c r="AC257" s="158">
        <v>51874442.403281555</v>
      </c>
      <c r="AD257" s="158">
        <v>41751478.231835626</v>
      </c>
      <c r="AE257" s="158">
        <v>70217004.425735652</v>
      </c>
      <c r="AF257" s="158">
        <v>11935102.720399627</v>
      </c>
      <c r="AG257" s="158">
        <v>15955409.624524711</v>
      </c>
      <c r="AH257" s="158">
        <v>2978803.4071863387</v>
      </c>
      <c r="AI257" s="158">
        <v>21347263.800218325</v>
      </c>
      <c r="AJ257" s="158">
        <v>13089037.711360557</v>
      </c>
      <c r="AK257" s="158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200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4"/>
      <c r="G258" s="24">
        <f t="shared" ref="G258" si="114">G256-G257</f>
        <v>3805469.9925471321</v>
      </c>
      <c r="H258" s="24">
        <f t="shared" ref="H258:K258" si="115">H256-H257</f>
        <v>3218201.7357785478</v>
      </c>
      <c r="I258" s="24">
        <f t="shared" si="115"/>
        <v>2995833.3267986886</v>
      </c>
      <c r="J258" s="24">
        <f t="shared" si="115"/>
        <v>2729824.4533096068</v>
      </c>
      <c r="K258" s="24">
        <f t="shared" si="115"/>
        <v>2281308.4239852019</v>
      </c>
      <c r="L258" s="24">
        <f t="shared" ref="L258:M258" si="116">L256-L257</f>
        <v>1854092.6964213066</v>
      </c>
      <c r="M258" s="24">
        <f t="shared" si="116"/>
        <v>1235741.4195232019</v>
      </c>
      <c r="N258" s="210"/>
      <c r="O258" s="109">
        <v>256</v>
      </c>
      <c r="P258" s="109">
        <v>0</v>
      </c>
      <c r="Q258" s="158">
        <v>1073723.6551197767</v>
      </c>
      <c r="R258" s="158">
        <v>12436565.107762773</v>
      </c>
      <c r="S258" s="158">
        <v>107147.94544049003</v>
      </c>
      <c r="T258" s="158">
        <v>93101.758672885597</v>
      </c>
      <c r="U258" s="158">
        <v>-2349717.6286790967</v>
      </c>
      <c r="V258" s="158">
        <v>-5590869.0004524291</v>
      </c>
      <c r="W258" s="158">
        <v>3805469.9925471321</v>
      </c>
      <c r="X258" s="194">
        <v>-57522.998990969732</v>
      </c>
      <c r="Y258" s="158">
        <v>237106.80385811732</v>
      </c>
      <c r="Z258" s="158">
        <v>-808668.64862647117</v>
      </c>
      <c r="AA258" s="158">
        <v>-3164108.0473007755</v>
      </c>
      <c r="AB258" s="158">
        <v>-11147359.841857716</v>
      </c>
      <c r="AC258" s="158">
        <v>-6841468.606103383</v>
      </c>
      <c r="AD258" s="158">
        <v>-7892804.6610967889</v>
      </c>
      <c r="AE258" s="158">
        <v>-6720045.7523316368</v>
      </c>
      <c r="AF258" s="158">
        <v>-452133.42951012775</v>
      </c>
      <c r="AG258" s="158">
        <v>210250.08699663542</v>
      </c>
      <c r="AH258" s="158">
        <v>-470609.93623068929</v>
      </c>
      <c r="AI258" s="158">
        <v>-3721626.6793933548</v>
      </c>
      <c r="AJ258" s="158">
        <v>801165.22123993747</v>
      </c>
      <c r="AK258" s="158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200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7"/>
      <c r="G259" s="60">
        <f>G258/G257</f>
        <v>0.16912542704833639</v>
      </c>
      <c r="H259" s="60">
        <f t="shared" ref="H259:K259" si="117">H258/H257</f>
        <v>0.13563705240424626</v>
      </c>
      <c r="I259" s="60">
        <f t="shared" si="117"/>
        <v>0.11975089835892516</v>
      </c>
      <c r="J259" s="60">
        <f t="shared" si="117"/>
        <v>0.10372998301708922</v>
      </c>
      <c r="K259" s="60">
        <f t="shared" si="117"/>
        <v>8.2476594591866556E-2</v>
      </c>
      <c r="L259" s="60">
        <f t="shared" ref="L259:M259" si="118">L258/L257</f>
        <v>6.3791145891983869E-2</v>
      </c>
      <c r="M259" s="60">
        <f t="shared" si="118"/>
        <v>4.0485872686996612E-2</v>
      </c>
      <c r="N259" s="201"/>
      <c r="O259" s="109">
        <v>257</v>
      </c>
      <c r="P259" s="109">
        <v>0</v>
      </c>
      <c r="Q259" s="158">
        <v>1.424803189842731E-3</v>
      </c>
      <c r="R259" s="158">
        <v>0.90196836761127686</v>
      </c>
      <c r="S259" s="158">
        <v>6.7854341887015168E-2</v>
      </c>
      <c r="T259" s="158">
        <v>3.4659002738387911E-3</v>
      </c>
      <c r="U259" s="158">
        <v>-9.7416620546908639E-2</v>
      </c>
      <c r="V259" s="158">
        <v>-0.11033204799687837</v>
      </c>
      <c r="W259" s="158">
        <v>0.16912542704833639</v>
      </c>
      <c r="X259" s="194">
        <v>-1.0877457037398288E-2</v>
      </c>
      <c r="Y259" s="158">
        <v>0.28959041884111458</v>
      </c>
      <c r="Z259" s="158">
        <v>-0.40101501985042332</v>
      </c>
      <c r="AA259" s="158">
        <v>-0.37756849368345613</v>
      </c>
      <c r="AB259" s="158">
        <v>-0.10162335331890349</v>
      </c>
      <c r="AC259" s="158">
        <v>-0.13188514977985757</v>
      </c>
      <c r="AD259" s="158">
        <v>-0.18904252005809227</v>
      </c>
      <c r="AE259" s="158">
        <v>-9.5703965261563231E-2</v>
      </c>
      <c r="AF259" s="158">
        <v>-3.7882659253307943E-2</v>
      </c>
      <c r="AG259" s="158">
        <v>1.3177354386029965E-2</v>
      </c>
      <c r="AH259" s="158">
        <v>-0.15798623537738229</v>
      </c>
      <c r="AI259" s="158">
        <v>-0.17433740990052751</v>
      </c>
      <c r="AJ259" s="158">
        <v>6.1208871034466546E-2</v>
      </c>
      <c r="AK259" s="158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200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8">
        <v>0</v>
      </c>
      <c r="R260" s="158">
        <v>0</v>
      </c>
      <c r="S260" s="158">
        <v>0</v>
      </c>
      <c r="T260" s="158">
        <v>0</v>
      </c>
      <c r="U260" s="158">
        <v>0</v>
      </c>
      <c r="V260" s="158">
        <v>0</v>
      </c>
      <c r="W260" s="158">
        <v>0</v>
      </c>
      <c r="X260" s="194">
        <v>0</v>
      </c>
      <c r="Y260" s="158">
        <v>0</v>
      </c>
      <c r="Z260" s="158">
        <v>0</v>
      </c>
      <c r="AA260" s="158">
        <v>0</v>
      </c>
      <c r="AB260" s="158">
        <v>0</v>
      </c>
      <c r="AC260" s="158">
        <v>0</v>
      </c>
      <c r="AD260" s="158">
        <v>0</v>
      </c>
      <c r="AE260" s="158">
        <v>0</v>
      </c>
      <c r="AF260" s="158">
        <v>0</v>
      </c>
      <c r="AG260" s="158">
        <v>0</v>
      </c>
      <c r="AH260" s="158">
        <v>0</v>
      </c>
      <c r="AI260" s="158">
        <v>0</v>
      </c>
      <c r="AJ260" s="158">
        <v>0</v>
      </c>
      <c r="AK260" s="158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200"/>
      <c r="BY260" s="110"/>
      <c r="BZ260" s="110"/>
      <c r="CA260" s="110"/>
      <c r="CB260" s="110"/>
      <c r="CC260" s="110"/>
    </row>
    <row r="261" spans="1:150" s="198" customFormat="1" ht="13.5" thickBot="1" x14ac:dyDescent="0.25">
      <c r="A261" s="29"/>
      <c r="B261" s="37">
        <v>242</v>
      </c>
      <c r="C261" s="196" t="s">
        <v>154</v>
      </c>
      <c r="D261" s="197"/>
      <c r="E261" s="197"/>
      <c r="F261" s="258"/>
      <c r="G261" s="61">
        <f t="shared" ref="G261:K261" si="119">LN(G256/G257)</f>
        <v>0.15625597104426275</v>
      </c>
      <c r="H261" s="61">
        <f t="shared" si="119"/>
        <v>0.12719377312617691</v>
      </c>
      <c r="I261" s="61">
        <f t="shared" si="119"/>
        <v>0.11310624839021519</v>
      </c>
      <c r="J261" s="61">
        <f t="shared" si="119"/>
        <v>9.8695337339728059E-2</v>
      </c>
      <c r="K261" s="61">
        <f t="shared" si="119"/>
        <v>7.9251559036615488E-2</v>
      </c>
      <c r="L261" s="61">
        <f t="shared" ref="L261:M261" si="120">LN(L256/L257)</f>
        <v>6.1839080196861095E-2</v>
      </c>
      <c r="M261" s="61">
        <f t="shared" si="120"/>
        <v>3.9687789332176183E-2</v>
      </c>
      <c r="N261" s="222"/>
      <c r="O261" s="199">
        <v>259</v>
      </c>
      <c r="P261" s="199">
        <v>0</v>
      </c>
      <c r="Q261" s="193">
        <v>1.4237891208959995E-3</v>
      </c>
      <c r="R261" s="193">
        <v>0.64288933286569749</v>
      </c>
      <c r="S261" s="193">
        <v>6.5651347235937477E-2</v>
      </c>
      <c r="T261" s="193">
        <v>3.459907883511248E-3</v>
      </c>
      <c r="U261" s="193">
        <v>-0.10249420583689466</v>
      </c>
      <c r="V261" s="193">
        <v>-0.11690697350740133</v>
      </c>
      <c r="W261" s="193">
        <v>0.15625597104426275</v>
      </c>
      <c r="X261" s="195">
        <v>-1.0937049107322776E-2</v>
      </c>
      <c r="Y261" s="193">
        <v>0.25432466318393848</v>
      </c>
      <c r="Z261" s="193">
        <v>-0.51251875605656572</v>
      </c>
      <c r="AA261" s="193">
        <v>-0.47412168671060451</v>
      </c>
      <c r="AB261" s="193">
        <v>-0.10716587024004505</v>
      </c>
      <c r="AC261" s="193">
        <v>-0.14143125715294327</v>
      </c>
      <c r="AD261" s="193">
        <v>-0.20953965541268835</v>
      </c>
      <c r="AE261" s="193">
        <v>-0.10059850014143838</v>
      </c>
      <c r="AF261" s="193">
        <v>-3.8618859926714773E-2</v>
      </c>
      <c r="AG261" s="193">
        <v>1.309128830937336E-2</v>
      </c>
      <c r="AH261" s="193">
        <v>-0.17195891734062968</v>
      </c>
      <c r="AI261" s="193">
        <v>-0.19156907547690391</v>
      </c>
      <c r="AJ261" s="193">
        <v>5.9408702683434213E-2</v>
      </c>
      <c r="AK261" s="193">
        <v>-5.0941848222132394E-2</v>
      </c>
      <c r="AL261" s="193">
        <v>5.1321104481130961E-2</v>
      </c>
      <c r="AM261" s="193">
        <v>-0.31750127379123649</v>
      </c>
      <c r="AN261" s="193">
        <v>-0.30262206479404263</v>
      </c>
      <c r="AO261" s="193">
        <v>-0.28655718924719448</v>
      </c>
      <c r="AP261" s="193">
        <v>-0.22364979288063969</v>
      </c>
      <c r="AQ261" s="193">
        <v>-0.69256659557232247</v>
      </c>
      <c r="AR261" s="193">
        <v>0.1634161112788772</v>
      </c>
      <c r="AS261" s="193">
        <v>0.20445706714178802</v>
      </c>
      <c r="AT261" s="193">
        <v>-5.2907946301099275E-2</v>
      </c>
      <c r="AU261" s="193">
        <v>-3.8032025254945354E-2</v>
      </c>
      <c r="AV261" s="193">
        <v>-0.21129481184897642</v>
      </c>
      <c r="AW261" s="193">
        <v>-0.2441866843949165</v>
      </c>
      <c r="AX261" s="193">
        <v>-0.14175124704930278</v>
      </c>
      <c r="AY261" s="193">
        <v>-5.768857009901035E-2</v>
      </c>
      <c r="AZ261" s="193">
        <v>-0.18747702304330149</v>
      </c>
      <c r="BA261" s="193">
        <v>-9.7804855186381212E-2</v>
      </c>
      <c r="BB261" s="193">
        <v>1.1406183632681423E-2</v>
      </c>
      <c r="BC261" s="193">
        <v>-9.532252348910189E-2</v>
      </c>
      <c r="BD261" s="193">
        <v>4.9053092159230954E-2</v>
      </c>
      <c r="BE261" s="193">
        <v>-0.38221698237767532</v>
      </c>
      <c r="BF261" s="193">
        <v>3.3157081652706358E-3</v>
      </c>
      <c r="BG261" s="193">
        <v>-0.20676384283335048</v>
      </c>
      <c r="BH261" s="193">
        <v>-7.4154535372392971E-2</v>
      </c>
      <c r="BI261" s="193">
        <v>-0.12016954816399628</v>
      </c>
      <c r="BJ261" s="193">
        <v>-0.18855373182112023</v>
      </c>
      <c r="BK261" s="193">
        <v>1.539097702042197E-2</v>
      </c>
      <c r="BL261" s="193">
        <v>5.4953129853466662E-2</v>
      </c>
      <c r="BM261" s="193">
        <v>1.1197146956854628E-2</v>
      </c>
      <c r="BN261" s="193">
        <v>-0.11217241043935856</v>
      </c>
      <c r="BO261" s="193">
        <v>-0.18972864103109879</v>
      </c>
      <c r="BP261" s="193">
        <v>6.179284492167985E-2</v>
      </c>
      <c r="BQ261" s="193">
        <v>3.6977920539523521E-2</v>
      </c>
      <c r="BR261" s="193">
        <v>0.52846486710782936</v>
      </c>
      <c r="BS261" s="193">
        <v>-0.4290961755624258</v>
      </c>
      <c r="BT261" s="193">
        <v>8.0907207874280393E-2</v>
      </c>
      <c r="BU261" s="193">
        <v>-0.2543672282856414</v>
      </c>
      <c r="BV261" s="193">
        <v>6.7336258615260422E-2</v>
      </c>
      <c r="BW261" s="193">
        <v>-7.7325232443086409E-2</v>
      </c>
      <c r="BX261" s="201"/>
      <c r="BY261" s="193"/>
      <c r="BZ261" s="193"/>
      <c r="CA261" s="193"/>
      <c r="CB261" s="193"/>
      <c r="CC261" s="193"/>
      <c r="CD261" s="161"/>
      <c r="CE261" s="161"/>
      <c r="ET261" s="233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8"/>
      <c r="R262" s="158"/>
      <c r="S262" s="158"/>
      <c r="T262" s="158"/>
      <c r="U262" s="158"/>
      <c r="V262" s="158"/>
      <c r="W262" s="158"/>
      <c r="X262" s="194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8"/>
      <c r="R263" s="158"/>
      <c r="S263" s="158"/>
      <c r="T263" s="158"/>
      <c r="U263" s="158"/>
      <c r="V263" s="158"/>
      <c r="W263" s="158"/>
      <c r="X263" s="194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8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8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9"/>
      <c r="G266" s="62"/>
      <c r="H266" s="62"/>
      <c r="I266" s="62"/>
      <c r="J266" s="62"/>
      <c r="K266" s="62"/>
      <c r="L266" s="62"/>
      <c r="M266" s="62"/>
      <c r="N266" s="201"/>
      <c r="O266" s="109">
        <v>264</v>
      </c>
      <c r="Q266" s="158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60"/>
      <c r="G267" s="104"/>
      <c r="H267" s="104"/>
      <c r="I267" s="104"/>
      <c r="J267" s="104"/>
      <c r="K267" s="104"/>
      <c r="L267" s="104"/>
      <c r="M267" s="104"/>
      <c r="N267" s="217"/>
      <c r="O267" s="109">
        <v>265</v>
      </c>
      <c r="Q267" s="158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60"/>
      <c r="G268" s="104"/>
      <c r="H268" s="104"/>
      <c r="I268" s="104"/>
      <c r="J268" s="104"/>
      <c r="K268" s="104"/>
      <c r="L268" s="104"/>
      <c r="M268" s="104"/>
      <c r="N268" s="217"/>
      <c r="O268" s="109">
        <v>266</v>
      </c>
      <c r="Q268" s="158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61"/>
      <c r="G269" s="65"/>
      <c r="H269" s="65"/>
      <c r="I269" s="65"/>
      <c r="J269" s="65"/>
      <c r="K269" s="65"/>
      <c r="L269" s="65"/>
      <c r="M269" s="65"/>
      <c r="N269" s="223"/>
      <c r="O269" s="109">
        <v>267</v>
      </c>
      <c r="Q269" s="158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34"/>
      <c r="N274" s="203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Q29"/>
  <sheetViews>
    <sheetView workbookViewId="0">
      <selection activeCell="I22" sqref="I22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2" width="13.140625" customWidth="1"/>
    <col min="13" max="13" width="9.28515625" bestFit="1" customWidth="1"/>
  </cols>
  <sheetData>
    <row r="2" spans="3:17" ht="23.25" x14ac:dyDescent="0.35">
      <c r="C2" s="273" t="s">
        <v>168</v>
      </c>
      <c r="D2" s="273"/>
      <c r="E2" s="273"/>
      <c r="F2" s="273"/>
      <c r="G2" s="273"/>
      <c r="H2" s="273"/>
      <c r="I2" s="273"/>
      <c r="J2" s="273"/>
      <c r="K2" s="273"/>
    </row>
    <row r="3" spans="3:17" s="89" customFormat="1" ht="23.25" customHeight="1" x14ac:dyDescent="0.25">
      <c r="C3" s="279" t="str">
        <f>'Model Inputs'!F5</f>
        <v>Canadian Niagara Power Inc.</v>
      </c>
      <c r="D3" s="279"/>
      <c r="E3" s="279"/>
      <c r="F3" s="279"/>
      <c r="G3" s="279"/>
      <c r="H3" s="279"/>
      <c r="I3" s="279"/>
      <c r="J3" s="279"/>
      <c r="K3" s="279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>
        <f>K6+1</f>
        <v>2025</v>
      </c>
      <c r="M6" s="2"/>
      <c r="N6" s="2"/>
    </row>
    <row r="7" spans="3:17" x14ac:dyDescent="0.2">
      <c r="F7" s="13" t="s">
        <v>185</v>
      </c>
      <c r="G7" s="265" t="s">
        <v>185</v>
      </c>
      <c r="H7" s="265" t="s">
        <v>186</v>
      </c>
      <c r="I7" s="265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26306344.396604195</v>
      </c>
      <c r="G10" s="83">
        <f>'Benchmarking Calculations'!H121</f>
        <v>26944769.651654303</v>
      </c>
      <c r="H10" s="83">
        <f>'Benchmarking Calculations'!I121</f>
        <v>28013042.949889638</v>
      </c>
      <c r="I10" s="88">
        <f>IF(ISNUMBER(I12),'Benchmarking Calculations'!J121,"na")</f>
        <v>29046462.843772624</v>
      </c>
      <c r="J10" s="88">
        <f>IF(ISNUMBER(J12),'Benchmarking Calculations'!K121,"na")</f>
        <v>29941378.960046999</v>
      </c>
      <c r="K10" s="88">
        <f>IF(ISNUMBER(K12),'Benchmarking Calculations'!L121,"na")</f>
        <v>30919140.368723676</v>
      </c>
      <c r="L10" s="88">
        <f>IF(ISNUMBER(L12),'Benchmarking Calculations'!M121,"na")</f>
        <v>31758522.268955193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22500874.404057063</v>
      </c>
      <c r="G12" s="83">
        <f>'Benchmarking Calculations'!H257</f>
        <v>23726567.915875755</v>
      </c>
      <c r="H12" s="83">
        <f>'Benchmarking Calculations'!I257</f>
        <v>25017209.623090949</v>
      </c>
      <c r="I12" s="88">
        <f>IF(ISNUMBER('Benchmarking Calculations'!J257),'Benchmarking Calculations'!J257,"na")</f>
        <v>26316638.390463017</v>
      </c>
      <c r="J12" s="88">
        <f>IF(ISNUMBER('Benchmarking Calculations'!K257),'Benchmarking Calculations'!K257,"na")</f>
        <v>27660070.536061797</v>
      </c>
      <c r="K12" s="88">
        <f>IF(ISNUMBER('Benchmarking Calculations'!L257),'Benchmarking Calculations'!L257,"na")</f>
        <v>29065047.672302369</v>
      </c>
      <c r="L12" s="88">
        <f>IF(ISNUMBER('Benchmarking Calculations'!M257),'Benchmarking Calculations'!M257,"na")</f>
        <v>30522780.849431992</v>
      </c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3805469.9925471321</v>
      </c>
      <c r="G14" s="83">
        <f t="shared" si="1"/>
        <v>3218201.7357785478</v>
      </c>
      <c r="H14" s="83">
        <f t="shared" si="1"/>
        <v>2995833.3267986886</v>
      </c>
      <c r="I14" s="88">
        <f>IF(ISNUMBER(I12),I10-I12,"na")</f>
        <v>2729824.4533096068</v>
      </c>
      <c r="J14" s="88">
        <f t="shared" ref="J14:L14" si="2">IF(ISNUMBER(J12),J10-J12,"na")</f>
        <v>2281308.4239852019</v>
      </c>
      <c r="K14" s="88">
        <f t="shared" si="2"/>
        <v>1854092.6964213066</v>
      </c>
      <c r="L14" s="88">
        <f t="shared" si="2"/>
        <v>1235741.4195232019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6">
        <f>LN(F10/F12)</f>
        <v>0.15625597104426275</v>
      </c>
      <c r="G16" s="186">
        <f t="shared" ref="G16:H16" si="3">LN(G10/G12)</f>
        <v>0.12719377312617691</v>
      </c>
      <c r="H16" s="186">
        <f t="shared" si="3"/>
        <v>0.11310624839021519</v>
      </c>
      <c r="I16" s="128">
        <f>IF(ISNUMBER(I14),LN(I10/I12),"na")</f>
        <v>9.8695337339728059E-2</v>
      </c>
      <c r="J16" s="128">
        <f t="shared" ref="J16:L16" si="4">IF(ISNUMBER(J14),LN(J10/J12),"na")</f>
        <v>7.9251559036615488E-2</v>
      </c>
      <c r="K16" s="128">
        <f t="shared" si="4"/>
        <v>6.1839080196861095E-2</v>
      </c>
      <c r="L16" s="128">
        <f t="shared" si="4"/>
        <v>3.9687789332176183E-2</v>
      </c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0.13218533085355164</v>
      </c>
      <c r="I18" s="63">
        <f>IF(ISNUMBER(I16),AVERAGE(G16:I16),"na")</f>
        <v>0.11299845295204004</v>
      </c>
      <c r="J18" s="63">
        <f t="shared" ref="J18:L18" si="5">IF(ISNUMBER(J16),AVERAGE(H16:J16),"na")</f>
        <v>9.7017714922186249E-2</v>
      </c>
      <c r="K18" s="63">
        <f t="shared" si="5"/>
        <v>7.9928658857734883E-2</v>
      </c>
      <c r="L18" s="63">
        <f t="shared" si="5"/>
        <v>6.0259476188550924E-2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4</v>
      </c>
      <c r="G22" s="129">
        <f t="shared" ref="G22" si="6">IF(G16&lt;-0.25,1,IF(G16&lt;-0.1,2,IF(G16&lt;0.1,3,IF(G16&lt;0.25,4,5))))</f>
        <v>4</v>
      </c>
      <c r="H22" s="129">
        <f>IF($H$16&lt;-0.25,1,IF($H$16&lt;-0.1,2,IF($H$16&lt;0.1,3,IF($H$16&lt;0.25,4,5))))</f>
        <v>4</v>
      </c>
      <c r="I22" s="129">
        <f>IF(ISNUMBER(I16),IF(I16&lt;-0.25,1,IF(I16&lt;-0.1,2,IF(I16&lt;0.1,3,IF(I16&lt;0.25,4,5)))),"na")</f>
        <v>3</v>
      </c>
      <c r="J22" s="129">
        <f t="shared" ref="J22:L22" si="7">IF(ISNUMBER(J16),IF(J16&lt;-0.25,1,IF(J16&lt;-0.1,2,IF(J16&lt;0.1,3,IF(J16&lt;0.25,4,5)))),"na")</f>
        <v>3</v>
      </c>
      <c r="K22" s="129">
        <f t="shared" si="7"/>
        <v>3</v>
      </c>
      <c r="L22" s="129">
        <f t="shared" si="7"/>
        <v>3</v>
      </c>
    </row>
    <row r="24" spans="4:15" ht="15" x14ac:dyDescent="0.25">
      <c r="E24" t="s">
        <v>155</v>
      </c>
      <c r="H24" s="129">
        <f>IF(H$18&lt;-0.25,1,IF(H$18&lt;-0.1,2,IF(H$18&lt;0.1,3,IF(H$18&lt;0.25,4,5))))</f>
        <v>4</v>
      </c>
      <c r="I24" s="129">
        <f t="shared" ref="I24:L24" si="8">IF(I$18&lt;-0.25,1,IF(I$18&lt;-0.1,2,IF(I$18&lt;0.1,3,IF(I$18&lt;0.25,4,5))))</f>
        <v>4</v>
      </c>
      <c r="J24" s="129">
        <f t="shared" si="8"/>
        <v>3</v>
      </c>
      <c r="K24" s="129">
        <f t="shared" si="8"/>
        <v>3</v>
      </c>
      <c r="L24" s="129">
        <f t="shared" si="8"/>
        <v>3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Beharriell, Greg</cp:lastModifiedBy>
  <cp:lastPrinted>2018-07-25T01:09:59Z</cp:lastPrinted>
  <dcterms:created xsi:type="dcterms:W3CDTF">2016-07-20T15:58:10Z</dcterms:created>
  <dcterms:modified xsi:type="dcterms:W3CDTF">2021-11-10T02:09:06Z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