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Regulatory\2022 IRM\Interogatories\"/>
    </mc:Choice>
  </mc:AlternateContent>
  <bookViews>
    <workbookView xWindow="0" yWindow="0" windowWidth="28800" windowHeight="11700"/>
  </bookViews>
  <sheets>
    <sheet name="GA Analysi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  <c r="J24" i="2"/>
  <c r="E33" i="2"/>
  <c r="J32" i="2"/>
  <c r="G32" i="2"/>
  <c r="J31" i="2"/>
  <c r="G31" i="2"/>
  <c r="J30" i="2"/>
  <c r="G30" i="2"/>
  <c r="D30" i="2"/>
  <c r="D33" i="2" s="1"/>
  <c r="P23" i="2"/>
  <c r="K23" i="2"/>
  <c r="J23" i="2"/>
  <c r="H22" i="2"/>
  <c r="L22" i="2" s="1"/>
  <c r="N22" i="2" s="1"/>
  <c r="F22" i="2"/>
  <c r="H21" i="2"/>
  <c r="L21" i="2" s="1"/>
  <c r="N21" i="2" s="1"/>
  <c r="F21" i="2"/>
  <c r="H20" i="2"/>
  <c r="L20" i="2" s="1"/>
  <c r="N20" i="2" s="1"/>
  <c r="F20" i="2"/>
  <c r="H19" i="2"/>
  <c r="L19" i="2" s="1"/>
  <c r="N19" i="2" s="1"/>
  <c r="F19" i="2"/>
  <c r="H18" i="2"/>
  <c r="L18" i="2" s="1"/>
  <c r="N18" i="2" s="1"/>
  <c r="F18" i="2"/>
  <c r="H17" i="2"/>
  <c r="L17" i="2" s="1"/>
  <c r="N17" i="2" s="1"/>
  <c r="F17" i="2"/>
  <c r="H16" i="2"/>
  <c r="L16" i="2" s="1"/>
  <c r="F16" i="2"/>
  <c r="H15" i="2"/>
  <c r="L15" i="2" s="1"/>
  <c r="F15" i="2"/>
  <c r="H14" i="2"/>
  <c r="L14" i="2" s="1"/>
  <c r="F14" i="2"/>
  <c r="H13" i="2"/>
  <c r="L13" i="2" s="1"/>
  <c r="N13" i="2" s="1"/>
  <c r="F13" i="2"/>
  <c r="H12" i="2"/>
  <c r="L12" i="2" s="1"/>
  <c r="N12" i="2" s="1"/>
  <c r="F12" i="2"/>
  <c r="H11" i="2"/>
  <c r="L11" i="2" s="1"/>
  <c r="F11" i="2"/>
  <c r="N14" i="2" l="1"/>
  <c r="I30" i="2"/>
  <c r="F30" i="2"/>
  <c r="L23" i="2"/>
  <c r="Q23" i="2" s="1"/>
  <c r="N11" i="2"/>
  <c r="N23" i="2" s="1"/>
  <c r="O23" i="2" s="1"/>
  <c r="I31" i="2"/>
  <c r="K31" i="2" s="1"/>
  <c r="N15" i="2"/>
  <c r="N16" i="2"/>
  <c r="I32" i="2"/>
  <c r="K32" i="2" s="1"/>
  <c r="F32" i="2"/>
  <c r="H32" i="2" s="1"/>
  <c r="F31" i="2"/>
  <c r="H31" i="2" s="1"/>
  <c r="H23" i="2"/>
  <c r="R23" i="2" l="1"/>
  <c r="L31" i="2"/>
  <c r="M31" i="2" s="1"/>
  <c r="F33" i="2"/>
  <c r="H30" i="2"/>
  <c r="L32" i="2"/>
  <c r="M32" i="2" s="1"/>
  <c r="K30" i="2"/>
  <c r="K33" i="2" s="1"/>
  <c r="I33" i="2"/>
  <c r="L30" i="2" l="1"/>
  <c r="H33" i="2"/>
  <c r="M30" i="2" l="1"/>
  <c r="M33" i="2" s="1"/>
  <c r="L33" i="2"/>
</calcChain>
</file>

<file path=xl/sharedStrings.xml><?xml version="1.0" encoding="utf-8"?>
<sst xmlns="http://schemas.openxmlformats.org/spreadsheetml/2006/main" count="64" uniqueCount="60">
  <si>
    <t>Wholesale</t>
  </si>
  <si>
    <t>Generation</t>
  </si>
  <si>
    <t>Total</t>
  </si>
  <si>
    <t>Retail</t>
  </si>
  <si>
    <t>AQEW</t>
  </si>
  <si>
    <t>Embedded Generation</t>
  </si>
  <si>
    <t>Class A</t>
  </si>
  <si>
    <t>Class B Wholesale</t>
  </si>
  <si>
    <t>Net GA-non RPP - Billed</t>
  </si>
  <si>
    <t>Class B - Billed</t>
  </si>
  <si>
    <t>Annual Non-RPP Class B Wholesale kWh *</t>
  </si>
  <si>
    <t>GA Actual Rate</t>
  </si>
  <si>
    <t>Net GA $ non RPP</t>
  </si>
  <si>
    <t>Weighted Average GA Actual Rate Paid ($/kWh)**</t>
  </si>
  <si>
    <t>A</t>
  </si>
  <si>
    <t>B</t>
  </si>
  <si>
    <t>A + B =  C</t>
  </si>
  <si>
    <t>D</t>
  </si>
  <si>
    <t>C - D = E</t>
  </si>
  <si>
    <t>F</t>
  </si>
  <si>
    <t>G</t>
  </si>
  <si>
    <t>E * (F/G) = H</t>
  </si>
  <si>
    <t>I</t>
  </si>
  <si>
    <t>J</t>
  </si>
  <si>
    <t>January</t>
  </si>
  <si>
    <t>February</t>
  </si>
  <si>
    <t>March</t>
  </si>
  <si>
    <t>April</t>
  </si>
  <si>
    <t>Amounts excluded - impact calculated below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</si>
  <si>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</si>
  <si>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</si>
  <si>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</si>
  <si>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</si>
  <si>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</si>
  <si>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</si>
  <si>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</si>
  <si>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</si>
  <si>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Net CT148</t>
  </si>
  <si>
    <t>CT148 Credit</t>
  </si>
  <si>
    <t>RPP GA (kWh)</t>
  </si>
  <si>
    <t>Unadjusted GA</t>
  </si>
  <si>
    <t>Global Adj ($)</t>
  </si>
  <si>
    <t>Non-RPP (kWh)</t>
  </si>
  <si>
    <t>Adjusted GA</t>
  </si>
  <si>
    <t>Total Global Adj ($)</t>
  </si>
  <si>
    <t>Difference</t>
  </si>
  <si>
    <t>5. Uaccounted for Energy Losses</t>
  </si>
  <si>
    <t>Annual Non-RPP Class B Retail billed kWh (excludes April to June 2020)</t>
  </si>
  <si>
    <t>Annual Unaccounted for Energy Loss kWh</t>
  </si>
  <si>
    <t>Expected GA Volume Variance ($)</t>
  </si>
  <si>
    <t>J/H = K</t>
  </si>
  <si>
    <t>L</t>
  </si>
  <si>
    <t>H - L = M</t>
  </si>
  <si>
    <t>K x M = N</t>
  </si>
  <si>
    <t>6. Impact of GA Deferral</t>
  </si>
  <si>
    <t>Total incl. April - June</t>
  </si>
  <si>
    <t>Total excl. April - June</t>
  </si>
  <si>
    <t>Staff Question 1</t>
  </si>
  <si>
    <t>InnPower Corporation</t>
  </si>
  <si>
    <t>EB-2021-0036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</si>
</sst>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* #,##0.000000_-;\-* #,##0.000000_-;_-* &quot;-&quot;??_-;_-@_-"/>
    <numFmt numFmtId="167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1" applyNumberFormat="1" applyFont="1" applyBorder="1" applyAlignment="1">
      <alignment horizontal="center" wrapText="1"/>
    </xf>
    <xf numFmtId="164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6" xfId="0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0" fillId="0" borderId="6" xfId="1" applyNumberFormat="1" applyFont="1" applyBorder="1"/>
    <xf numFmtId="164" fontId="0" fillId="0" borderId="6" xfId="1" applyNumberFormat="1" applyFont="1" applyFill="1" applyBorder="1"/>
    <xf numFmtId="164" fontId="0" fillId="3" borderId="6" xfId="1" applyNumberFormat="1" applyFont="1" applyFill="1" applyBorder="1"/>
    <xf numFmtId="164" fontId="0" fillId="0" borderId="7" xfId="1" applyNumberFormat="1" applyFont="1" applyBorder="1"/>
    <xf numFmtId="165" fontId="0" fillId="0" borderId="6" xfId="1" applyNumberFormat="1" applyFont="1" applyBorder="1" applyAlignment="1">
      <alignment horizontal="center"/>
    </xf>
    <xf numFmtId="164" fontId="0" fillId="0" borderId="8" xfId="1" applyNumberFormat="1" applyFont="1" applyBorder="1"/>
    <xf numFmtId="164" fontId="0" fillId="0" borderId="8" xfId="1" applyNumberFormat="1" applyFont="1" applyFill="1" applyBorder="1"/>
    <xf numFmtId="164" fontId="0" fillId="3" borderId="8" xfId="1" applyNumberFormat="1" applyFont="1" applyFill="1" applyBorder="1"/>
    <xf numFmtId="164" fontId="0" fillId="0" borderId="9" xfId="1" applyNumberFormat="1" applyFont="1" applyBorder="1"/>
    <xf numFmtId="164" fontId="0" fillId="0" borderId="8" xfId="1" applyNumberFormat="1" applyFont="1" applyBorder="1" applyAlignment="1">
      <alignment horizontal="center"/>
    </xf>
    <xf numFmtId="165" fontId="0" fillId="0" borderId="8" xfId="1" applyNumberFormat="1" applyFont="1" applyBorder="1" applyAlignment="1">
      <alignment horizontal="center"/>
    </xf>
    <xf numFmtId="164" fontId="0" fillId="0" borderId="10" xfId="1" applyNumberFormat="1" applyFont="1" applyBorder="1"/>
    <xf numFmtId="164" fontId="0" fillId="0" borderId="10" xfId="1" applyNumberFormat="1" applyFont="1" applyFill="1" applyBorder="1"/>
    <xf numFmtId="164" fontId="0" fillId="3" borderId="10" xfId="1" applyNumberFormat="1" applyFont="1" applyFill="1" applyBorder="1"/>
    <xf numFmtId="164" fontId="0" fillId="0" borderId="11" xfId="1" applyNumberFormat="1" applyFont="1" applyBorder="1"/>
    <xf numFmtId="164" fontId="0" fillId="0" borderId="10" xfId="1" applyNumberFormat="1" applyFont="1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43" fontId="2" fillId="0" borderId="12" xfId="0" applyNumberFormat="1" applyFont="1" applyBorder="1"/>
    <xf numFmtId="0" fontId="2" fillId="2" borderId="2" xfId="0" applyFont="1" applyFill="1" applyBorder="1" applyAlignment="1">
      <alignment horizontal="center" wrapText="1"/>
    </xf>
    <xf numFmtId="43" fontId="0" fillId="0" borderId="6" xfId="1" applyFont="1" applyFill="1" applyBorder="1"/>
    <xf numFmtId="43" fontId="0" fillId="0" borderId="7" xfId="1" applyFont="1" applyFill="1" applyBorder="1"/>
    <xf numFmtId="165" fontId="0" fillId="0" borderId="14" xfId="1" applyNumberFormat="1" applyFont="1" applyFill="1" applyBorder="1"/>
    <xf numFmtId="164" fontId="0" fillId="0" borderId="6" xfId="1" applyNumberFormat="1" applyFont="1" applyFill="1" applyBorder="1" applyAlignment="1">
      <alignment horizontal="center"/>
    </xf>
    <xf numFmtId="43" fontId="0" fillId="0" borderId="8" xfId="1" applyFont="1" applyFill="1" applyBorder="1"/>
    <xf numFmtId="43" fontId="0" fillId="0" borderId="9" xfId="1" applyFont="1" applyFill="1" applyBorder="1"/>
    <xf numFmtId="165" fontId="0" fillId="0" borderId="0" xfId="1" applyNumberFormat="1" applyFont="1" applyFill="1" applyBorder="1"/>
    <xf numFmtId="164" fontId="0" fillId="0" borderId="8" xfId="1" applyNumberFormat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11" xfId="1" applyFont="1" applyFill="1" applyBorder="1"/>
    <xf numFmtId="165" fontId="0" fillId="0" borderId="13" xfId="1" applyNumberFormat="1" applyFont="1" applyFill="1" applyBorder="1"/>
    <xf numFmtId="164" fontId="0" fillId="0" borderId="10" xfId="1" applyNumberFormat="1" applyFont="1" applyFill="1" applyBorder="1" applyAlignment="1">
      <alignment horizontal="center"/>
    </xf>
    <xf numFmtId="164" fontId="2" fillId="0" borderId="12" xfId="0" applyNumberFormat="1" applyFont="1" applyBorder="1"/>
    <xf numFmtId="164" fontId="0" fillId="4" borderId="0" xfId="1" applyNumberFormat="1" applyFont="1" applyFill="1"/>
    <xf numFmtId="0" fontId="0" fillId="4" borderId="0" xfId="0" applyFont="1" applyFill="1"/>
    <xf numFmtId="0" fontId="0" fillId="4" borderId="0" xfId="0" applyFont="1" applyFill="1" applyAlignment="1">
      <alignment horizontal="center"/>
    </xf>
    <xf numFmtId="0" fontId="0" fillId="4" borderId="0" xfId="0" applyFill="1"/>
    <xf numFmtId="0" fontId="2" fillId="4" borderId="0" xfId="0" applyFont="1" applyFill="1"/>
    <xf numFmtId="164" fontId="0" fillId="0" borderId="7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 wrapText="1"/>
    </xf>
    <xf numFmtId="0" fontId="0" fillId="0" borderId="8" xfId="0" applyFont="1" applyFill="1" applyBorder="1" applyAlignment="1">
      <alignment horizontal="center"/>
    </xf>
    <xf numFmtId="0" fontId="0" fillId="0" borderId="6" xfId="0" applyFont="1" applyBorder="1"/>
    <xf numFmtId="0" fontId="0" fillId="0" borderId="8" xfId="0" applyFont="1" applyBorder="1"/>
    <xf numFmtId="0" fontId="0" fillId="5" borderId="8" xfId="0" applyFont="1" applyFill="1" applyBorder="1"/>
    <xf numFmtId="164" fontId="0" fillId="5" borderId="8" xfId="1" applyNumberFormat="1" applyFont="1" applyFill="1" applyBorder="1"/>
    <xf numFmtId="164" fontId="0" fillId="5" borderId="9" xfId="1" applyNumberFormat="1" applyFont="1" applyFill="1" applyBorder="1"/>
    <xf numFmtId="164" fontId="0" fillId="5" borderId="8" xfId="1" applyNumberFormat="1" applyFont="1" applyFill="1" applyBorder="1" applyAlignment="1">
      <alignment horizontal="center"/>
    </xf>
    <xf numFmtId="165" fontId="0" fillId="5" borderId="8" xfId="1" applyNumberFormat="1" applyFont="1" applyFill="1" applyBorder="1" applyAlignment="1">
      <alignment horizontal="center"/>
    </xf>
    <xf numFmtId="0" fontId="0" fillId="0" borderId="10" xfId="0" applyFont="1" applyBorder="1"/>
    <xf numFmtId="164" fontId="2" fillId="4" borderId="12" xfId="0" applyNumberFormat="1" applyFont="1" applyFill="1" applyBorder="1" applyAlignment="1">
      <alignment horizontal="center"/>
    </xf>
    <xf numFmtId="166" fontId="2" fillId="4" borderId="12" xfId="1" applyNumberFormat="1" applyFont="1" applyFill="1" applyBorder="1"/>
    <xf numFmtId="43" fontId="2" fillId="6" borderId="12" xfId="0" applyNumberFormat="1" applyFont="1" applyFill="1" applyBorder="1" applyAlignment="1">
      <alignment horizontal="center"/>
    </xf>
    <xf numFmtId="10" fontId="0" fillId="4" borderId="0" xfId="2" applyNumberFormat="1" applyFont="1" applyFill="1"/>
    <xf numFmtId="43" fontId="2" fillId="4" borderId="0" xfId="0" applyNumberFormat="1" applyFont="1" applyFill="1" applyBorder="1"/>
    <xf numFmtId="0" fontId="0" fillId="4" borderId="0" xfId="0" applyFont="1" applyFill="1" applyAlignment="1">
      <alignment wrapText="1"/>
    </xf>
    <xf numFmtId="164" fontId="0" fillId="4" borderId="0" xfId="1" applyNumberFormat="1" applyFont="1" applyFill="1" applyAlignment="1">
      <alignment wrapText="1"/>
    </xf>
    <xf numFmtId="0" fontId="0" fillId="0" borderId="6" xfId="0" applyFont="1" applyFill="1" applyBorder="1"/>
    <xf numFmtId="167" fontId="0" fillId="0" borderId="6" xfId="0" applyNumberFormat="1" applyFont="1" applyFill="1" applyBorder="1"/>
    <xf numFmtId="43" fontId="0" fillId="0" borderId="6" xfId="0" applyNumberFormat="1" applyFont="1" applyFill="1" applyBorder="1"/>
    <xf numFmtId="0" fontId="0" fillId="0" borderId="8" xfId="0" applyFont="1" applyFill="1" applyBorder="1"/>
    <xf numFmtId="167" fontId="0" fillId="0" borderId="8" xfId="0" applyNumberFormat="1" applyFont="1" applyFill="1" applyBorder="1"/>
    <xf numFmtId="43" fontId="0" fillId="0" borderId="8" xfId="0" applyNumberFormat="1" applyFont="1" applyFill="1" applyBorder="1"/>
    <xf numFmtId="0" fontId="0" fillId="0" borderId="10" xfId="0" applyFont="1" applyFill="1" applyBorder="1"/>
    <xf numFmtId="167" fontId="0" fillId="0" borderId="10" xfId="0" applyNumberFormat="1" applyFont="1" applyFill="1" applyBorder="1"/>
    <xf numFmtId="43" fontId="0" fillId="0" borderId="10" xfId="0" applyNumberFormat="1" applyFont="1" applyFill="1" applyBorder="1"/>
    <xf numFmtId="43" fontId="2" fillId="6" borderId="12" xfId="0" applyNumberFormat="1" applyFont="1" applyFill="1" applyBorder="1"/>
    <xf numFmtId="43" fontId="0" fillId="4" borderId="0" xfId="1" applyFont="1" applyFill="1"/>
    <xf numFmtId="164" fontId="2" fillId="4" borderId="0" xfId="0" applyNumberFormat="1" applyFont="1" applyFill="1" applyBorder="1" applyAlignment="1">
      <alignment horizontal="center"/>
    </xf>
    <xf numFmtId="166" fontId="2" fillId="4" borderId="0" xfId="1" applyNumberFormat="1" applyFont="1" applyFill="1" applyBorder="1"/>
    <xf numFmtId="164" fontId="2" fillId="4" borderId="0" xfId="1" applyNumberFormat="1" applyFont="1" applyFill="1" applyAlignment="1">
      <alignment horizontal="right"/>
    </xf>
    <xf numFmtId="164" fontId="2" fillId="4" borderId="15" xfId="0" applyNumberFormat="1" applyFont="1" applyFill="1" applyBorder="1" applyAlignment="1">
      <alignment horizontal="center"/>
    </xf>
    <xf numFmtId="43" fontId="2" fillId="4" borderId="0" xfId="0" applyNumberFormat="1" applyFont="1" applyFill="1" applyBorder="1" applyAlignment="1">
      <alignment horizontal="center"/>
    </xf>
    <xf numFmtId="0" fontId="4" fillId="4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0" fillId="2" borderId="5" xfId="1" applyNumberFormat="1" applyFont="1" applyFill="1" applyBorder="1" applyAlignment="1">
      <alignment horizontal="center"/>
    </xf>
    <xf numFmtId="164" fontId="0" fillId="2" borderId="4" xfId="1" applyNumberFormat="1" applyFont="1" applyFill="1" applyBorder="1" applyAlignment="1">
      <alignment horizontal="center"/>
    </xf>
    <xf numFmtId="164" fontId="0" fillId="2" borderId="3" xfId="1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5"/>
  <sheetViews>
    <sheetView tabSelected="1" workbookViewId="0">
      <selection activeCell="E3" sqref="E3"/>
    </sheetView>
  </sheetViews>
  <sheetFormatPr defaultRowHeight="15" x14ac:dyDescent="0.25"/>
  <cols>
    <col min="1" max="3" width="9.140625" style="46"/>
    <col min="4" max="18" width="13.85546875" style="46" customWidth="1"/>
    <col min="19" max="16384" width="9.140625" style="46"/>
  </cols>
  <sheetData>
    <row r="2" spans="2:20" ht="18.75" x14ac:dyDescent="0.3">
      <c r="B2" s="82" t="s">
        <v>57</v>
      </c>
    </row>
    <row r="3" spans="2:20" x14ac:dyDescent="0.25">
      <c r="B3" s="46" t="s">
        <v>58</v>
      </c>
    </row>
    <row r="4" spans="2:20" x14ac:dyDescent="0.25">
      <c r="B4" s="46" t="s">
        <v>59</v>
      </c>
    </row>
    <row r="6" spans="2:20" x14ac:dyDescent="0.25">
      <c r="B6" s="83" t="s">
        <v>46</v>
      </c>
      <c r="C6" s="84"/>
      <c r="D6" s="84"/>
      <c r="E6" s="84"/>
      <c r="F6" s="84"/>
      <c r="G6" s="84"/>
      <c r="H6" s="85"/>
      <c r="I6" s="43"/>
      <c r="J6" s="43"/>
      <c r="K6" s="44"/>
      <c r="L6" s="45"/>
      <c r="M6" s="44"/>
      <c r="N6" s="43"/>
      <c r="O6" s="44"/>
      <c r="P6" s="44"/>
      <c r="Q6" s="44"/>
      <c r="R6" s="44"/>
      <c r="S6" s="44"/>
      <c r="T6" s="44"/>
    </row>
    <row r="8" spans="2:20" x14ac:dyDescent="0.25">
      <c r="B8" s="47"/>
      <c r="C8" s="47"/>
      <c r="D8" s="1" t="s">
        <v>0</v>
      </c>
      <c r="E8" s="1" t="s">
        <v>1</v>
      </c>
      <c r="F8" s="1" t="s">
        <v>2</v>
      </c>
      <c r="G8" s="2" t="s">
        <v>3</v>
      </c>
      <c r="H8" s="86"/>
      <c r="I8" s="87"/>
      <c r="J8" s="87"/>
      <c r="K8" s="87"/>
      <c r="L8" s="87"/>
      <c r="M8" s="87"/>
      <c r="N8" s="87"/>
      <c r="O8" s="87"/>
      <c r="P8" s="87"/>
      <c r="Q8" s="87"/>
      <c r="R8" s="88"/>
      <c r="S8" s="44"/>
      <c r="T8" s="44"/>
    </row>
    <row r="9" spans="2:20" ht="105" x14ac:dyDescent="0.25">
      <c r="B9" s="47"/>
      <c r="C9" s="47"/>
      <c r="D9" s="3" t="s">
        <v>4</v>
      </c>
      <c r="E9" s="4" t="s">
        <v>5</v>
      </c>
      <c r="F9" s="9"/>
      <c r="G9" s="3" t="s">
        <v>6</v>
      </c>
      <c r="H9" s="4" t="s">
        <v>7</v>
      </c>
      <c r="I9" s="5"/>
      <c r="J9" s="4" t="s">
        <v>8</v>
      </c>
      <c r="K9" s="3" t="s">
        <v>9</v>
      </c>
      <c r="L9" s="6" t="s">
        <v>10</v>
      </c>
      <c r="M9" s="4" t="s">
        <v>11</v>
      </c>
      <c r="N9" s="4" t="s">
        <v>12</v>
      </c>
      <c r="O9" s="4" t="s">
        <v>13</v>
      </c>
      <c r="P9" s="4" t="s">
        <v>47</v>
      </c>
      <c r="Q9" s="4" t="s">
        <v>48</v>
      </c>
      <c r="R9" s="4" t="s">
        <v>49</v>
      </c>
      <c r="S9" s="44"/>
      <c r="T9" s="44"/>
    </row>
    <row r="10" spans="2:20" x14ac:dyDescent="0.25">
      <c r="B10" s="47"/>
      <c r="C10" s="47"/>
      <c r="D10" s="7" t="s">
        <v>14</v>
      </c>
      <c r="E10" s="7" t="s">
        <v>15</v>
      </c>
      <c r="F10" s="7" t="s">
        <v>16</v>
      </c>
      <c r="G10" s="7" t="s">
        <v>17</v>
      </c>
      <c r="H10" s="8" t="s">
        <v>18</v>
      </c>
      <c r="I10" s="48"/>
      <c r="J10" s="49" t="s">
        <v>19</v>
      </c>
      <c r="K10" s="7" t="s">
        <v>20</v>
      </c>
      <c r="L10" s="9" t="s">
        <v>21</v>
      </c>
      <c r="M10" s="9" t="s">
        <v>22</v>
      </c>
      <c r="N10" s="10" t="s">
        <v>23</v>
      </c>
      <c r="O10" s="9" t="s">
        <v>50</v>
      </c>
      <c r="P10" s="50" t="s">
        <v>51</v>
      </c>
      <c r="Q10" s="50" t="s">
        <v>52</v>
      </c>
      <c r="R10" s="50" t="s">
        <v>53</v>
      </c>
      <c r="S10" s="44"/>
      <c r="T10" s="44"/>
    </row>
    <row r="11" spans="2:20" x14ac:dyDescent="0.25">
      <c r="B11" s="89">
        <v>2020</v>
      </c>
      <c r="C11" s="51" t="s">
        <v>24</v>
      </c>
      <c r="D11" s="11">
        <v>27172056</v>
      </c>
      <c r="E11" s="12">
        <v>47118.596000000136</v>
      </c>
      <c r="F11" s="13">
        <f t="shared" ref="F11:F22" si="0">SUM(D11:E11)</f>
        <v>27219174.596000001</v>
      </c>
      <c r="G11" s="12">
        <v>853988.60000000009</v>
      </c>
      <c r="H11" s="11">
        <f t="shared" ref="H11:H22" si="1">D11+E11-G11</f>
        <v>26365185.995999999</v>
      </c>
      <c r="I11" s="14"/>
      <c r="J11" s="14">
        <v>5840145.1900000013</v>
      </c>
      <c r="K11" s="11">
        <v>25611549.320000004</v>
      </c>
      <c r="L11" s="8">
        <f>H11*(J11/K11)</f>
        <v>6011995.3015788412</v>
      </c>
      <c r="M11" s="15">
        <v>0.10231999999999999</v>
      </c>
      <c r="N11" s="8">
        <f t="shared" ref="N11:N22" si="2">L11*M11</f>
        <v>615147.35925754695</v>
      </c>
      <c r="O11" s="51"/>
      <c r="P11" s="8">
        <v>5840145.1900000013</v>
      </c>
      <c r="Q11" s="8"/>
      <c r="R11" s="8"/>
      <c r="S11" s="44"/>
      <c r="T11" s="44"/>
    </row>
    <row r="12" spans="2:20" x14ac:dyDescent="0.25">
      <c r="B12" s="89"/>
      <c r="C12" s="52" t="s">
        <v>25</v>
      </c>
      <c r="D12" s="16">
        <v>25399903</v>
      </c>
      <c r="E12" s="17">
        <v>134240.22099999967</v>
      </c>
      <c r="F12" s="18">
        <f t="shared" si="0"/>
        <v>25534143.221000001</v>
      </c>
      <c r="G12" s="17">
        <v>875762.2</v>
      </c>
      <c r="H12" s="16">
        <f t="shared" si="1"/>
        <v>24658381.021000002</v>
      </c>
      <c r="I12" s="19"/>
      <c r="J12" s="19">
        <v>5357088.3900000043</v>
      </c>
      <c r="K12" s="16">
        <v>24202617.149999999</v>
      </c>
      <c r="L12" s="20">
        <f t="shared" ref="L12:L22" si="3">H12*(J12/K12)</f>
        <v>5457968.6926046163</v>
      </c>
      <c r="M12" s="21">
        <v>0.11331000000000001</v>
      </c>
      <c r="N12" s="20">
        <f t="shared" si="2"/>
        <v>618442.43255902908</v>
      </c>
      <c r="O12" s="52"/>
      <c r="P12" s="20">
        <v>5357088.3900000043</v>
      </c>
      <c r="Q12" s="20"/>
      <c r="R12" s="20"/>
      <c r="S12" s="44"/>
      <c r="T12" s="44"/>
    </row>
    <row r="13" spans="2:20" x14ac:dyDescent="0.25">
      <c r="B13" s="89"/>
      <c r="C13" s="52" t="s">
        <v>26</v>
      </c>
      <c r="D13" s="16">
        <v>24999955</v>
      </c>
      <c r="E13" s="17">
        <v>249315.95199999979</v>
      </c>
      <c r="F13" s="18">
        <f t="shared" si="0"/>
        <v>25249270.952</v>
      </c>
      <c r="G13" s="17">
        <v>939426.70000000007</v>
      </c>
      <c r="H13" s="16">
        <f t="shared" si="1"/>
        <v>24309844.252</v>
      </c>
      <c r="I13" s="19"/>
      <c r="J13" s="19">
        <v>5244306.3500000015</v>
      </c>
      <c r="K13" s="16">
        <v>23532404.760000002</v>
      </c>
      <c r="L13" s="20">
        <f t="shared" si="3"/>
        <v>5417562.3731824094</v>
      </c>
      <c r="M13" s="21">
        <v>0.11942</v>
      </c>
      <c r="N13" s="20">
        <f t="shared" si="2"/>
        <v>646965.29860544333</v>
      </c>
      <c r="O13" s="52"/>
      <c r="P13" s="20">
        <v>5244306.3500000015</v>
      </c>
      <c r="Q13" s="20"/>
      <c r="R13" s="20"/>
      <c r="S13" s="44"/>
      <c r="T13" s="44"/>
    </row>
    <row r="14" spans="2:20" x14ac:dyDescent="0.25">
      <c r="B14" s="89"/>
      <c r="C14" s="53" t="s">
        <v>27</v>
      </c>
      <c r="D14" s="54">
        <v>22234209</v>
      </c>
      <c r="E14" s="54">
        <v>341757.99700000032</v>
      </c>
      <c r="F14" s="54">
        <f t="shared" si="0"/>
        <v>22575966.997000001</v>
      </c>
      <c r="G14" s="54">
        <v>884711.09999999986</v>
      </c>
      <c r="H14" s="54">
        <f t="shared" si="1"/>
        <v>21691255.897</v>
      </c>
      <c r="I14" s="55"/>
      <c r="J14" s="55">
        <v>4415731.7299999911</v>
      </c>
      <c r="K14" s="54">
        <v>21003927.080000002</v>
      </c>
      <c r="L14" s="56">
        <f t="shared" si="3"/>
        <v>4560231.3587889448</v>
      </c>
      <c r="M14" s="57">
        <v>0.115</v>
      </c>
      <c r="N14" s="56">
        <f t="shared" si="2"/>
        <v>524426.60626072867</v>
      </c>
      <c r="O14" s="53"/>
      <c r="P14" s="56">
        <v>4415731.7299999911</v>
      </c>
      <c r="Q14" s="56"/>
      <c r="R14" s="56"/>
      <c r="S14" s="90" t="s">
        <v>28</v>
      </c>
      <c r="T14" s="91"/>
    </row>
    <row r="15" spans="2:20" x14ac:dyDescent="0.25">
      <c r="B15" s="89"/>
      <c r="C15" s="53" t="s">
        <v>29</v>
      </c>
      <c r="D15" s="54">
        <v>21946604</v>
      </c>
      <c r="E15" s="54">
        <v>400948.81999999931</v>
      </c>
      <c r="F15" s="54">
        <f t="shared" si="0"/>
        <v>22347552.82</v>
      </c>
      <c r="G15" s="54">
        <v>730159.89999999991</v>
      </c>
      <c r="H15" s="54">
        <f t="shared" si="1"/>
        <v>21617392.920000002</v>
      </c>
      <c r="I15" s="55"/>
      <c r="J15" s="55">
        <v>4505001.0299999937</v>
      </c>
      <c r="K15" s="54">
        <v>20938182.569999989</v>
      </c>
      <c r="L15" s="56">
        <f t="shared" si="3"/>
        <v>4651138.0366913397</v>
      </c>
      <c r="M15" s="57">
        <v>0.115</v>
      </c>
      <c r="N15" s="56">
        <f t="shared" si="2"/>
        <v>534880.87421950407</v>
      </c>
      <c r="O15" s="53"/>
      <c r="P15" s="56">
        <v>4505001.0299999937</v>
      </c>
      <c r="Q15" s="56"/>
      <c r="R15" s="56"/>
      <c r="S15" s="90"/>
      <c r="T15" s="91"/>
    </row>
    <row r="16" spans="2:20" x14ac:dyDescent="0.25">
      <c r="B16" s="89"/>
      <c r="C16" s="53" t="s">
        <v>30</v>
      </c>
      <c r="D16" s="54">
        <v>23965653</v>
      </c>
      <c r="E16" s="54">
        <v>398746.52799999953</v>
      </c>
      <c r="F16" s="54">
        <f t="shared" si="0"/>
        <v>24364399.528000001</v>
      </c>
      <c r="G16" s="54">
        <v>926150.45000000007</v>
      </c>
      <c r="H16" s="54">
        <f t="shared" si="1"/>
        <v>23438249.078000002</v>
      </c>
      <c r="I16" s="55"/>
      <c r="J16" s="55">
        <v>4723919.59</v>
      </c>
      <c r="K16" s="54">
        <v>22576250.419999998</v>
      </c>
      <c r="L16" s="56">
        <f t="shared" si="3"/>
        <v>4904286.6691794805</v>
      </c>
      <c r="M16" s="57">
        <v>0.115</v>
      </c>
      <c r="N16" s="56">
        <f t="shared" si="2"/>
        <v>563992.96695564024</v>
      </c>
      <c r="O16" s="53"/>
      <c r="P16" s="56">
        <v>4723919.59</v>
      </c>
      <c r="Q16" s="56"/>
      <c r="R16" s="56"/>
      <c r="S16" s="90"/>
      <c r="T16" s="91"/>
    </row>
    <row r="17" spans="2:20" x14ac:dyDescent="0.25">
      <c r="B17" s="89"/>
      <c r="C17" s="52" t="s">
        <v>31</v>
      </c>
      <c r="D17" s="16">
        <v>30221158</v>
      </c>
      <c r="E17" s="17">
        <v>397814.73099999904</v>
      </c>
      <c r="F17" s="18">
        <f t="shared" si="0"/>
        <v>30618972.730999999</v>
      </c>
      <c r="G17" s="17">
        <v>802163.64999999991</v>
      </c>
      <c r="H17" s="16">
        <f t="shared" si="1"/>
        <v>29816809.081</v>
      </c>
      <c r="I17" s="19"/>
      <c r="J17" s="19">
        <v>5617866.7200000025</v>
      </c>
      <c r="K17" s="16">
        <v>28984795.890000023</v>
      </c>
      <c r="L17" s="20">
        <f t="shared" si="3"/>
        <v>5779128.4806161048</v>
      </c>
      <c r="M17" s="21">
        <v>9.9019999999999997E-2</v>
      </c>
      <c r="N17" s="20">
        <f t="shared" si="2"/>
        <v>572249.30215060664</v>
      </c>
      <c r="O17" s="52"/>
      <c r="P17" s="20">
        <v>5617866.7200000025</v>
      </c>
      <c r="Q17" s="20"/>
      <c r="R17" s="20"/>
      <c r="S17" s="44"/>
      <c r="T17" s="44"/>
    </row>
    <row r="18" spans="2:20" x14ac:dyDescent="0.25">
      <c r="B18" s="89"/>
      <c r="C18" s="52" t="s">
        <v>32</v>
      </c>
      <c r="D18" s="16">
        <v>26429798</v>
      </c>
      <c r="E18" s="17">
        <v>401224.85099999921</v>
      </c>
      <c r="F18" s="18">
        <f t="shared" si="0"/>
        <v>26831022.851</v>
      </c>
      <c r="G18" s="17">
        <v>828694.45</v>
      </c>
      <c r="H18" s="16">
        <f t="shared" si="1"/>
        <v>26002328.401000001</v>
      </c>
      <c r="I18" s="19"/>
      <c r="J18" s="19">
        <v>5171907.6600000039</v>
      </c>
      <c r="K18" s="16">
        <v>25378799.43</v>
      </c>
      <c r="L18" s="20">
        <f t="shared" si="3"/>
        <v>5298975.6984326961</v>
      </c>
      <c r="M18" s="21">
        <v>0.10348</v>
      </c>
      <c r="N18" s="20">
        <f t="shared" si="2"/>
        <v>548338.00527381536</v>
      </c>
      <c r="O18" s="52"/>
      <c r="P18" s="20">
        <v>5171907.6600000039</v>
      </c>
      <c r="Q18" s="20"/>
      <c r="R18" s="20"/>
      <c r="S18" s="44"/>
      <c r="T18" s="44"/>
    </row>
    <row r="19" spans="2:20" x14ac:dyDescent="0.25">
      <c r="B19" s="89"/>
      <c r="C19" s="52" t="s">
        <v>33</v>
      </c>
      <c r="D19" s="16">
        <v>26429798</v>
      </c>
      <c r="E19" s="17">
        <v>329425.06698999926</v>
      </c>
      <c r="F19" s="18">
        <f t="shared" si="0"/>
        <v>26759223.066989999</v>
      </c>
      <c r="G19" s="17">
        <v>844926.70000000019</v>
      </c>
      <c r="H19" s="16">
        <f t="shared" si="1"/>
        <v>25914296.36699</v>
      </c>
      <c r="I19" s="19"/>
      <c r="J19" s="19">
        <v>4845064.0299999993</v>
      </c>
      <c r="K19" s="16">
        <v>19937957.729999997</v>
      </c>
      <c r="L19" s="20">
        <f t="shared" si="3"/>
        <v>6297356.3737444496</v>
      </c>
      <c r="M19" s="21">
        <v>0.12176000000000001</v>
      </c>
      <c r="N19" s="20">
        <f t="shared" si="2"/>
        <v>766766.11206712422</v>
      </c>
      <c r="O19" s="52"/>
      <c r="P19" s="20">
        <v>4845064.0299999993</v>
      </c>
      <c r="Q19" s="20"/>
      <c r="R19" s="20"/>
      <c r="S19" s="44"/>
      <c r="T19" s="44"/>
    </row>
    <row r="20" spans="2:20" x14ac:dyDescent="0.25">
      <c r="B20" s="89"/>
      <c r="C20" s="52" t="s">
        <v>34</v>
      </c>
      <c r="D20" s="16">
        <v>22166886</v>
      </c>
      <c r="E20" s="17">
        <v>204706.774</v>
      </c>
      <c r="F20" s="18">
        <f t="shared" si="0"/>
        <v>22371592.774</v>
      </c>
      <c r="G20" s="17">
        <v>892711.39999999991</v>
      </c>
      <c r="H20" s="16">
        <f t="shared" si="1"/>
        <v>21478881.374000002</v>
      </c>
      <c r="I20" s="19"/>
      <c r="J20" s="19">
        <v>4965987.8100000005</v>
      </c>
      <c r="K20" s="16">
        <v>20936299.709999993</v>
      </c>
      <c r="L20" s="20">
        <f t="shared" si="3"/>
        <v>5094685.5248147435</v>
      </c>
      <c r="M20" s="21">
        <v>0.12806000000000001</v>
      </c>
      <c r="N20" s="20">
        <f t="shared" si="2"/>
        <v>652425.42830777611</v>
      </c>
      <c r="O20" s="52"/>
      <c r="P20" s="20">
        <v>4965987.8100000005</v>
      </c>
      <c r="Q20" s="20"/>
      <c r="R20" s="20"/>
      <c r="S20" s="44"/>
      <c r="T20" s="44"/>
    </row>
    <row r="21" spans="2:20" x14ac:dyDescent="0.25">
      <c r="B21" s="89"/>
      <c r="C21" s="52" t="s">
        <v>35</v>
      </c>
      <c r="D21" s="16">
        <v>23120657</v>
      </c>
      <c r="E21" s="17">
        <v>130234.03299999965</v>
      </c>
      <c r="F21" s="18">
        <f t="shared" si="0"/>
        <v>23250891.033</v>
      </c>
      <c r="G21" s="17">
        <v>884004.20000000019</v>
      </c>
      <c r="H21" s="16">
        <f t="shared" si="1"/>
        <v>22366886.833000001</v>
      </c>
      <c r="I21" s="19"/>
      <c r="J21" s="19">
        <v>4871933.7199999932</v>
      </c>
      <c r="K21" s="16">
        <v>21536398.249999981</v>
      </c>
      <c r="L21" s="20">
        <f t="shared" si="3"/>
        <v>5059805.6791189145</v>
      </c>
      <c r="M21" s="21">
        <v>0.11705</v>
      </c>
      <c r="N21" s="20">
        <f t="shared" si="2"/>
        <v>592250.25474086893</v>
      </c>
      <c r="O21" s="52"/>
      <c r="P21" s="20">
        <v>4871933.7199999932</v>
      </c>
      <c r="Q21" s="20"/>
      <c r="R21" s="20"/>
      <c r="S21" s="44"/>
      <c r="T21" s="44"/>
    </row>
    <row r="22" spans="2:20" x14ac:dyDescent="0.25">
      <c r="B22" s="89"/>
      <c r="C22" s="58" t="s">
        <v>36</v>
      </c>
      <c r="D22" s="22">
        <v>27610230</v>
      </c>
      <c r="E22" s="23">
        <v>49908.965999999913</v>
      </c>
      <c r="F22" s="24">
        <f t="shared" si="0"/>
        <v>27660138.965999998</v>
      </c>
      <c r="G22" s="23">
        <v>718477.7</v>
      </c>
      <c r="H22" s="22">
        <f t="shared" si="1"/>
        <v>26941661.265999999</v>
      </c>
      <c r="I22" s="25"/>
      <c r="J22" s="25">
        <v>5085360.3000000007</v>
      </c>
      <c r="K22" s="22">
        <v>25998319.370000016</v>
      </c>
      <c r="L22" s="26">
        <f t="shared" si="3"/>
        <v>5269881.2053313144</v>
      </c>
      <c r="M22" s="27">
        <v>0.10557999999999999</v>
      </c>
      <c r="N22" s="26">
        <f t="shared" si="2"/>
        <v>556394.05765888013</v>
      </c>
      <c r="O22" s="58"/>
      <c r="P22" s="26">
        <v>5085360.3000000007</v>
      </c>
      <c r="Q22" s="26"/>
      <c r="R22" s="26"/>
      <c r="S22" s="44"/>
      <c r="T22" s="44"/>
    </row>
    <row r="23" spans="2:20" ht="15.75" thickBot="1" x14ac:dyDescent="0.3">
      <c r="B23" s="44"/>
      <c r="C23" s="44"/>
      <c r="D23" s="44"/>
      <c r="E23" s="44"/>
      <c r="F23" s="44"/>
      <c r="G23" s="79" t="s">
        <v>56</v>
      </c>
      <c r="H23" s="59">
        <f>SUM(H11:H13)+SUM(H17:H22)</f>
        <v>227854274.59099001</v>
      </c>
      <c r="I23" s="43"/>
      <c r="J23" s="59">
        <f>SUM(J11:J13)+SUM(J17:J22)</f>
        <v>46999660.170000002</v>
      </c>
      <c r="K23" s="59">
        <f>SUM(K11:K13)+SUM(K17:K22)</f>
        <v>216119141.61000001</v>
      </c>
      <c r="L23" s="59">
        <f>SUM(L11:L13)+SUM(L17:L22)</f>
        <v>49687359.329424083</v>
      </c>
      <c r="M23" s="43"/>
      <c r="N23" s="59">
        <f>SUM(N11:N13)+SUM(N17:N22)</f>
        <v>5568978.2506210906</v>
      </c>
      <c r="O23" s="60">
        <f>N23/L23</f>
        <v>0.11208038273274121</v>
      </c>
      <c r="P23" s="59">
        <f>SUM(P11:P13)+SUM(P17:P22)</f>
        <v>46999660.170000002</v>
      </c>
      <c r="Q23" s="59">
        <f>L23-P23</f>
        <v>2687699.1594240814</v>
      </c>
      <c r="R23" s="61">
        <f>Q23*O23</f>
        <v>301238.35045871785</v>
      </c>
      <c r="S23" s="44"/>
      <c r="T23" s="44"/>
    </row>
    <row r="24" spans="2:20" ht="16.5" thickTop="1" thickBot="1" x14ac:dyDescent="0.3">
      <c r="B24" s="44"/>
      <c r="C24" s="44"/>
      <c r="D24" s="44"/>
      <c r="E24" s="44"/>
      <c r="F24" s="44"/>
      <c r="G24" s="44"/>
      <c r="H24" s="77"/>
      <c r="I24" s="79" t="s">
        <v>55</v>
      </c>
      <c r="J24" s="80">
        <f>SUM(J11:J22)</f>
        <v>60644312.519999996</v>
      </c>
      <c r="K24" s="80">
        <f>SUM(K11:K22)</f>
        <v>280637501.68000001</v>
      </c>
      <c r="L24" s="77"/>
      <c r="M24" s="43"/>
      <c r="N24" s="77"/>
      <c r="O24" s="78"/>
      <c r="P24" s="77"/>
      <c r="Q24" s="77"/>
      <c r="R24" s="81"/>
      <c r="S24" s="44"/>
      <c r="T24" s="44"/>
    </row>
    <row r="25" spans="2:20" ht="15.75" thickTop="1" x14ac:dyDescent="0.25">
      <c r="B25" s="44"/>
      <c r="C25" s="44"/>
      <c r="D25" s="44"/>
      <c r="E25" s="44"/>
      <c r="F25" s="44"/>
      <c r="G25" s="44"/>
      <c r="H25" s="43"/>
      <c r="I25" s="43"/>
      <c r="J25" s="62"/>
      <c r="K25" s="44"/>
      <c r="L25" s="45"/>
      <c r="M25" s="43"/>
      <c r="N25" s="44"/>
      <c r="O25" s="44"/>
      <c r="P25" s="44"/>
      <c r="Q25" s="44"/>
      <c r="R25" s="44"/>
      <c r="S25" s="44"/>
      <c r="T25" s="44"/>
    </row>
    <row r="26" spans="2:20" x14ac:dyDescent="0.25">
      <c r="B26" s="92" t="s">
        <v>54</v>
      </c>
      <c r="C26" s="93"/>
      <c r="D26" s="93"/>
      <c r="E26" s="93"/>
      <c r="F26" s="93"/>
      <c r="G26" s="93"/>
      <c r="H26" s="94"/>
      <c r="I26" s="43"/>
      <c r="J26" s="43"/>
      <c r="K26" s="44"/>
      <c r="L26" s="45"/>
      <c r="M26" s="44"/>
      <c r="N26" s="43"/>
      <c r="O26" s="44"/>
      <c r="P26" s="44"/>
      <c r="Q26" s="44"/>
      <c r="R26" s="44"/>
      <c r="S26" s="44"/>
      <c r="T26" s="44"/>
    </row>
    <row r="27" spans="2:20" x14ac:dyDescent="0.25">
      <c r="B27" s="44"/>
      <c r="C27" s="44"/>
      <c r="D27" s="44"/>
      <c r="E27" s="44"/>
      <c r="F27" s="44"/>
      <c r="G27" s="44"/>
      <c r="H27" s="43"/>
      <c r="I27" s="43"/>
      <c r="J27" s="43"/>
      <c r="K27" s="44"/>
      <c r="L27" s="45"/>
      <c r="M27" s="44"/>
      <c r="N27" s="43"/>
      <c r="O27" s="44"/>
      <c r="P27" s="44"/>
      <c r="Q27" s="44"/>
      <c r="R27" s="44"/>
      <c r="S27" s="44"/>
      <c r="T27" s="44"/>
    </row>
    <row r="28" spans="2:20" x14ac:dyDescent="0.25">
      <c r="B28" s="44"/>
      <c r="C28" s="44"/>
      <c r="E28" s="63"/>
      <c r="F28" s="44"/>
      <c r="G28" s="44"/>
      <c r="H28" s="44"/>
      <c r="I28" s="44"/>
      <c r="J28" s="44"/>
      <c r="K28" s="44"/>
      <c r="L28" s="44"/>
      <c r="M28" s="63"/>
      <c r="N28" s="44"/>
    </row>
    <row r="29" spans="2:20" ht="45" x14ac:dyDescent="0.25">
      <c r="B29" s="64"/>
      <c r="C29" s="64"/>
      <c r="D29" s="29" t="s">
        <v>37</v>
      </c>
      <c r="E29" s="29" t="s">
        <v>38</v>
      </c>
      <c r="F29" s="29" t="s">
        <v>39</v>
      </c>
      <c r="G29" s="29" t="s">
        <v>40</v>
      </c>
      <c r="H29" s="29" t="s">
        <v>41</v>
      </c>
      <c r="I29" s="29" t="s">
        <v>42</v>
      </c>
      <c r="J29" s="29" t="s">
        <v>43</v>
      </c>
      <c r="K29" s="29" t="s">
        <v>41</v>
      </c>
      <c r="L29" s="29" t="s">
        <v>44</v>
      </c>
      <c r="M29" s="29" t="s">
        <v>45</v>
      </c>
      <c r="N29" s="44"/>
      <c r="O29" s="65"/>
      <c r="P29" s="44"/>
      <c r="Q29" s="44"/>
      <c r="R29" s="64"/>
      <c r="S29" s="64"/>
      <c r="T29" s="44"/>
    </row>
    <row r="30" spans="2:20" x14ac:dyDescent="0.25">
      <c r="B30" s="95">
        <v>2020</v>
      </c>
      <c r="C30" s="66" t="s">
        <v>27</v>
      </c>
      <c r="D30" s="30">
        <f>-3083736.49</f>
        <v>-3083736.49</v>
      </c>
      <c r="E30" s="31">
        <v>175466.41</v>
      </c>
      <c r="F30" s="12">
        <f>H14-L14</f>
        <v>17131024.538211055</v>
      </c>
      <c r="G30" s="32">
        <f>150.57/1000</f>
        <v>0.15056999999999998</v>
      </c>
      <c r="H30" s="30">
        <f>F30*G30</f>
        <v>2579418.3647184381</v>
      </c>
      <c r="I30" s="33">
        <f>L14</f>
        <v>4560231.3587889448</v>
      </c>
      <c r="J30" s="67">
        <f>115/1000</f>
        <v>0.115</v>
      </c>
      <c r="K30" s="68">
        <f>I30*J30</f>
        <v>524426.60626072867</v>
      </c>
      <c r="L30" s="68">
        <f>H30+K30</f>
        <v>3103844.9709791667</v>
      </c>
      <c r="M30" s="68">
        <f>L30+D30</f>
        <v>20108.480979166459</v>
      </c>
      <c r="N30" s="44"/>
      <c r="O30" s="44"/>
      <c r="P30" s="44"/>
      <c r="Q30" s="44"/>
      <c r="R30" s="44"/>
      <c r="S30" s="44"/>
      <c r="T30" s="44"/>
    </row>
    <row r="31" spans="2:20" x14ac:dyDescent="0.25">
      <c r="B31" s="95"/>
      <c r="C31" s="69" t="s">
        <v>29</v>
      </c>
      <c r="D31" s="34">
        <v>-3026440.17</v>
      </c>
      <c r="E31" s="35">
        <v>148738.74</v>
      </c>
      <c r="F31" s="17">
        <f>H15-L15</f>
        <v>16966254.883308664</v>
      </c>
      <c r="G31" s="36">
        <f>147.18/1000</f>
        <v>0.14718000000000001</v>
      </c>
      <c r="H31" s="34">
        <f>F31*G31</f>
        <v>2497093.3937253691</v>
      </c>
      <c r="I31" s="37">
        <f>L15</f>
        <v>4651138.0366913397</v>
      </c>
      <c r="J31" s="70">
        <f>115/1000</f>
        <v>0.115</v>
      </c>
      <c r="K31" s="71">
        <f t="shared" ref="K31:K32" si="4">I31*J31</f>
        <v>534880.87421950407</v>
      </c>
      <c r="L31" s="71">
        <f>H31+K31</f>
        <v>3031974.2679448733</v>
      </c>
      <c r="M31" s="71">
        <f>L31+D31</f>
        <v>5534.0979448733851</v>
      </c>
      <c r="N31" s="44"/>
      <c r="O31" s="44"/>
      <c r="P31" s="44"/>
      <c r="Q31" s="44"/>
      <c r="R31" s="44"/>
      <c r="S31" s="44"/>
      <c r="T31" s="44"/>
    </row>
    <row r="32" spans="2:20" x14ac:dyDescent="0.25">
      <c r="B32" s="95"/>
      <c r="C32" s="72" t="s">
        <v>30</v>
      </c>
      <c r="D32" s="38">
        <v>-2942457.22</v>
      </c>
      <c r="E32" s="39">
        <v>65954.19</v>
      </c>
      <c r="F32" s="23">
        <f>H16-L16</f>
        <v>18533962.408820521</v>
      </c>
      <c r="G32" s="40">
        <f>128.4/1000</f>
        <v>0.12840000000000001</v>
      </c>
      <c r="H32" s="38">
        <f>F32*G32</f>
        <v>2379760.773292555</v>
      </c>
      <c r="I32" s="41">
        <f>L16</f>
        <v>4904286.6691794805</v>
      </c>
      <c r="J32" s="73">
        <f>115/1000</f>
        <v>0.115</v>
      </c>
      <c r="K32" s="74">
        <f t="shared" si="4"/>
        <v>563992.96695564024</v>
      </c>
      <c r="L32" s="74">
        <f>H32+K32</f>
        <v>2943753.7402481954</v>
      </c>
      <c r="M32" s="74">
        <f>L32+D32</f>
        <v>1296.5202481951565</v>
      </c>
      <c r="N32" s="44"/>
      <c r="O32" s="44"/>
      <c r="P32" s="44"/>
      <c r="Q32" s="44"/>
      <c r="R32" s="44"/>
      <c r="S32" s="44"/>
      <c r="T32" s="44"/>
    </row>
    <row r="33" spans="2:20" ht="15.75" thickBot="1" x14ac:dyDescent="0.3">
      <c r="B33" s="44"/>
      <c r="C33" s="44"/>
      <c r="D33" s="28">
        <f>SUM(D30:D32)</f>
        <v>-9052633.8800000008</v>
      </c>
      <c r="E33" s="28">
        <f>SUM(E30:E32)</f>
        <v>390159.34</v>
      </c>
      <c r="F33" s="42">
        <f t="shared" ref="F33:H33" si="5">SUM(F30:F32)</f>
        <v>52631241.830340236</v>
      </c>
      <c r="G33" s="28"/>
      <c r="H33" s="28">
        <f t="shared" si="5"/>
        <v>7456272.5317363627</v>
      </c>
      <c r="I33" s="42">
        <f>SUM(I30:I32)</f>
        <v>14115656.064659765</v>
      </c>
      <c r="J33" s="28"/>
      <c r="K33" s="28">
        <f>SUM(K30:K32)</f>
        <v>1623300.4474358731</v>
      </c>
      <c r="L33" s="42">
        <f>SUM(L30:L32)</f>
        <v>9079572.9791722354</v>
      </c>
      <c r="M33" s="75">
        <f>SUM(M30:M32)</f>
        <v>26939.099172235001</v>
      </c>
      <c r="N33" s="44"/>
      <c r="O33" s="44"/>
      <c r="P33" s="44"/>
      <c r="Q33" s="44"/>
      <c r="R33" s="44"/>
      <c r="S33" s="44"/>
      <c r="T33" s="44"/>
    </row>
    <row r="34" spans="2:20" ht="15.75" thickTop="1" x14ac:dyDescent="0.25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</row>
    <row r="35" spans="2:20" x14ac:dyDescent="0.25">
      <c r="B35" s="44"/>
      <c r="C35" s="44"/>
      <c r="D35" s="44"/>
      <c r="E35" s="44"/>
      <c r="F35" s="44"/>
      <c r="G35" s="76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</row>
  </sheetData>
  <mergeCells count="6">
    <mergeCell ref="B30:B32"/>
    <mergeCell ref="B6:H6"/>
    <mergeCell ref="H8:R8"/>
    <mergeCell ref="B11:B22"/>
    <mergeCell ref="S14:T16"/>
    <mergeCell ref="B26:H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 Analysis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Hampton</dc:creator>
  <cp:lastModifiedBy>Laura Hampton</cp:lastModifiedBy>
  <dcterms:created xsi:type="dcterms:W3CDTF">2021-11-22T15:32:04Z</dcterms:created>
  <dcterms:modified xsi:type="dcterms:W3CDTF">2021-11-23T14:57:11Z</dcterms:modified>
</cp:coreProperties>
</file>