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hydroone.sharepoint.com/sites/JRAP/Interrogatories/"/>
    </mc:Choice>
  </mc:AlternateContent>
  <bookViews>
    <workbookView xWindow="0" yWindow="0" windowWidth="28800" windowHeight="11870"/>
  </bookViews>
  <sheets>
    <sheet name="Cover" sheetId="2" r:id="rId1"/>
    <sheet name="Input Sheet" sheetId="1" r:id="rId2"/>
    <sheet name="ACF Calc" sheetId="4" r:id="rId3"/>
    <sheet name="Financial Assumptions" sheetId="3" r:id="rId4"/>
  </sheets>
  <definedNames>
    <definedName name="_xlnm.Print_Area" localSheetId="1">'Input Sheet'!$A$9:$L$42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3" i="1" l="1"/>
  <c r="H33" i="1"/>
  <c r="J36" i="1"/>
  <c r="B34" i="1"/>
  <c r="F40" i="1"/>
  <c r="D40" i="1"/>
  <c r="H40" i="1"/>
  <c r="H17" i="1"/>
  <c r="H16" i="1"/>
  <c r="D24" i="1"/>
  <c r="D25" i="1" s="1"/>
  <c r="F24" i="1"/>
  <c r="F25" i="1" s="1"/>
  <c r="F17" i="1"/>
  <c r="F7" i="4" l="1"/>
  <c r="F8" i="4" s="1"/>
  <c r="E7" i="4"/>
  <c r="E8" i="4" s="1"/>
  <c r="D7" i="4"/>
  <c r="C7" i="4"/>
  <c r="C8" i="4" s="1"/>
  <c r="B7" i="4"/>
  <c r="B8" i="4" s="1"/>
  <c r="E6" i="4"/>
  <c r="D6" i="4"/>
  <c r="C6" i="4"/>
  <c r="B6" i="4"/>
  <c r="F3" i="4"/>
  <c r="E3" i="4"/>
  <c r="D3" i="4"/>
  <c r="C3" i="4"/>
  <c r="B3" i="4"/>
  <c r="F2" i="4"/>
  <c r="F5" i="4" s="1"/>
  <c r="E2" i="4"/>
  <c r="E9" i="4" s="1"/>
  <c r="D2" i="4"/>
  <c r="C2" i="4"/>
  <c r="B2" i="4"/>
  <c r="B9" i="4" s="1"/>
  <c r="B5" i="4"/>
  <c r="D9" i="4"/>
  <c r="C9" i="4"/>
  <c r="D8" i="4"/>
  <c r="E5" i="4"/>
  <c r="D5" i="4"/>
  <c r="C5" i="4"/>
  <c r="F9" i="4" l="1"/>
  <c r="F6" i="4"/>
  <c r="D4" i="4"/>
  <c r="C4" i="4"/>
  <c r="B4" i="4"/>
  <c r="B21" i="3"/>
  <c r="J39" i="1"/>
  <c r="B36" i="1"/>
  <c r="B39" i="1" s="1"/>
  <c r="J35" i="1"/>
  <c r="H35" i="1"/>
  <c r="F35" i="1"/>
  <c r="D35" i="1"/>
  <c r="B35" i="1"/>
  <c r="H34" i="1"/>
  <c r="F34" i="1"/>
  <c r="D34" i="1"/>
  <c r="B33" i="1"/>
  <c r="J31" i="1"/>
  <c r="H31" i="1"/>
  <c r="F31" i="1"/>
  <c r="D31" i="1"/>
  <c r="B31" i="1"/>
  <c r="J20" i="1"/>
  <c r="H20" i="1"/>
  <c r="F20" i="1"/>
  <c r="D20" i="1"/>
  <c r="J18" i="1"/>
  <c r="J23" i="1" s="1"/>
  <c r="F18" i="1"/>
  <c r="H18" i="1"/>
  <c r="D17" i="1"/>
  <c r="D18" i="1" s="1"/>
  <c r="D23" i="1" s="1"/>
  <c r="B17" i="1"/>
  <c r="B18" i="1" s="1"/>
  <c r="B23" i="1" s="1"/>
  <c r="F16" i="1"/>
  <c r="D16" i="1"/>
  <c r="D33" i="1" s="1"/>
  <c r="C11" i="4" l="1"/>
  <c r="D22" i="1" s="1"/>
  <c r="D38" i="1" s="1"/>
  <c r="D11" i="4"/>
  <c r="F22" i="1" s="1"/>
  <c r="F38" i="1" s="1"/>
  <c r="B11" i="4"/>
  <c r="B22" i="1" s="1"/>
  <c r="B38" i="1" s="1"/>
  <c r="B40" i="1" s="1"/>
  <c r="E4" i="4"/>
  <c r="F4" i="4"/>
  <c r="F11" i="4" s="1"/>
  <c r="J22" i="1" s="1"/>
  <c r="F14" i="1"/>
  <c r="D36" i="1"/>
  <c r="F36" i="1"/>
  <c r="F39" i="1" s="1"/>
  <c r="H23" i="1"/>
  <c r="F23" i="1"/>
  <c r="H14" i="1"/>
  <c r="J14" i="1"/>
  <c r="F33" i="1"/>
  <c r="B14" i="1"/>
  <c r="D14" i="1"/>
  <c r="J24" i="1" l="1"/>
  <c r="J26" i="1" s="1"/>
  <c r="J38" i="1"/>
  <c r="J40" i="1" s="1"/>
  <c r="D41" i="1"/>
  <c r="H41" i="1"/>
  <c r="F41" i="1"/>
  <c r="B24" i="1"/>
  <c r="E11" i="4"/>
  <c r="H22" i="1" s="1"/>
  <c r="H36" i="1"/>
  <c r="H39" i="1" s="1"/>
  <c r="D39" i="1"/>
  <c r="J42" i="1" l="1"/>
  <c r="J41" i="1"/>
  <c r="J25" i="1"/>
  <c r="H38" i="1"/>
  <c r="H24" i="1"/>
  <c r="H25" i="1" s="1"/>
  <c r="H42" i="1"/>
  <c r="D42" i="1" l="1"/>
  <c r="F42" i="1"/>
  <c r="B42" i="1"/>
  <c r="F26" i="1"/>
  <c r="D26" i="1"/>
  <c r="H26" i="1"/>
  <c r="A27" i="1"/>
  <c r="B26" i="1"/>
</calcChain>
</file>

<file path=xl/sharedStrings.xml><?xml version="1.0" encoding="utf-8"?>
<sst xmlns="http://schemas.openxmlformats.org/spreadsheetml/2006/main" count="80" uniqueCount="64">
  <si>
    <t>Date</t>
  </si>
  <si>
    <t>Planner</t>
  </si>
  <si>
    <t>Study  Title</t>
  </si>
  <si>
    <t>Line Refurbishment Example</t>
  </si>
  <si>
    <t>Comments on Study</t>
  </si>
  <si>
    <t xml:space="preserve">SCREENING </t>
  </si>
  <si>
    <t>Note: Use actual dollars, not $k or $M</t>
  </si>
  <si>
    <t>Least Capital Expenditures</t>
  </si>
  <si>
    <t>Most Capital Expenditures</t>
  </si>
  <si>
    <t>Option 1</t>
  </si>
  <si>
    <t>Option 2</t>
  </si>
  <si>
    <t>Option 3</t>
  </si>
  <si>
    <t>Option 4</t>
  </si>
  <si>
    <t>Option 5</t>
  </si>
  <si>
    <t>Option Name</t>
  </si>
  <si>
    <t>Alternative 1 – 795 kcmil</t>
  </si>
  <si>
    <t>Alternative 2 – 997.2 kcmil</t>
  </si>
  <si>
    <t>Alternative 3 – 1192.5 kcmil</t>
  </si>
  <si>
    <t>Alternative 4 – 1443.7 kcmil</t>
  </si>
  <si>
    <t xml:space="preserve"> </t>
  </si>
  <si>
    <t>Original rank</t>
  </si>
  <si>
    <t>Capital Cost</t>
  </si>
  <si>
    <t>Losses at Peak Flow (MW)</t>
  </si>
  <si>
    <t>Annual Losses assuming Peak (MWHR)</t>
  </si>
  <si>
    <t>Incremental Annual OM&amp;A</t>
  </si>
  <si>
    <t>HOEP ($/MWHR)</t>
  </si>
  <si>
    <t xml:space="preserve">Annual Revenue Cost (ARC) </t>
  </si>
  <si>
    <t>Cost of annual losses (CAL)</t>
  </si>
  <si>
    <t>Preliminary Total Annual Cost</t>
  </si>
  <si>
    <t>Less Than Option One?</t>
  </si>
  <si>
    <t>Revised Rank</t>
  </si>
  <si>
    <t>Fill in Detailed section below if Losses change Ranking</t>
  </si>
  <si>
    <t>DETAILED</t>
  </si>
  <si>
    <t>Annual Losses ( MWHR - Detail)</t>
  </si>
  <si>
    <t>Total Annual Cost</t>
  </si>
  <si>
    <t>Detailed Rank</t>
  </si>
  <si>
    <t>DISCOUNT RATE INPUTS:</t>
  </si>
  <si>
    <t>Capital Structure:</t>
  </si>
  <si>
    <t>Third-Party Long-term Debt Ratio</t>
  </si>
  <si>
    <t>Deemed Long-term Debt Ratio</t>
  </si>
  <si>
    <t>Short-term Debt Ratio</t>
  </si>
  <si>
    <t>Common Equity</t>
  </si>
  <si>
    <t>Allowed Return:</t>
  </si>
  <si>
    <t>Return on Equity</t>
  </si>
  <si>
    <t>TAX INPUTS:</t>
  </si>
  <si>
    <t>Federal Income Tax Rate</t>
  </si>
  <si>
    <t>Ontario Income Tax Rate</t>
  </si>
  <si>
    <t>Income Tax rate</t>
  </si>
  <si>
    <t>Discount Rate</t>
  </si>
  <si>
    <t>CCA Rates</t>
  </si>
  <si>
    <t>Class 47</t>
  </si>
  <si>
    <t>Estimated Rate Base</t>
  </si>
  <si>
    <t>Incremental OM&amp;A Costs</t>
  </si>
  <si>
    <t>Depreciation</t>
  </si>
  <si>
    <t>LT Debt</t>
  </si>
  <si>
    <t>ST Debt</t>
  </si>
  <si>
    <t>Required ROE</t>
  </si>
  <si>
    <t>Tax Gross up on ROE</t>
  </si>
  <si>
    <t>Rough CCA Tax Shield</t>
  </si>
  <si>
    <t xml:space="preserve">Annual cost factor </t>
  </si>
  <si>
    <t>Hydro One Transmission Losses Assessment Tool</t>
  </si>
  <si>
    <t xml:space="preserve">Version: </t>
  </si>
  <si>
    <t>20Alpha</t>
  </si>
  <si>
    <t>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</si>
</sst>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4" formatCode="_(&quot;$&quot;* #,##0.00_);_(&quot;$&quot;* \(#,##0.00\);_(&quot;$&quot;* &quot;-&quot;??_);_(@_)"/>
    <numFmt numFmtId="164" formatCode="0.0%"/>
    <numFmt numFmtId="165" formatCode="_(&quot;$&quot;* #,##0.0000_);_(&quot;$&quot;* \(#,##0.0000\);_(&quot;$&quot;* &quot;-&quot;??_);_(@_)"/>
    <numFmt numFmtId="166" formatCode="_(&quot;$&quot;* #,##0.000_);_(&quot;$&quot;* \(#,##0.000\);_(&quot;$&quot;* &quot;-&quot;??_);_(@_)"/>
    <numFmt numFmtId="167" formatCode="[$-409]mmmm\ d\,\ yyyy;@"/>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Arial"/>
      <family val="2"/>
    </font>
    <font>
      <sz val="10"/>
      <color theme="1"/>
      <name val="Arial"/>
      <family val="2"/>
    </font>
    <font>
      <sz val="12"/>
      <color theme="1"/>
      <name val="Arial"/>
      <family val="2"/>
    </font>
    <font>
      <b/>
      <sz val="12"/>
      <color theme="1"/>
      <name val="Calibri"/>
      <family val="2"/>
      <scheme val="minor"/>
    </font>
    <font>
      <b/>
      <sz val="18"/>
      <color rgb="FFFF0000"/>
      <name val="Calibri"/>
      <family val="2"/>
      <scheme val="minor"/>
    </font>
    <font>
      <i/>
      <sz val="12"/>
      <color theme="1"/>
      <name val="Arial"/>
      <family val="2"/>
    </font>
    <font>
      <sz val="12"/>
      <name val="Arial"/>
      <family val="2"/>
    </font>
    <font>
      <sz val="12"/>
      <color theme="1"/>
      <name val="Calibri"/>
      <family val="2"/>
      <scheme val="minor"/>
    </font>
    <font>
      <b/>
      <sz val="9"/>
      <color theme="1"/>
      <name val="Calibri"/>
      <family val="2"/>
      <scheme val="minor"/>
    </font>
    <font>
      <b/>
      <sz val="12"/>
      <name val="Arial"/>
      <family val="2"/>
    </font>
    <font>
      <b/>
      <sz val="20"/>
      <color rgb="FFFF0000"/>
      <name val="Calibri"/>
      <family val="2"/>
      <scheme val="minor"/>
    </font>
    <font>
      <b/>
      <sz val="10"/>
      <color theme="1"/>
      <name val="Arial"/>
      <family val="2"/>
    </font>
    <font>
      <sz val="10"/>
      <name val="Arial"/>
      <family val="2"/>
    </font>
    <font>
      <b/>
      <sz val="10"/>
      <name val="Arial"/>
      <family val="2"/>
    </font>
    <font>
      <sz val="7"/>
      <name val="Helv"/>
    </font>
    <font>
      <sz val="7"/>
      <name val="Arial"/>
      <family val="2"/>
    </font>
    <font>
      <b/>
      <sz val="11"/>
      <name val="Arial"/>
      <family val="2"/>
    </font>
    <font>
      <sz val="11"/>
      <name val="Arial"/>
      <family val="2"/>
    </font>
  </fonts>
  <fills count="6">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rgb="FF0DCAE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1" fontId="15" fillId="0" borderId="0" applyFont="0" applyFill="0" applyBorder="0" applyAlignment="0" applyProtection="0"/>
    <xf numFmtId="0" fontId="17" fillId="0" borderId="0"/>
  </cellStyleXfs>
  <cellXfs count="67">
    <xf numFmtId="0" fontId="0" fillId="0" borderId="0" xfId="0"/>
    <xf numFmtId="0" fontId="3" fillId="2" borderId="0" xfId="0" applyFont="1" applyFill="1" applyAlignment="1">
      <alignment horizontal="left" vertical="center" wrapText="1"/>
    </xf>
    <xf numFmtId="0" fontId="4" fillId="0" borderId="0" xfId="0" applyFont="1" applyAlignment="1">
      <alignment wrapText="1"/>
    </xf>
    <xf numFmtId="0" fontId="3" fillId="0" borderId="0" xfId="0" applyFont="1" applyAlignment="1">
      <alignment horizontal="left" vertical="center" wrapText="1"/>
    </xf>
    <xf numFmtId="0" fontId="5" fillId="0" borderId="0" xfId="0" applyFont="1" applyAlignment="1">
      <alignment wrapText="1"/>
    </xf>
    <xf numFmtId="0" fontId="3" fillId="2" borderId="0" xfId="0" applyFont="1" applyFill="1" applyAlignment="1">
      <alignment horizontal="center" vertical="center" wrapText="1"/>
    </xf>
    <xf numFmtId="164" fontId="9" fillId="3" borderId="2" xfId="2" applyNumberFormat="1" applyFont="1" applyFill="1" applyBorder="1" applyAlignment="1" applyProtection="1">
      <alignment horizontal="center" vertical="center" wrapText="1"/>
      <protection locked="0"/>
    </xf>
    <xf numFmtId="37" fontId="10" fillId="0" borderId="0" xfId="1" applyNumberFormat="1" applyFont="1" applyAlignment="1" applyProtection="1">
      <alignment horizontal="center"/>
    </xf>
    <xf numFmtId="164" fontId="9" fillId="0" borderId="0" xfId="2" applyNumberFormat="1" applyFont="1" applyFill="1" applyBorder="1" applyAlignment="1" applyProtection="1">
      <alignment vertical="center" wrapText="1"/>
    </xf>
    <xf numFmtId="44" fontId="9" fillId="3" borderId="2" xfId="1" applyFont="1" applyFill="1" applyBorder="1" applyAlignment="1" applyProtection="1">
      <alignment horizontal="center"/>
      <protection locked="0"/>
    </xf>
    <xf numFmtId="39" fontId="9" fillId="3" borderId="2" xfId="1" applyNumberFormat="1" applyFont="1" applyFill="1" applyBorder="1" applyAlignment="1" applyProtection="1">
      <alignment horizontal="right"/>
      <protection locked="0"/>
    </xf>
    <xf numFmtId="39" fontId="9" fillId="0" borderId="2" xfId="1" applyNumberFormat="1" applyFont="1" applyFill="1" applyBorder="1" applyAlignment="1" applyProtection="1">
      <alignment horizontal="right"/>
      <protection locked="0"/>
    </xf>
    <xf numFmtId="165" fontId="9" fillId="3" borderId="2" xfId="1" applyNumberFormat="1" applyFont="1" applyFill="1" applyBorder="1" applyAlignment="1" applyProtection="1">
      <alignment horizontal="center"/>
      <protection locked="0"/>
    </xf>
    <xf numFmtId="0" fontId="0" fillId="2" borderId="0" xfId="0" applyFill="1" applyAlignment="1">
      <alignment horizontal="center"/>
    </xf>
    <xf numFmtId="164" fontId="9" fillId="4" borderId="2" xfId="2" applyNumberFormat="1" applyFont="1" applyFill="1" applyBorder="1" applyAlignment="1" applyProtection="1">
      <alignment horizontal="center" vertical="center" wrapText="1"/>
      <protection locked="0"/>
    </xf>
    <xf numFmtId="44" fontId="9" fillId="0" borderId="2" xfId="1" applyFont="1" applyFill="1" applyBorder="1" applyAlignment="1" applyProtection="1">
      <alignment horizontal="center"/>
      <protection locked="0"/>
    </xf>
    <xf numFmtId="165" fontId="9" fillId="0" borderId="2" xfId="1" applyNumberFormat="1" applyFont="1" applyFill="1" applyBorder="1" applyAlignment="1" applyProtection="1">
      <alignment horizontal="center"/>
      <protection locked="0"/>
    </xf>
    <xf numFmtId="0" fontId="0" fillId="2" borderId="0" xfId="0" applyFill="1"/>
    <xf numFmtId="166" fontId="9" fillId="4" borderId="2" xfId="1" applyNumberFormat="1" applyFont="1" applyFill="1" applyBorder="1" applyAlignment="1" applyProtection="1">
      <alignment horizontal="center"/>
    </xf>
    <xf numFmtId="44" fontId="12" fillId="3" borderId="2" xfId="1" applyFont="1" applyFill="1" applyBorder="1" applyAlignment="1" applyProtection="1">
      <alignment horizontal="center"/>
      <protection locked="0"/>
    </xf>
    <xf numFmtId="0" fontId="0" fillId="4" borderId="0" xfId="0" applyFill="1"/>
    <xf numFmtId="0" fontId="0" fillId="4" borderId="0" xfId="0" applyFill="1" applyAlignment="1">
      <alignment horizontal="center"/>
    </xf>
    <xf numFmtId="0" fontId="11" fillId="4" borderId="0" xfId="0" applyFont="1" applyFill="1" applyAlignment="1">
      <alignment horizontal="center" vertical="center" wrapText="1"/>
    </xf>
    <xf numFmtId="0" fontId="3" fillId="4" borderId="0" xfId="0" applyFont="1" applyFill="1" applyAlignment="1">
      <alignment horizontal="left" vertical="center" wrapText="1"/>
    </xf>
    <xf numFmtId="0" fontId="3" fillId="4" borderId="0" xfId="0" applyFont="1" applyFill="1" applyAlignment="1">
      <alignment horizontal="center" vertical="center" wrapText="1"/>
    </xf>
    <xf numFmtId="0" fontId="4" fillId="4" borderId="0" xfId="0" applyFont="1" applyFill="1" applyAlignment="1">
      <alignment wrapText="1"/>
    </xf>
    <xf numFmtId="0" fontId="5" fillId="4" borderId="0" xfId="0" applyFont="1" applyFill="1" applyAlignment="1">
      <alignment wrapText="1"/>
    </xf>
    <xf numFmtId="0" fontId="0" fillId="4" borderId="0" xfId="0" applyFill="1" applyAlignment="1">
      <alignment wrapText="1"/>
    </xf>
    <xf numFmtId="0" fontId="13" fillId="4" borderId="0" xfId="0" applyFont="1" applyFill="1"/>
    <xf numFmtId="0" fontId="3" fillId="4" borderId="0" xfId="0" applyFont="1" applyFill="1"/>
    <xf numFmtId="37" fontId="10" fillId="4" borderId="0" xfId="1" applyNumberFormat="1" applyFont="1" applyFill="1" applyAlignment="1" applyProtection="1">
      <alignment horizontal="center"/>
    </xf>
    <xf numFmtId="164" fontId="9" fillId="4" borderId="0" xfId="2" applyNumberFormat="1" applyFont="1" applyFill="1" applyBorder="1" applyAlignment="1" applyProtection="1">
      <alignment vertical="center" wrapText="1"/>
    </xf>
    <xf numFmtId="0" fontId="5" fillId="4" borderId="0" xfId="0" applyFont="1" applyFill="1"/>
    <xf numFmtId="0" fontId="10" fillId="4" borderId="0" xfId="0" applyFont="1" applyFill="1"/>
    <xf numFmtId="0" fontId="4" fillId="4" borderId="0" xfId="0" applyFont="1" applyFill="1"/>
    <xf numFmtId="0" fontId="6" fillId="4" borderId="0" xfId="0" applyFont="1" applyFill="1"/>
    <xf numFmtId="0" fontId="10" fillId="4" borderId="0" xfId="0" applyFont="1" applyFill="1" applyAlignment="1">
      <alignment horizontal="center"/>
    </xf>
    <xf numFmtId="44" fontId="10" fillId="4" borderId="0" xfId="1" applyFont="1" applyFill="1" applyAlignment="1" applyProtection="1">
      <alignment horizontal="center"/>
    </xf>
    <xf numFmtId="44" fontId="10" fillId="4" borderId="0" xfId="1" applyFont="1" applyFill="1" applyProtection="1"/>
    <xf numFmtId="0" fontId="8" fillId="4" borderId="0" xfId="0" applyFont="1" applyFill="1"/>
    <xf numFmtId="0" fontId="14" fillId="4" borderId="0" xfId="0" applyFont="1" applyFill="1"/>
    <xf numFmtId="0" fontId="4" fillId="4" borderId="0" xfId="0" applyFont="1" applyFill="1" applyAlignment="1">
      <alignment horizontal="center"/>
    </xf>
    <xf numFmtId="0" fontId="14" fillId="4" borderId="0" xfId="0" applyFont="1" applyFill="1" applyAlignment="1">
      <alignment horizontal="center"/>
    </xf>
    <xf numFmtId="0" fontId="4" fillId="4" borderId="0" xfId="0" applyFont="1" applyFill="1" applyAlignment="1">
      <alignment horizontal="left" indent="1"/>
    </xf>
    <xf numFmtId="9" fontId="0" fillId="4" borderId="0" xfId="0" applyNumberFormat="1" applyFill="1"/>
    <xf numFmtId="0" fontId="2" fillId="4" borderId="0" xfId="0" applyFont="1" applyFill="1" applyAlignment="1">
      <alignment horizontal="center"/>
    </xf>
    <xf numFmtId="41" fontId="15" fillId="4" borderId="3" xfId="3" applyFont="1" applyFill="1" applyBorder="1" applyProtection="1"/>
    <xf numFmtId="44" fontId="0" fillId="4" borderId="0" xfId="1" applyFont="1" applyFill="1"/>
    <xf numFmtId="41" fontId="16" fillId="4" borderId="0" xfId="3" applyFont="1" applyFill="1" applyBorder="1" applyAlignment="1" applyProtection="1">
      <alignment vertical="center"/>
    </xf>
    <xf numFmtId="0" fontId="18" fillId="5" borderId="4" xfId="4" applyFont="1" applyFill="1" applyBorder="1"/>
    <xf numFmtId="0" fontId="18" fillId="5" borderId="5" xfId="4" applyFont="1" applyFill="1" applyBorder="1"/>
    <xf numFmtId="0" fontId="18" fillId="5" borderId="6" xfId="4" applyFont="1" applyFill="1" applyBorder="1"/>
    <xf numFmtId="0" fontId="19" fillId="5" borderId="3" xfId="4" applyFont="1" applyFill="1" applyBorder="1"/>
    <xf numFmtId="0" fontId="18" fillId="5" borderId="0" xfId="4" applyFont="1" applyFill="1"/>
    <xf numFmtId="0" fontId="18" fillId="5" borderId="7" xfId="4" applyFont="1" applyFill="1" applyBorder="1"/>
    <xf numFmtId="0" fontId="20" fillId="5" borderId="3" xfId="4" applyFont="1" applyFill="1" applyBorder="1"/>
    <xf numFmtId="0" fontId="20" fillId="5" borderId="0" xfId="4" applyFont="1" applyFill="1"/>
    <xf numFmtId="0" fontId="18" fillId="5" borderId="8" xfId="4" applyFont="1" applyFill="1" applyBorder="1"/>
    <xf numFmtId="0" fontId="18" fillId="5" borderId="9" xfId="4" applyFont="1" applyFill="1" applyBorder="1"/>
    <xf numFmtId="0" fontId="18" fillId="5" borderId="10" xfId="4" applyFont="1" applyFill="1" applyBorder="1"/>
    <xf numFmtId="164" fontId="4" fillId="3" borderId="1" xfId="2" applyNumberFormat="1" applyFont="1" applyFill="1" applyBorder="1" applyAlignment="1" applyProtection="1">
      <alignment horizontal="center"/>
    </xf>
    <xf numFmtId="10" fontId="4" fillId="3" borderId="1" xfId="2" applyNumberFormat="1" applyFont="1" applyFill="1" applyBorder="1" applyAlignment="1" applyProtection="1">
      <alignment horizontal="center"/>
    </xf>
    <xf numFmtId="167" fontId="20" fillId="5" borderId="3" xfId="4" quotePrefix="1" applyNumberFormat="1" applyFont="1" applyFill="1" applyBorder="1" applyAlignment="1">
      <alignment horizontal="left"/>
    </xf>
    <xf numFmtId="167" fontId="20" fillId="5" borderId="0" xfId="4" quotePrefix="1" applyNumberFormat="1" applyFont="1" applyFill="1" applyAlignment="1">
      <alignment horizontal="left"/>
    </xf>
    <xf numFmtId="0" fontId="7" fillId="4" borderId="0" xfId="0" applyFont="1" applyFill="1" applyAlignment="1">
      <alignment horizontal="center"/>
    </xf>
    <xf numFmtId="15" fontId="0" fillId="3" borderId="1" xfId="0" applyNumberFormat="1" applyFill="1" applyBorder="1" applyAlignment="1">
      <alignment horizontal="center"/>
    </xf>
    <xf numFmtId="0" fontId="0" fillId="0" borderId="1" xfId="0" applyBorder="1"/>
  </cellXfs>
  <cellStyles count="5">
    <cellStyle name="Comma [0] 2" xfId="3"/>
    <cellStyle name="Currency" xfId="1" builtinId="4"/>
    <cellStyle name="Normal" xfId="0" builtinId="0"/>
    <cellStyle name="Normal 2" xfId="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317500</xdr:colOff>
          <xdr:row>1</xdr:row>
          <xdr:rowOff>76200</xdr:rowOff>
        </xdr:from>
        <xdr:to>
          <xdr:col>8</xdr:col>
          <xdr:colOff>184150</xdr:colOff>
          <xdr:row>4</xdr:row>
          <xdr:rowOff>12700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0</xdr:colOff>
      <xdr:row>6</xdr:row>
      <xdr:rowOff>0</xdr:rowOff>
    </xdr:from>
    <xdr:to>
      <xdr:col>9</xdr:col>
      <xdr:colOff>188844</xdr:colOff>
      <xdr:row>21</xdr:row>
      <xdr:rowOff>57298</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1111250"/>
          <a:ext cx="5675244" cy="28195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itchFamily="34" charset="0"/>
              <a:cs typeface="Arial" pitchFamily="34" charset="0"/>
            </a:rPr>
            <a:t>Overview and Key Assumptions</a:t>
          </a:r>
        </a:p>
        <a:p>
          <a:endParaRPr lang="en-US" sz="1100" b="0">
            <a:latin typeface="Arial" pitchFamily="34" charset="0"/>
            <a:cs typeface="Arial" pitchFamily="34" charset="0"/>
          </a:endParaRPr>
        </a:p>
        <a:p>
          <a:r>
            <a:rPr lang="en-US" sz="1100" b="0">
              <a:latin typeface="Arial" pitchFamily="34" charset="0"/>
              <a:cs typeface="Arial" pitchFamily="34" charset="0"/>
            </a:rPr>
            <a:t>The Hydro One Transmission Losses Assessment Tool</a:t>
          </a:r>
          <a:r>
            <a:rPr lang="en-US" sz="1100" b="0" baseline="0">
              <a:latin typeface="Arial" pitchFamily="34" charset="0"/>
              <a:cs typeface="Arial" pitchFamily="34" charset="0"/>
            </a:rPr>
            <a:t> is to assist the Planner to consider </a:t>
          </a:r>
          <a:r>
            <a:rPr lang="en-US" sz="1100" b="0">
              <a:solidFill>
                <a:schemeClr val="dk1"/>
              </a:solidFill>
              <a:effectLst/>
              <a:latin typeface="Arial" panose="020B0604020202020204" pitchFamily="34" charset="0"/>
              <a:ea typeface="+mn-ea"/>
              <a:cs typeface="Arial" panose="020B0604020202020204" pitchFamily="34" charset="0"/>
            </a:rPr>
            <a:t>Transmission Line Loss Option Analysis  when a  transmission line investment  alternatives are being considered.</a:t>
          </a:r>
        </a:p>
        <a:p>
          <a:r>
            <a:rPr lang="en-US" sz="1100" b="0">
              <a:latin typeface="Arial" pitchFamily="34" charset="0"/>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a:latin typeface="Arial" pitchFamily="34" charset="0"/>
              <a:cs typeface="Arial" pitchFamily="34" charset="0"/>
            </a:rPr>
            <a:t>The methodology and assumptions are consistent with the </a:t>
          </a:r>
          <a:r>
            <a:rPr lang="en-US" sz="1100" b="0">
              <a:solidFill>
                <a:schemeClr val="dk1"/>
              </a:solidFill>
              <a:effectLst/>
              <a:latin typeface="Arial" panose="020B0604020202020204" pitchFamily="34" charset="0"/>
              <a:ea typeface="+mn-ea"/>
              <a:cs typeface="Arial" panose="020B0604020202020204" pitchFamily="34" charset="0"/>
            </a:rPr>
            <a:t>Transmission Line Loss Guideline </a:t>
          </a:r>
          <a:r>
            <a:rPr lang="en-US" sz="1100" b="0">
              <a:latin typeface="Arial" pitchFamily="34" charset="0"/>
              <a:cs typeface="Arial" pitchFamily="34" charset="0"/>
            </a:rPr>
            <a:t>jointly developed by Hydro One and the IESO</a:t>
          </a:r>
          <a:r>
            <a:rPr lang="en-US" sz="1100" b="0" baseline="0">
              <a:latin typeface="Arial" pitchFamily="34" charset="0"/>
              <a:cs typeface="Arial" pitchFamily="34" charset="0"/>
            </a:rPr>
            <a:t> in order to s</a:t>
          </a:r>
          <a:r>
            <a:rPr lang="en-US" sz="1100" b="0">
              <a:solidFill>
                <a:schemeClr val="dk1"/>
              </a:solidFill>
              <a:effectLst/>
              <a:latin typeface="Arial" panose="020B0604020202020204" pitchFamily="34" charset="0"/>
              <a:ea typeface="+mn-ea"/>
              <a:cs typeface="Arial" panose="020B0604020202020204" pitchFamily="34" charset="0"/>
            </a:rPr>
            <a:t>atisfy the Ontario Energy Board’s direction in EB-2019-0082 in respect of transmission line losses.</a:t>
          </a:r>
          <a:r>
            <a:rPr lang="en-US" sz="1100" b="0">
              <a:latin typeface="Arial" pitchFamily="34" charset="0"/>
              <a:cs typeface="Arial" pitchFamily="34" charset="0"/>
            </a:rPr>
            <a:t> </a:t>
          </a:r>
        </a:p>
        <a:p>
          <a:endParaRPr lang="en-US" sz="1100" b="0">
            <a:latin typeface="Arial" pitchFamily="34" charset="0"/>
            <a:cs typeface="Arial" pitchFamily="34" charset="0"/>
          </a:endParaRPr>
        </a:p>
        <a:p>
          <a:r>
            <a:rPr lang="en-US" sz="1100" b="0">
              <a:latin typeface="Arial" pitchFamily="34" charset="0"/>
              <a:cs typeface="Arial" pitchFamily="34" charset="0"/>
            </a:rPr>
            <a:t>All inputs are entered in the Inputs tab. The Planner shall input the investment alternatives in ascending order by the Planner’s estimated capital investment cost of each alternative.  Once the necessary inputs are completed, the necessary calculations will be executed.   If the calculations are within the</a:t>
          </a:r>
          <a:r>
            <a:rPr lang="en-US" sz="1100" b="0" baseline="0">
              <a:latin typeface="Arial" pitchFamily="34" charset="0"/>
              <a:cs typeface="Arial" pitchFamily="34" charset="0"/>
            </a:rPr>
            <a:t> required tolerances, please contact your financial advisor for a full NPV.</a:t>
          </a:r>
          <a:endParaRPr lang="en-US" sz="1100" b="0">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5"/>
  <sheetViews>
    <sheetView tabSelected="1" view="pageBreakPreview" zoomScale="60" zoomScaleNormal="100" workbookViewId="0">
      <selection activeCell="K1" sqref="K1"/>
    </sheetView>
  </sheetViews>
  <sheetFormatPr defaultColWidth="8.7265625" defaultRowHeight="14.5" x14ac:dyDescent="0.35"/>
  <cols>
    <col min="1" max="16384" width="8.7265625" style="20"/>
  </cols>
  <sheetData>
    <row r="1" spans="1:6" x14ac:dyDescent="0.35">
      <c r="A1" s="49"/>
      <c r="B1" s="50"/>
      <c r="C1" s="50"/>
      <c r="D1" s="50"/>
      <c r="E1" s="50"/>
      <c r="F1" s="51"/>
    </row>
    <row r="2" spans="1:6" x14ac:dyDescent="0.35">
      <c r="A2" s="52" t="s">
        <v>60</v>
      </c>
      <c r="B2" s="53"/>
      <c r="C2" s="53"/>
      <c r="D2" s="53"/>
      <c r="E2" s="53"/>
      <c r="F2" s="54"/>
    </row>
    <row r="3" spans="1:6" x14ac:dyDescent="0.35">
      <c r="A3" s="55" t="s">
        <v>61</v>
      </c>
      <c r="B3" s="56" t="s">
        <v>62</v>
      </c>
      <c r="C3" s="53"/>
      <c r="D3" s="53"/>
      <c r="E3" s="53"/>
      <c r="F3" s="54"/>
    </row>
    <row r="4" spans="1:6" x14ac:dyDescent="0.35">
      <c r="A4" s="62"/>
      <c r="B4" s="63"/>
      <c r="C4" s="63"/>
      <c r="D4" s="53"/>
      <c r="E4" s="53"/>
      <c r="F4" s="54"/>
    </row>
    <row r="5" spans="1:6" ht="15" thickBot="1" x14ac:dyDescent="0.4">
      <c r="A5" s="57"/>
      <c r="B5" s="58"/>
      <c r="C5" s="58"/>
      <c r="D5" s="58"/>
      <c r="E5" s="58"/>
      <c r="F5" s="59"/>
    </row>
  </sheetData>
  <mergeCells count="1">
    <mergeCell ref="A4:C4"/>
  </mergeCells>
  <printOptions horizontalCentered="1"/>
  <pageMargins left="0.7" right="0.7" top="0.75" bottom="0.75" header="0.3" footer="0.3"/>
  <pageSetup orientation="portrait" r:id="rId1"/>
  <drawing r:id="rId2"/>
  <legacyDrawing r:id="rId3"/>
  <oleObjects>
    <mc:AlternateContent xmlns:mc="http://schemas.openxmlformats.org/markup-compatibility/2006">
      <mc:Choice Requires="x14">
        <oleObject progId="MSPhotoEd.3" shapeId="1025" r:id="rId4">
          <objectPr defaultSize="0" autoPict="0" r:id="rId5">
            <anchor moveWithCells="1" sizeWithCells="1">
              <from>
                <xdr:col>6</xdr:col>
                <xdr:colOff>317500</xdr:colOff>
                <xdr:row>1</xdr:row>
                <xdr:rowOff>76200</xdr:rowOff>
              </from>
              <to>
                <xdr:col>8</xdr:col>
                <xdr:colOff>184150</xdr:colOff>
                <xdr:row>4</xdr:row>
                <xdr:rowOff>12700</xdr:rowOff>
              </to>
            </anchor>
          </objectPr>
        </oleObject>
      </mc:Choice>
      <mc:Fallback>
        <oleObject progId="MSPhotoEd.3"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2"/>
  <sheetViews>
    <sheetView view="pageBreakPreview" zoomScale="60" zoomScaleNormal="73" workbookViewId="0">
      <selection activeCell="D40" sqref="D40"/>
    </sheetView>
  </sheetViews>
  <sheetFormatPr defaultColWidth="8.7265625" defaultRowHeight="14.5" x14ac:dyDescent="0.35"/>
  <cols>
    <col min="1" max="1" width="54.453125" style="20" customWidth="1"/>
    <col min="2" max="2" width="26.54296875" style="20" customWidth="1"/>
    <col min="3" max="3" width="11.453125" style="20" customWidth="1"/>
    <col min="4" max="4" width="26.54296875" style="20" customWidth="1"/>
    <col min="5" max="5" width="11.54296875" style="20" customWidth="1"/>
    <col min="6" max="6" width="26.54296875" style="20" customWidth="1"/>
    <col min="7" max="7" width="8.81640625" style="20" customWidth="1"/>
    <col min="8" max="8" width="22" style="20" customWidth="1"/>
    <col min="9" max="9" width="8.81640625" style="20"/>
    <col min="10" max="10" width="26.26953125" style="20" customWidth="1"/>
    <col min="11" max="16384" width="8.7265625" style="20"/>
  </cols>
  <sheetData>
    <row r="1" spans="1:12" ht="64" customHeight="1" x14ac:dyDescent="0.35">
      <c r="A1" s="20" t="s">
        <v>0</v>
      </c>
      <c r="B1" s="65"/>
      <c r="C1" s="66"/>
      <c r="D1" s="66"/>
    </row>
    <row r="2" spans="1:12" x14ac:dyDescent="0.35">
      <c r="A2" s="20" t="s">
        <v>1</v>
      </c>
      <c r="B2" s="65" t="s">
        <v>63</v>
      </c>
      <c r="C2" s="66"/>
      <c r="D2" s="66"/>
    </row>
    <row r="3" spans="1:12" ht="16" customHeight="1" x14ac:dyDescent="0.35">
      <c r="A3" s="20" t="s">
        <v>2</v>
      </c>
      <c r="B3" s="65" t="s">
        <v>3</v>
      </c>
      <c r="C3" s="66"/>
      <c r="D3" s="66"/>
    </row>
    <row r="4" spans="1:12" x14ac:dyDescent="0.35">
      <c r="A4" s="20" t="s">
        <v>4</v>
      </c>
      <c r="B4" s="21"/>
    </row>
    <row r="5" spans="1:12" ht="16" customHeight="1" x14ac:dyDescent="0.35">
      <c r="B5" s="21"/>
      <c r="D5" s="22"/>
      <c r="E5" s="22"/>
      <c r="F5" s="22"/>
      <c r="G5" s="22"/>
    </row>
    <row r="6" spans="1:12" x14ac:dyDescent="0.35">
      <c r="B6" s="21"/>
      <c r="D6" s="22"/>
      <c r="E6" s="22"/>
      <c r="F6" s="22"/>
      <c r="G6" s="22"/>
    </row>
    <row r="7" spans="1:12" ht="15" customHeight="1" x14ac:dyDescent="0.35">
      <c r="B7" s="21"/>
      <c r="D7" s="22"/>
      <c r="E7" s="22"/>
      <c r="F7" s="22"/>
      <c r="G7" s="22"/>
    </row>
    <row r="8" spans="1:12" x14ac:dyDescent="0.35">
      <c r="B8" s="21"/>
      <c r="D8" s="22"/>
      <c r="E8" s="22"/>
      <c r="F8" s="22"/>
      <c r="G8" s="22"/>
    </row>
    <row r="9" spans="1:12" ht="31" customHeight="1" x14ac:dyDescent="0.35">
      <c r="A9" s="1" t="s">
        <v>5</v>
      </c>
      <c r="B9" s="5"/>
      <c r="C9" s="17"/>
      <c r="D9" s="17"/>
      <c r="E9" s="17"/>
      <c r="F9" s="17"/>
      <c r="G9" s="17"/>
      <c r="H9" s="17"/>
      <c r="I9" s="17"/>
      <c r="J9" s="17"/>
    </row>
    <row r="10" spans="1:12" x14ac:dyDescent="0.35">
      <c r="B10" s="21"/>
    </row>
    <row r="11" spans="1:12" ht="14.5" customHeight="1" x14ac:dyDescent="0.35">
      <c r="A11" s="25" t="s">
        <v>6</v>
      </c>
      <c r="B11" s="24" t="s">
        <v>7</v>
      </c>
      <c r="C11" s="26"/>
      <c r="D11" s="26"/>
      <c r="E11" s="26"/>
      <c r="F11" s="27"/>
      <c r="G11" s="25"/>
      <c r="H11" s="27"/>
      <c r="I11" s="25"/>
      <c r="J11" s="24" t="s">
        <v>8</v>
      </c>
      <c r="K11" s="27"/>
      <c r="L11" s="27"/>
    </row>
    <row r="12" spans="1:12" ht="14.5" customHeight="1" thickBot="1" x14ac:dyDescent="0.4">
      <c r="A12" s="25"/>
      <c r="B12" s="24" t="s">
        <v>9</v>
      </c>
      <c r="C12" s="24"/>
      <c r="D12" s="24" t="s">
        <v>10</v>
      </c>
      <c r="E12" s="24"/>
      <c r="F12" s="24" t="s">
        <v>11</v>
      </c>
      <c r="G12" s="25"/>
      <c r="H12" s="24" t="s">
        <v>12</v>
      </c>
      <c r="I12" s="25"/>
      <c r="J12" s="24" t="s">
        <v>13</v>
      </c>
      <c r="K12" s="27"/>
      <c r="L12" s="27"/>
    </row>
    <row r="13" spans="1:12" ht="62.5" customHeight="1" thickBot="1" x14ac:dyDescent="0.65">
      <c r="A13" s="23" t="s">
        <v>14</v>
      </c>
      <c r="B13" s="6" t="s">
        <v>15</v>
      </c>
      <c r="C13" s="26"/>
      <c r="D13" s="6" t="s">
        <v>16</v>
      </c>
      <c r="E13" s="26"/>
      <c r="F13" s="6" t="s">
        <v>17</v>
      </c>
      <c r="G13" s="25"/>
      <c r="H13" s="6" t="s">
        <v>18</v>
      </c>
      <c r="I13" s="28" t="s">
        <v>19</v>
      </c>
      <c r="J13" s="6"/>
      <c r="K13" s="27"/>
      <c r="L13" s="27"/>
    </row>
    <row r="14" spans="1:12" ht="26" x14ac:dyDescent="0.6">
      <c r="A14" s="29" t="s">
        <v>20</v>
      </c>
      <c r="B14" s="30">
        <f>_xlfn.RANK.EQ(B16,($B$16:$J$16),1)</f>
        <v>2</v>
      </c>
      <c r="C14" s="26"/>
      <c r="D14" s="7">
        <f>_xlfn.RANK.EQ(D16,($B$16:$J$16),1)</f>
        <v>3</v>
      </c>
      <c r="E14" s="26"/>
      <c r="F14" s="30">
        <f>_xlfn.RANK.EQ(F16,($B$16:$J$16),1)</f>
        <v>4</v>
      </c>
      <c r="G14" s="25"/>
      <c r="H14" s="30">
        <f>_xlfn.RANK.EQ(H16,($B$16:$J$16),1)</f>
        <v>5</v>
      </c>
      <c r="I14" s="28"/>
      <c r="J14" s="30">
        <f>_xlfn.RANK.EQ(J16,($B$16:$J$16),1)</f>
        <v>1</v>
      </c>
      <c r="K14" s="27"/>
      <c r="L14" s="27"/>
    </row>
    <row r="15" spans="1:12" ht="16" thickBot="1" x14ac:dyDescent="0.4">
      <c r="A15" s="26"/>
      <c r="B15" s="31"/>
      <c r="C15" s="26"/>
      <c r="D15" s="4"/>
      <c r="E15" s="26"/>
      <c r="F15" s="27"/>
      <c r="G15" s="25"/>
      <c r="H15" s="26"/>
      <c r="I15" s="25"/>
      <c r="J15" s="26"/>
      <c r="K15" s="27"/>
      <c r="L15" s="27"/>
    </row>
    <row r="16" spans="1:12" ht="16" thickBot="1" x14ac:dyDescent="0.4">
      <c r="A16" s="29" t="s">
        <v>21</v>
      </c>
      <c r="B16" s="9">
        <v>7800000</v>
      </c>
      <c r="C16" s="32"/>
      <c r="D16" s="9">
        <f>B16+203490</f>
        <v>8003490</v>
      </c>
      <c r="E16" s="33"/>
      <c r="F16" s="9">
        <f>B16+715070</f>
        <v>8515070</v>
      </c>
      <c r="G16" s="34"/>
      <c r="H16" s="9">
        <f>B16+800000</f>
        <v>8600000</v>
      </c>
      <c r="I16" s="34"/>
      <c r="J16" s="9">
        <v>0</v>
      </c>
    </row>
    <row r="17" spans="1:12" ht="16" thickBot="1" x14ac:dyDescent="0.4">
      <c r="A17" s="29" t="s">
        <v>22</v>
      </c>
      <c r="B17" s="10">
        <f>3.7</f>
        <v>3.7</v>
      </c>
      <c r="C17" s="32"/>
      <c r="D17" s="10">
        <f>3.026</f>
        <v>3.0259999999999998</v>
      </c>
      <c r="E17" s="33"/>
      <c r="F17" s="10">
        <f>2.611+6</f>
        <v>8.6110000000000007</v>
      </c>
      <c r="G17" s="34"/>
      <c r="H17" s="10">
        <f>2.155</f>
        <v>2.1549999999999998</v>
      </c>
      <c r="I17" s="34"/>
      <c r="J17" s="10"/>
    </row>
    <row r="18" spans="1:12" ht="16" thickBot="1" x14ac:dyDescent="0.4">
      <c r="A18" s="29" t="s">
        <v>23</v>
      </c>
      <c r="B18" s="11">
        <f>8760*B17</f>
        <v>32412</v>
      </c>
      <c r="C18" s="32"/>
      <c r="D18" s="11">
        <f>8760*D17</f>
        <v>26507.759999999998</v>
      </c>
      <c r="E18" s="33"/>
      <c r="F18" s="11">
        <f>8760*F17</f>
        <v>75432.36</v>
      </c>
      <c r="G18" s="34"/>
      <c r="H18" s="11">
        <f>8760*H17</f>
        <v>18877.8</v>
      </c>
      <c r="I18" s="34"/>
      <c r="J18" s="11">
        <f>8760*J17</f>
        <v>0</v>
      </c>
    </row>
    <row r="19" spans="1:12" ht="16" thickBot="1" x14ac:dyDescent="0.4">
      <c r="A19" s="29" t="s">
        <v>24</v>
      </c>
      <c r="B19" s="9">
        <v>0</v>
      </c>
      <c r="C19" s="32"/>
      <c r="D19" s="9">
        <v>0</v>
      </c>
      <c r="E19" s="32"/>
      <c r="F19" s="9">
        <v>0</v>
      </c>
      <c r="G19" s="34"/>
      <c r="H19" s="19">
        <v>0</v>
      </c>
      <c r="I19" s="34"/>
      <c r="J19" s="19"/>
    </row>
    <row r="20" spans="1:12" ht="16" thickBot="1" x14ac:dyDescent="0.4">
      <c r="A20" s="29" t="s">
        <v>25</v>
      </c>
      <c r="B20" s="12">
        <v>30</v>
      </c>
      <c r="C20" s="33"/>
      <c r="D20" s="18">
        <f>B20</f>
        <v>30</v>
      </c>
      <c r="E20" s="33"/>
      <c r="F20" s="18">
        <f>B20</f>
        <v>30</v>
      </c>
      <c r="H20" s="18">
        <f>D20</f>
        <v>30</v>
      </c>
      <c r="J20" s="18">
        <f>B20</f>
        <v>30</v>
      </c>
    </row>
    <row r="21" spans="1:12" ht="15.5" x14ac:dyDescent="0.35">
      <c r="A21" s="35"/>
      <c r="B21" s="36"/>
      <c r="C21" s="32"/>
      <c r="D21" s="32"/>
      <c r="E21" s="32"/>
      <c r="F21" s="32"/>
      <c r="G21" s="34"/>
      <c r="H21" s="32"/>
      <c r="I21" s="34"/>
    </row>
    <row r="22" spans="1:12" ht="15.5" x14ac:dyDescent="0.35">
      <c r="A22" s="29" t="s">
        <v>26</v>
      </c>
      <c r="B22" s="37">
        <f>'ACF Calc'!B11</f>
        <v>553950.90612244909</v>
      </c>
      <c r="C22" s="33"/>
      <c r="D22" s="38">
        <f>'ACF Calc'!C11</f>
        <v>568402.63303102052</v>
      </c>
      <c r="E22" s="33"/>
      <c r="F22" s="38">
        <f>'ACF Calc'!D11</f>
        <v>604734.71053795912</v>
      </c>
      <c r="H22" s="38">
        <f>'ACF Calc'!E11</f>
        <v>610766.38367346954</v>
      </c>
      <c r="J22" s="38">
        <f>'ACF Calc'!F11</f>
        <v>0</v>
      </c>
    </row>
    <row r="23" spans="1:12" ht="15.5" x14ac:dyDescent="0.35">
      <c r="A23" s="29" t="s">
        <v>27</v>
      </c>
      <c r="B23" s="37">
        <f>B18*B20</f>
        <v>972360</v>
      </c>
      <c r="C23" s="33"/>
      <c r="D23" s="37">
        <f>D18*D20</f>
        <v>795232.79999999993</v>
      </c>
      <c r="E23" s="33"/>
      <c r="F23" s="37">
        <f>F18*F20</f>
        <v>2262970.7999999998</v>
      </c>
      <c r="H23" s="37">
        <f>H18*H20</f>
        <v>566334</v>
      </c>
      <c r="J23" s="37">
        <f>J18*J20</f>
        <v>0</v>
      </c>
    </row>
    <row r="24" spans="1:12" ht="15.5" x14ac:dyDescent="0.35">
      <c r="A24" s="29" t="s">
        <v>28</v>
      </c>
      <c r="B24" s="37">
        <f>B22+B23</f>
        <v>1526310.9061224491</v>
      </c>
      <c r="C24" s="33"/>
      <c r="D24" s="37">
        <f>IF((D22+D23)&gt;0,(D22+D23),"N/A")</f>
        <v>1363635.4330310205</v>
      </c>
      <c r="E24" s="33"/>
      <c r="F24" s="37">
        <f>IF((F22+F23)&gt;0,(F22+F23),"N/A")</f>
        <v>2867705.5105379587</v>
      </c>
      <c r="H24" s="37">
        <f>IF((H22+H23)&gt;0,(H22+H23),"N/A")</f>
        <v>1177100.3836734695</v>
      </c>
      <c r="J24" s="37" t="str">
        <f>IF((J22+J23)&gt;0,(J22+J23),"N/A")</f>
        <v>N/A</v>
      </c>
    </row>
    <row r="25" spans="1:12" ht="15.5" x14ac:dyDescent="0.35">
      <c r="A25" s="29" t="s">
        <v>29</v>
      </c>
      <c r="B25" s="37"/>
      <c r="C25" s="33"/>
      <c r="D25" s="37" t="str">
        <f>IF(D24&gt;0,IF($B$24&gt;D24,"True","False"),"False")</f>
        <v>True</v>
      </c>
      <c r="E25" s="33"/>
      <c r="F25" s="37" t="str">
        <f>IF(F24&gt;0,IF($B$24&gt;F24,"True","False"),"False")</f>
        <v>False</v>
      </c>
      <c r="H25" s="37" t="str">
        <f>IF(H24&gt;0,IF($B$24&gt;H24,"True","False"),"False")</f>
        <v>True</v>
      </c>
      <c r="J25" s="37" t="str">
        <f>IF(J24&gt;0,IF($B$40&gt;J24,"True","False"),"N/A")</f>
        <v>False</v>
      </c>
    </row>
    <row r="26" spans="1:12" ht="15.5" x14ac:dyDescent="0.35">
      <c r="A26" s="29" t="s">
        <v>30</v>
      </c>
      <c r="B26" s="30">
        <f>_xlfn.RANK.EQ(B24,($B$24:$J$24),1)</f>
        <v>3</v>
      </c>
      <c r="C26" s="33"/>
      <c r="D26" s="30">
        <f>_xlfn.RANK.EQ(D24,($B$24:$J$24),1)</f>
        <v>2</v>
      </c>
      <c r="E26" s="33"/>
      <c r="F26" s="30">
        <f>_xlfn.RANK.EQ(F24,($B$24:$J$24),1)</f>
        <v>4</v>
      </c>
      <c r="H26" s="30">
        <f>_xlfn.RANK.EQ(H24,($B$24:$J$24),1)</f>
        <v>1</v>
      </c>
      <c r="J26" s="30" t="e">
        <f>_xlfn.RANK.EQ(J24,($B$24:$J$24),1)</f>
        <v>#VALUE!</v>
      </c>
    </row>
    <row r="27" spans="1:12" ht="23.5" x14ac:dyDescent="0.55000000000000004">
      <c r="A27" s="64" t="str">
        <f>IF(AND(D25="False",F25="False",H25="False",J25="False"),"Losses do not affect Ranking - Detailed Analysis not required","Losses affect Ranking of Alternatives - Detailed Analysis Required - See below")</f>
        <v>Losses affect Ranking of Alternatives - Detailed Analysis Required - See below</v>
      </c>
      <c r="B27" s="64"/>
      <c r="C27" s="64"/>
      <c r="D27" s="64"/>
      <c r="E27" s="64"/>
      <c r="F27" s="64"/>
      <c r="G27" s="64"/>
      <c r="H27" s="64"/>
      <c r="I27" s="64"/>
      <c r="J27" s="64"/>
      <c r="K27" s="64"/>
      <c r="L27" s="64"/>
    </row>
    <row r="28" spans="1:12" x14ac:dyDescent="0.35">
      <c r="B28" s="21"/>
    </row>
    <row r="29" spans="1:12" ht="15.5" x14ac:dyDescent="0.35">
      <c r="A29" s="39" t="s">
        <v>31</v>
      </c>
      <c r="B29" s="21"/>
    </row>
    <row r="30" spans="1:12" ht="31.5" customHeight="1" thickBot="1" x14ac:dyDescent="0.4">
      <c r="A30" s="1" t="s">
        <v>32</v>
      </c>
      <c r="B30" s="13"/>
      <c r="C30" s="13"/>
      <c r="D30" s="17"/>
      <c r="E30" s="17"/>
      <c r="F30" s="17"/>
      <c r="G30" s="17"/>
      <c r="H30" s="17"/>
      <c r="I30" s="17"/>
      <c r="J30" s="17"/>
    </row>
    <row r="31" spans="1:12" ht="62.5" customHeight="1" thickBot="1" x14ac:dyDescent="0.65">
      <c r="A31" s="3" t="s">
        <v>14</v>
      </c>
      <c r="B31" s="14" t="str">
        <f>IF(ISBLANK(B13)," ",B13)</f>
        <v>Alternative 1 – 795 kcmil</v>
      </c>
      <c r="C31" s="26"/>
      <c r="D31" s="14" t="str">
        <f>IF(ISBLANK(D13)," ",D13)</f>
        <v>Alternative 2 – 997.2 kcmil</v>
      </c>
      <c r="E31" s="4"/>
      <c r="F31" s="14" t="str">
        <f>IF(ISBLANK(F13)," ",F13)</f>
        <v>Alternative 3 – 1192.5 kcmil</v>
      </c>
      <c r="G31" s="2"/>
      <c r="H31" s="14" t="str">
        <f>IF(ISBLANK(H13)," ",H13)</f>
        <v>Alternative 4 – 1443.7 kcmil</v>
      </c>
      <c r="I31" s="28" t="s">
        <v>19</v>
      </c>
      <c r="J31" s="14" t="str">
        <f>IF(ISBLANK(J13)," ",J13)</f>
        <v xml:space="preserve"> </v>
      </c>
      <c r="K31" s="27"/>
      <c r="L31" s="27"/>
    </row>
    <row r="32" spans="1:12" ht="16" thickBot="1" x14ac:dyDescent="0.4">
      <c r="A32" s="23"/>
      <c r="B32" s="8"/>
      <c r="C32" s="26"/>
      <c r="D32" s="4"/>
      <c r="E32" s="26"/>
      <c r="F32" s="4"/>
      <c r="G32" s="25"/>
      <c r="H32" s="4"/>
      <c r="I32" s="25"/>
      <c r="J32" s="4"/>
      <c r="K32" s="27"/>
      <c r="L32" s="27"/>
    </row>
    <row r="33" spans="1:10" ht="16" thickBot="1" x14ac:dyDescent="0.4">
      <c r="A33" s="29" t="s">
        <v>21</v>
      </c>
      <c r="B33" s="15">
        <f>B16</f>
        <v>7800000</v>
      </c>
      <c r="C33" s="32"/>
      <c r="D33" s="15">
        <f>D16</f>
        <v>8003490</v>
      </c>
      <c r="E33" s="33"/>
      <c r="F33" s="15">
        <f>F16</f>
        <v>8515070</v>
      </c>
      <c r="G33" s="34"/>
      <c r="H33" s="15">
        <f>H16</f>
        <v>8600000</v>
      </c>
      <c r="I33" s="34"/>
      <c r="J33" s="15">
        <f>J16</f>
        <v>0</v>
      </c>
    </row>
    <row r="34" spans="1:10" ht="16" thickBot="1" x14ac:dyDescent="0.4">
      <c r="A34" s="29" t="s">
        <v>33</v>
      </c>
      <c r="B34" s="10">
        <f>6828</f>
        <v>6828</v>
      </c>
      <c r="C34" s="32"/>
      <c r="D34" s="10">
        <f>5565.5</f>
        <v>5565.5</v>
      </c>
      <c r="E34" s="33"/>
      <c r="F34" s="10">
        <f>4801.5</f>
        <v>4801.5</v>
      </c>
      <c r="G34" s="34"/>
      <c r="H34" s="10">
        <f>3997</f>
        <v>3997</v>
      </c>
      <c r="I34" s="34"/>
      <c r="J34" s="10"/>
    </row>
    <row r="35" spans="1:10" ht="16" thickBot="1" x14ac:dyDescent="0.4">
      <c r="A35" s="29" t="s">
        <v>24</v>
      </c>
      <c r="B35" s="15">
        <f>B19</f>
        <v>0</v>
      </c>
      <c r="C35" s="32"/>
      <c r="D35" s="15">
        <f>D19</f>
        <v>0</v>
      </c>
      <c r="E35" s="32"/>
      <c r="F35" s="15">
        <f>F19</f>
        <v>0</v>
      </c>
      <c r="G35" s="34"/>
      <c r="H35" s="15">
        <f>H19</f>
        <v>0</v>
      </c>
      <c r="I35" s="34"/>
      <c r="J35" s="15">
        <f>J19</f>
        <v>0</v>
      </c>
    </row>
    <row r="36" spans="1:10" ht="16" thickBot="1" x14ac:dyDescent="0.4">
      <c r="A36" s="29" t="s">
        <v>25</v>
      </c>
      <c r="B36" s="16">
        <f>B20</f>
        <v>30</v>
      </c>
      <c r="C36" s="33"/>
      <c r="D36" s="18">
        <f>B36</f>
        <v>30</v>
      </c>
      <c r="E36" s="33"/>
      <c r="F36" s="18">
        <f>B36</f>
        <v>30</v>
      </c>
      <c r="G36"/>
      <c r="H36" s="18">
        <f>D36</f>
        <v>30</v>
      </c>
      <c r="I36"/>
      <c r="J36" s="18">
        <f>D36</f>
        <v>30</v>
      </c>
    </row>
    <row r="37" spans="1:10" ht="15.5" x14ac:dyDescent="0.35">
      <c r="A37" s="35"/>
      <c r="B37" s="36"/>
      <c r="C37" s="32"/>
      <c r="D37" s="32"/>
      <c r="E37" s="32"/>
      <c r="F37" s="32"/>
      <c r="G37" s="34"/>
      <c r="H37" s="32"/>
      <c r="I37" s="34"/>
    </row>
    <row r="38" spans="1:10" ht="15.5" x14ac:dyDescent="0.35">
      <c r="A38" s="29" t="s">
        <v>26</v>
      </c>
      <c r="B38" s="37">
        <f>B22</f>
        <v>553950.90612244909</v>
      </c>
      <c r="C38" s="33"/>
      <c r="D38" s="37">
        <f>D22</f>
        <v>568402.63303102052</v>
      </c>
      <c r="E38" s="33"/>
      <c r="F38" s="37">
        <f>F22</f>
        <v>604734.71053795912</v>
      </c>
      <c r="H38" s="37">
        <f>H22</f>
        <v>610766.38367346954</v>
      </c>
      <c r="J38" s="37">
        <f>J22</f>
        <v>0</v>
      </c>
    </row>
    <row r="39" spans="1:10" ht="15.5" x14ac:dyDescent="0.35">
      <c r="A39" s="29" t="s">
        <v>27</v>
      </c>
      <c r="B39" s="37">
        <f>B36*B34</f>
        <v>204840</v>
      </c>
      <c r="C39" s="33"/>
      <c r="D39" s="37">
        <f>D36*D34</f>
        <v>166965</v>
      </c>
      <c r="E39" s="33"/>
      <c r="F39" s="37">
        <f>F36*F34</f>
        <v>144045</v>
      </c>
      <c r="H39" s="37">
        <f>H36*H34</f>
        <v>119910</v>
      </c>
      <c r="J39" s="37">
        <f>IF($B$9=1,#REF!,J34)*J36</f>
        <v>0</v>
      </c>
    </row>
    <row r="40" spans="1:10" ht="15.5" x14ac:dyDescent="0.35">
      <c r="A40" s="29" t="s">
        <v>34</v>
      </c>
      <c r="B40" s="37">
        <f>B38+B39</f>
        <v>758790.90612244909</v>
      </c>
      <c r="C40" s="33"/>
      <c r="D40" s="37">
        <f>D38+D39</f>
        <v>735367.63303102052</v>
      </c>
      <c r="E40" s="33"/>
      <c r="F40" s="37">
        <f>F38+F39</f>
        <v>748779.71053795912</v>
      </c>
      <c r="H40" s="37">
        <f>IF((H38+H39)&gt;0,(H38+H39),"N/A")</f>
        <v>730676.38367346954</v>
      </c>
      <c r="J40" s="37" t="str">
        <f>IF((J38+J39)&gt;0,(J38+J39),"N/A")</f>
        <v>N/A</v>
      </c>
    </row>
    <row r="41" spans="1:10" ht="15.5" x14ac:dyDescent="0.35">
      <c r="A41" s="29" t="s">
        <v>29</v>
      </c>
      <c r="B41" s="37"/>
      <c r="C41" s="33"/>
      <c r="D41" s="37" t="str">
        <f>IF(D40&gt;0,IF($B$40&gt;D40,"True","False")," ")</f>
        <v>True</v>
      </c>
      <c r="E41" s="33"/>
      <c r="F41" s="37" t="str">
        <f>IF(F40&gt;0,IF($B$40&gt;F40,"True","False")," ")</f>
        <v>True</v>
      </c>
      <c r="H41" s="37" t="str">
        <f>IF(H40&gt;0,IF($B$40&gt;H40,"True","False"),"False")</f>
        <v>True</v>
      </c>
      <c r="J41" s="37" t="str">
        <f>IF(J40&gt;0,IF($B$40&gt;J40,"True","False"),"N/A")</f>
        <v>False</v>
      </c>
    </row>
    <row r="42" spans="1:10" ht="15.5" x14ac:dyDescent="0.35">
      <c r="A42" s="29" t="s">
        <v>35</v>
      </c>
      <c r="B42" s="30">
        <f>_xlfn.RANK.EQ(B40,($B$40:$J$40),1)</f>
        <v>4</v>
      </c>
      <c r="C42" s="33"/>
      <c r="D42" s="30">
        <f>_xlfn.RANK.EQ(D40,($B$40:$J$40),1)</f>
        <v>2</v>
      </c>
      <c r="E42" s="33"/>
      <c r="F42" s="30">
        <f>_xlfn.RANK.EQ(F40,($B$40:$J$40),1)</f>
        <v>3</v>
      </c>
      <c r="H42" s="30">
        <f>_xlfn.RANK.EQ(H40,($B$40:$J$40),1)</f>
        <v>1</v>
      </c>
      <c r="J42" s="30" t="e">
        <f>_xlfn.RANK.EQ(J40,($B$40:$J$40),1)</f>
        <v>#VALUE!</v>
      </c>
    </row>
  </sheetData>
  <mergeCells count="4">
    <mergeCell ref="A27:L27"/>
    <mergeCell ref="B1:D1"/>
    <mergeCell ref="B2:D2"/>
    <mergeCell ref="B3:D3"/>
  </mergeCells>
  <printOptions horizontalCentered="1"/>
  <pageMargins left="0.7" right="0.7" top="0.75" bottom="0.75" header="0.3" footer="0.3"/>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view="pageBreakPreview" zoomScale="60" zoomScaleNormal="100" workbookViewId="0">
      <selection activeCell="B4" sqref="B4"/>
    </sheetView>
  </sheetViews>
  <sheetFormatPr defaultColWidth="8.7265625" defaultRowHeight="14.5" x14ac:dyDescent="0.35"/>
  <cols>
    <col min="1" max="1" width="36.453125" style="20" customWidth="1"/>
    <col min="2" max="4" width="15.81640625" style="20" customWidth="1"/>
    <col min="5" max="5" width="16.81640625" style="20" customWidth="1"/>
    <col min="6" max="6" width="16.453125" style="20" customWidth="1"/>
    <col min="7" max="16384" width="8.7265625" style="20"/>
  </cols>
  <sheetData>
    <row r="1" spans="1:6" x14ac:dyDescent="0.35">
      <c r="B1" s="45" t="s">
        <v>9</v>
      </c>
      <c r="C1" s="45" t="s">
        <v>10</v>
      </c>
      <c r="D1" s="45" t="s">
        <v>11</v>
      </c>
      <c r="E1" s="45" t="s">
        <v>12</v>
      </c>
      <c r="F1" s="45" t="s">
        <v>13</v>
      </c>
    </row>
    <row r="2" spans="1:6" x14ac:dyDescent="0.35">
      <c r="A2" s="46" t="s">
        <v>51</v>
      </c>
      <c r="B2" s="47">
        <f>'Input Sheet'!B16</f>
        <v>7800000</v>
      </c>
      <c r="C2" s="47">
        <f>'Input Sheet'!D16</f>
        <v>8003490</v>
      </c>
      <c r="D2" s="47">
        <f>'Input Sheet'!F16</f>
        <v>8515070</v>
      </c>
      <c r="E2" s="47">
        <f>'Input Sheet'!H16</f>
        <v>8600000</v>
      </c>
      <c r="F2" s="47">
        <f>'Input Sheet'!J16</f>
        <v>0</v>
      </c>
    </row>
    <row r="3" spans="1:6" x14ac:dyDescent="0.35">
      <c r="A3" s="46" t="s">
        <v>52</v>
      </c>
      <c r="B3" s="47">
        <f>'Input Sheet'!B19</f>
        <v>0</v>
      </c>
      <c r="C3" s="47">
        <f>'Input Sheet'!D19</f>
        <v>0</v>
      </c>
      <c r="D3" s="47">
        <f>'Input Sheet'!F19</f>
        <v>0</v>
      </c>
      <c r="E3" s="47">
        <f>'Input Sheet'!H19</f>
        <v>0</v>
      </c>
      <c r="F3" s="47">
        <f>'Input Sheet'!J19</f>
        <v>0</v>
      </c>
    </row>
    <row r="4" spans="1:6" x14ac:dyDescent="0.35">
      <c r="A4" s="46" t="s">
        <v>53</v>
      </c>
      <c r="B4" s="47">
        <f>B2*0.02</f>
        <v>156000</v>
      </c>
      <c r="C4" s="47">
        <f>C2*0.02</f>
        <v>160069.80000000002</v>
      </c>
      <c r="D4" s="47">
        <f>D2*0.02</f>
        <v>170301.4</v>
      </c>
      <c r="E4" s="47">
        <f t="shared" ref="E4:F4" si="0">E2*0.02</f>
        <v>172000</v>
      </c>
      <c r="F4" s="47">
        <f t="shared" si="0"/>
        <v>0</v>
      </c>
    </row>
    <row r="5" spans="1:6" x14ac:dyDescent="0.35">
      <c r="A5" s="46" t="s">
        <v>54</v>
      </c>
      <c r="B5" s="47">
        <f>(('Financial Assumptions'!$B$4)*'Financial Assumptions'!$B$10+'Financial Assumptions'!$B$5*'Financial Assumptions'!$B$11)*B2</f>
        <v>193065.60000000003</v>
      </c>
      <c r="C5" s="47">
        <f>(('Financial Assumptions'!$B$4)*'Financial Assumptions'!$B$10+'Financial Assumptions'!$B$5*'Financial Assumptions'!$B$11)*C2</f>
        <v>198102.38448000004</v>
      </c>
      <c r="D5" s="47">
        <f>(('Financial Assumptions'!$B$4)*'Financial Assumptions'!$B$10+'Financial Assumptions'!$B$5*'Financial Assumptions'!$B$11)*D2</f>
        <v>210765.01264000003</v>
      </c>
      <c r="E5" s="47">
        <f>(('Financial Assumptions'!$B$4)*'Financial Assumptions'!$B$10+'Financial Assumptions'!$B$5*'Financial Assumptions'!$B$11)*E2</f>
        <v>212867.20000000004</v>
      </c>
      <c r="F5" s="47">
        <f>(('Financial Assumptions'!$B$4)*'Financial Assumptions'!$B$10+'Financial Assumptions'!$B$5*'Financial Assumptions'!$B$11)*F2</f>
        <v>0</v>
      </c>
    </row>
    <row r="6" spans="1:6" x14ac:dyDescent="0.35">
      <c r="A6" s="46" t="s">
        <v>55</v>
      </c>
      <c r="B6" s="47">
        <f>('Financial Assumptions'!$B$6*'Financial Assumptions'!$B$12)*'ACF Calc'!B2</f>
        <v>8580</v>
      </c>
      <c r="C6" s="47">
        <f>('Financial Assumptions'!$B$6*'Financial Assumptions'!$B$12)*'ACF Calc'!C2</f>
        <v>8803.8389999999999</v>
      </c>
      <c r="D6" s="47">
        <f>('Financial Assumptions'!$B$6*'Financial Assumptions'!$B$12)*'ACF Calc'!D2</f>
        <v>9366.5770000000011</v>
      </c>
      <c r="E6" s="47">
        <f>('Financial Assumptions'!$B$6*'Financial Assumptions'!$B$12)*'ACF Calc'!E2</f>
        <v>9460</v>
      </c>
      <c r="F6" s="47">
        <f>('Financial Assumptions'!$B$6*'Financial Assumptions'!$B$12)*'ACF Calc'!F2</f>
        <v>0</v>
      </c>
    </row>
    <row r="7" spans="1:6" x14ac:dyDescent="0.35">
      <c r="A7" s="46" t="s">
        <v>56</v>
      </c>
      <c r="B7" s="47">
        <f>'Financial Assumptions'!$B$7*'Financial Assumptions'!$B$13*'ACF Calc'!B2</f>
        <v>265824</v>
      </c>
      <c r="C7" s="47">
        <f>'Financial Assumptions'!$B$7*'Financial Assumptions'!$B$13*'ACF Calc'!C2</f>
        <v>272758.93920000002</v>
      </c>
      <c r="D7" s="47">
        <f>'Financial Assumptions'!$B$7*'Financial Assumptions'!$B$13*'ACF Calc'!D2</f>
        <v>290193.58559999999</v>
      </c>
      <c r="E7" s="47">
        <f>'Financial Assumptions'!$B$7*'Financial Assumptions'!$B$13*'ACF Calc'!E2</f>
        <v>293088</v>
      </c>
      <c r="F7" s="47">
        <f>'Financial Assumptions'!$B$7*'Financial Assumptions'!$B$13*'ACF Calc'!F2</f>
        <v>0</v>
      </c>
    </row>
    <row r="8" spans="1:6" x14ac:dyDescent="0.35">
      <c r="A8" s="46" t="s">
        <v>57</v>
      </c>
      <c r="B8" s="47">
        <f>B7/(1-'Financial Assumptions'!$B$19)-B7</f>
        <v>95841.306122448994</v>
      </c>
      <c r="C8" s="47">
        <f>C7/(1-'Financial Assumptions'!$B$19)-C7</f>
        <v>98341.658351020422</v>
      </c>
      <c r="D8" s="47">
        <f>D7/(1-'Financial Assumptions'!$B$19)-D7</f>
        <v>104627.6192979592</v>
      </c>
      <c r="E8" s="47">
        <f>E7/(1-'Financial Assumptions'!$B$19)-E7</f>
        <v>105671.18367346941</v>
      </c>
      <c r="F8" s="47">
        <f>F7/(1-'Financial Assumptions'!$B$19)-F7</f>
        <v>0</v>
      </c>
    </row>
    <row r="9" spans="1:6" x14ac:dyDescent="0.35">
      <c r="A9" s="46" t="s">
        <v>58</v>
      </c>
      <c r="B9" s="47">
        <f>-B2*'Financial Assumptions'!$B$25*'Financial Assumptions'!$B$19</f>
        <v>-165360</v>
      </c>
      <c r="C9" s="47">
        <f>-C2*'Financial Assumptions'!$B$25*'Financial Assumptions'!$B$19</f>
        <v>-169673.98800000004</v>
      </c>
      <c r="D9" s="47">
        <f>-D2*'Financial Assumptions'!$B$25*'Financial Assumptions'!$B$19</f>
        <v>-180519.484</v>
      </c>
      <c r="E9" s="47">
        <f>-E2*'Financial Assumptions'!$B$25*'Financial Assumptions'!$B$19</f>
        <v>-182320</v>
      </c>
      <c r="F9" s="47">
        <f>-F2*'Financial Assumptions'!$B$25*'Financial Assumptions'!$B$19</f>
        <v>0</v>
      </c>
    </row>
    <row r="10" spans="1:6" x14ac:dyDescent="0.35">
      <c r="A10" s="46"/>
      <c r="B10" s="47"/>
      <c r="C10" s="47"/>
      <c r="D10" s="47"/>
      <c r="E10" s="47"/>
      <c r="F10" s="47"/>
    </row>
    <row r="11" spans="1:6" x14ac:dyDescent="0.35">
      <c r="A11" s="48" t="s">
        <v>59</v>
      </c>
      <c r="B11" s="47">
        <f>SUM(B3:B9)</f>
        <v>553950.90612244909</v>
      </c>
      <c r="C11" s="47">
        <f>SUM(C3:C9)</f>
        <v>568402.63303102052</v>
      </c>
      <c r="D11" s="47">
        <f>SUM(D3:D9)</f>
        <v>604734.71053795912</v>
      </c>
      <c r="E11" s="47">
        <f t="shared" ref="E11:F11" si="1">SUM(E3:E9)</f>
        <v>610766.38367346954</v>
      </c>
      <c r="F11" s="47">
        <f t="shared" si="1"/>
        <v>0</v>
      </c>
    </row>
  </sheetData>
  <printOptions horizontalCentered="1"/>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view="pageBreakPreview" zoomScale="60" zoomScaleNormal="100" workbookViewId="0">
      <selection activeCell="F17" sqref="F17"/>
    </sheetView>
  </sheetViews>
  <sheetFormatPr defaultColWidth="8.7265625" defaultRowHeight="14.5" x14ac:dyDescent="0.35"/>
  <cols>
    <col min="1" max="1" width="46.54296875" style="20" customWidth="1"/>
    <col min="2" max="2" width="23.54296875" style="20" customWidth="1"/>
    <col min="3" max="16384" width="8.7265625" style="20"/>
  </cols>
  <sheetData>
    <row r="1" spans="1:2" x14ac:dyDescent="0.35">
      <c r="A1" s="40" t="s">
        <v>36</v>
      </c>
      <c r="B1" s="41"/>
    </row>
    <row r="2" spans="1:2" x14ac:dyDescent="0.35">
      <c r="A2" s="41"/>
      <c r="B2" s="41"/>
    </row>
    <row r="3" spans="1:2" x14ac:dyDescent="0.35">
      <c r="A3" s="40" t="s">
        <v>37</v>
      </c>
      <c r="B3" s="42"/>
    </row>
    <row r="4" spans="1:2" x14ac:dyDescent="0.35">
      <c r="A4" s="43" t="s">
        <v>38</v>
      </c>
      <c r="B4" s="60">
        <v>0.49049999999999999</v>
      </c>
    </row>
    <row r="5" spans="1:2" x14ac:dyDescent="0.35">
      <c r="A5" s="43" t="s">
        <v>39</v>
      </c>
      <c r="B5" s="60">
        <v>6.9500000000000006E-2</v>
      </c>
    </row>
    <row r="6" spans="1:2" x14ac:dyDescent="0.35">
      <c r="A6" s="43" t="s">
        <v>40</v>
      </c>
      <c r="B6" s="60">
        <v>0.04</v>
      </c>
    </row>
    <row r="7" spans="1:2" x14ac:dyDescent="0.35">
      <c r="A7" s="43" t="s">
        <v>41</v>
      </c>
      <c r="B7" s="60">
        <v>0.4</v>
      </c>
    </row>
    <row r="8" spans="1:2" x14ac:dyDescent="0.35">
      <c r="A8" s="40"/>
      <c r="B8" s="41"/>
    </row>
    <row r="9" spans="1:2" x14ac:dyDescent="0.35">
      <c r="A9" s="40" t="s">
        <v>42</v>
      </c>
      <c r="B9" s="41"/>
    </row>
    <row r="10" spans="1:2" x14ac:dyDescent="0.35">
      <c r="A10" s="43" t="s">
        <v>38</v>
      </c>
      <c r="B10" s="61">
        <v>4.4200000000000003E-2</v>
      </c>
    </row>
    <row r="11" spans="1:2" x14ac:dyDescent="0.35">
      <c r="A11" s="43" t="s">
        <v>39</v>
      </c>
      <c r="B11" s="61">
        <v>4.4200000000000003E-2</v>
      </c>
    </row>
    <row r="12" spans="1:2" x14ac:dyDescent="0.35">
      <c r="A12" s="43" t="s">
        <v>40</v>
      </c>
      <c r="B12" s="61">
        <v>2.75E-2</v>
      </c>
    </row>
    <row r="13" spans="1:2" x14ac:dyDescent="0.35">
      <c r="A13" s="43" t="s">
        <v>43</v>
      </c>
      <c r="B13" s="61">
        <v>8.5199999999999998E-2</v>
      </c>
    </row>
    <row r="14" spans="1:2" x14ac:dyDescent="0.35">
      <c r="A14" s="34"/>
      <c r="B14" s="41"/>
    </row>
    <row r="15" spans="1:2" x14ac:dyDescent="0.35">
      <c r="A15" s="40" t="s">
        <v>44</v>
      </c>
      <c r="B15" s="42"/>
    </row>
    <row r="16" spans="1:2" x14ac:dyDescent="0.35">
      <c r="A16" s="34"/>
      <c r="B16" s="34"/>
    </row>
    <row r="17" spans="1:2" x14ac:dyDescent="0.35">
      <c r="A17" s="43" t="s">
        <v>45</v>
      </c>
      <c r="B17" s="61">
        <v>0.15</v>
      </c>
    </row>
    <row r="18" spans="1:2" x14ac:dyDescent="0.35">
      <c r="A18" s="43" t="s">
        <v>46</v>
      </c>
      <c r="B18" s="61">
        <v>0.115</v>
      </c>
    </row>
    <row r="19" spans="1:2" x14ac:dyDescent="0.35">
      <c r="A19" s="34" t="s">
        <v>47</v>
      </c>
      <c r="B19" s="61">
        <v>0.26500000000000001</v>
      </c>
    </row>
    <row r="21" spans="1:2" x14ac:dyDescent="0.35">
      <c r="A21" s="20" t="s">
        <v>48</v>
      </c>
      <c r="B21" s="61">
        <f>B10*B4*(1-B$19)+B11*B5*(1-B$19)++B12*B6*(1-B$19)+B7*B13</f>
        <v>5.3081219999999998E-2</v>
      </c>
    </row>
    <row r="24" spans="1:2" x14ac:dyDescent="0.35">
      <c r="A24" s="20" t="s">
        <v>49</v>
      </c>
    </row>
    <row r="25" spans="1:2" x14ac:dyDescent="0.35">
      <c r="A25" s="20" t="s">
        <v>50</v>
      </c>
      <c r="B25" s="44">
        <v>0.08</v>
      </c>
    </row>
  </sheetData>
  <dataValidations count="1">
    <dataValidation type="decimal" allowBlank="1" showInputMessage="1" showErrorMessage="1" sqref="B4:B7 B10:B13 B17:B18">
      <formula1>-9999999999999</formula1>
      <formula2>9999999999999</formula2>
    </dataValidation>
  </dataValidations>
  <printOptions horizontalCentered="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ntervernorAcronym xmlns="15087633-b2f0-4c7f-ae87-63512b664eba" xsi:nil="true"/>
    <LeadRA xmlns="15087633-b2f0-4c7f-ae87-63512b664eba" xsi:nil="true"/>
    <ReviewedbyLeadRA xmlns="15087633-b2f0-4c7f-ae87-63512b664eba">false</ReviewedbyLeadR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8" ma:contentTypeDescription="Create a new document." ma:contentTypeScope="" ma:versionID="0c802177d4b7133b5ad96ef4ad399efc">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cf4c392d34e6e60db5227b5fb611a7e7"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9F6A26-C1CF-412F-900E-BFD074A6D8FE}">
  <ds:schemaRefs>
    <ds:schemaRef ds:uri="http://purl.org/dc/elements/1.1/"/>
    <ds:schemaRef ds:uri="http://schemas.microsoft.com/office/2006/metadata/properties"/>
    <ds:schemaRef ds:uri="ce5dfc26-dbcc-4266-b0cd-e8ab87711e15"/>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00b55595-d4eb-41d0-b489-5e4082844449"/>
    <ds:schemaRef ds:uri="http://www.w3.org/XML/1998/namespace"/>
    <ds:schemaRef ds:uri="http://purl.org/dc/terms/"/>
  </ds:schemaRefs>
</ds:datastoreItem>
</file>

<file path=customXml/itemProps2.xml><?xml version="1.0" encoding="utf-8"?>
<ds:datastoreItem xmlns:ds="http://schemas.openxmlformats.org/officeDocument/2006/customXml" ds:itemID="{619ADA13-0D9F-40B4-9045-C6E73ABEFBC0}">
  <ds:schemaRefs>
    <ds:schemaRef ds:uri="http://schemas.microsoft.com/sharepoint/v3/contenttype/forms"/>
  </ds:schemaRefs>
</ds:datastoreItem>
</file>

<file path=customXml/itemProps3.xml><?xml version="1.0" encoding="utf-8"?>
<ds:datastoreItem xmlns:ds="http://schemas.openxmlformats.org/officeDocument/2006/customXml" ds:itemID="{2B1A3C35-B115-4272-8E31-F5192870F9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Input Sheet</vt:lpstr>
      <vt:lpstr>ACF Calc</vt:lpstr>
      <vt:lpstr>Financial Assumptions</vt:lpstr>
      <vt:lpstr>'Input Sheet'!Print_Area</vt:lpstr>
    </vt:vector>
  </TitlesOfParts>
  <Company>Hydro One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Transmission Losses Workbook</dc:title>
  <dc:creator>FROST Wade</dc:creator>
  <cp:lastModifiedBy>AUBIN Danielle</cp:lastModifiedBy>
  <cp:lastPrinted>2021-11-26T22:57:01Z</cp:lastPrinted>
  <dcterms:created xsi:type="dcterms:W3CDTF">2021-11-24T19:48:28Z</dcterms:created>
  <dcterms:modified xsi:type="dcterms:W3CDTF">2021-11-26T22:58:27Z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7b0225-d5fb-4a38-ab20-04d3a5b5ae07_Enabled">
    <vt:lpwstr>true</vt:lpwstr>
  </property>
  <property fmtid="{D5CDD505-2E9C-101B-9397-08002B2CF9AE}" pid="3" name="MSIP_Label_757b0225-d5fb-4a38-ab20-04d3a5b5ae07_SetDate">
    <vt:lpwstr>2021-11-24T19:48:28Z</vt:lpwstr>
  </property>
  <property fmtid="{D5CDD505-2E9C-101B-9397-08002B2CF9AE}" pid="4" name="MSIP_Label_757b0225-d5fb-4a38-ab20-04d3a5b5ae07_Method">
    <vt:lpwstr>Standard</vt:lpwstr>
  </property>
  <property fmtid="{D5CDD505-2E9C-101B-9397-08002B2CF9AE}" pid="5" name="MSIP_Label_757b0225-d5fb-4a38-ab20-04d3a5b5ae07_Name">
    <vt:lpwstr>Internal use</vt:lpwstr>
  </property>
  <property fmtid="{D5CDD505-2E9C-101B-9397-08002B2CF9AE}" pid="6" name="MSIP_Label_757b0225-d5fb-4a38-ab20-04d3a5b5ae07_SiteId">
    <vt:lpwstr>c0f38700-d7f7-4200-ae37-7eebf475cdc1</vt:lpwstr>
  </property>
  <property fmtid="{D5CDD505-2E9C-101B-9397-08002B2CF9AE}" pid="7" name="MSIP_Label_757b0225-d5fb-4a38-ab20-04d3a5b5ae07_ActionId">
    <vt:lpwstr>90956aee-07a2-4858-bb50-3b16432d978f</vt:lpwstr>
  </property>
  <property fmtid="{D5CDD505-2E9C-101B-9397-08002B2CF9AE}" pid="8" name="MSIP_Label_757b0225-d5fb-4a38-ab20-04d3a5b5ae07_ContentBits">
    <vt:lpwstr>0</vt:lpwstr>
  </property>
  <property fmtid="{D5CDD505-2E9C-101B-9397-08002B2CF9AE}" pid="9" name="ContentTypeId">
    <vt:lpwstr>0x0101003AFE77665E354B468AF3F4F0E95858A6</vt:lpwstr>
  </property>
  <property fmtid="{D5CDD505-2E9C-101B-9397-08002B2CF9AE}" pid="10" name="_dlc_DocIdItemGuid">
    <vt:lpwstr>296441de-0ee1-45a3-bb5d-214ac52e60b6</vt:lpwstr>
  </property>
  <property fmtid="{D5CDD505-2E9C-101B-9397-08002B2CF9AE}" pid="11" name="QC_Ready">
    <vt:bool>false</vt:bool>
  </property>
  <property fmtid="{D5CDD505-2E9C-101B-9397-08002B2CF9AE}" pid="12" name="Witness(Internal)">
    <vt:lpwstr>151;#Robert.REINMULLER@HydroOne.com</vt:lpwstr>
  </property>
  <property fmtid="{D5CDD505-2E9C-101B-9397-08002B2CF9AE}" pid="13" name="WitnessApproved">
    <vt:lpwstr>Approved</vt:lpwstr>
  </property>
  <property fmtid="{D5CDD505-2E9C-101B-9397-08002B2CF9AE}" pid="14" name="RA Review Draft 1">
    <vt:bool>true</vt:bool>
  </property>
  <property fmtid="{D5CDD505-2E9C-101B-9397-08002B2CF9AE}" pid="15" name="Tab">
    <vt:lpwstr>9</vt:lpwstr>
  </property>
  <property fmtid="{D5CDD505-2E9C-101B-9397-08002B2CF9AE}" pid="16" name="CaseNumber">
    <vt:lpwstr>EB-2021-0110</vt:lpwstr>
  </property>
  <property fmtid="{D5CDD505-2E9C-101B-9397-08002B2CF9AE}" pid="17" name="IntervenorAcronymn">
    <vt:lpwstr>ED</vt:lpwstr>
  </property>
  <property fmtid="{D5CDD505-2E9C-101B-9397-08002B2CF9AE}" pid="18" name="ELT">
    <vt:bool>false</vt:bool>
  </property>
  <property fmtid="{D5CDD505-2E9C-101B-9397-08002B2CF9AE}" pid="19" name="Refusal">
    <vt:bool>false</vt:bool>
  </property>
  <property fmtid="{D5CDD505-2E9C-101B-9397-08002B2CF9AE}" pid="20" name="TSW">
    <vt:lpwstr>No</vt:lpwstr>
  </property>
  <property fmtid="{D5CDD505-2E9C-101B-9397-08002B2CF9AE}" pid="22" name="Expert">
    <vt:lpwstr>Stantec</vt:lpwstr>
  </property>
  <property fmtid="{D5CDD505-2E9C-101B-9397-08002B2CF9AE}" pid="24" name="RDirApproved">
    <vt:bool>false</vt:bool>
  </property>
  <property fmtid="{D5CDD505-2E9C-101B-9397-08002B2CF9AE}" pid="26" name="2021/2022Update">
    <vt:bool>false</vt:bool>
  </property>
  <property fmtid="{D5CDD505-2E9C-101B-9397-08002B2CF9AE}" pid="27" name="Strategic">
    <vt:bool>true</vt:bool>
  </property>
  <property fmtid="{D5CDD505-2E9C-101B-9397-08002B2CF9AE}" pid="28" name="Exhibit">
    <vt:lpwstr>I</vt:lpwstr>
  </property>
  <property fmtid="{D5CDD505-2E9C-101B-9397-08002B2CF9AE}" pid="29" name="FormattingComplete">
    <vt:bool>false</vt:bool>
  </property>
  <property fmtid="{D5CDD505-2E9C-101B-9397-08002B2CF9AE}" pid="30" name="RAApproved">
    <vt:bool>true</vt:bool>
  </property>
  <property fmtid="{D5CDD505-2E9C-101B-9397-08002B2CF9AE}" pid="31" name="StrategicThemeFlag">
    <vt:lpwstr>;#None Applicable;#</vt:lpwstr>
  </property>
  <property fmtid="{D5CDD505-2E9C-101B-9397-08002B2CF9AE}" pid="32" name="Support">
    <vt:lpwstr/>
  </property>
  <property fmtid="{D5CDD505-2E9C-101B-9397-08002B2CF9AE}" pid="33" name="RA">
    <vt:lpwstr>37;#oren.ben-shlomo@HydroOne.com</vt:lpwstr>
  </property>
  <property fmtid="{D5CDD505-2E9C-101B-9397-08002B2CF9AE}" pid="34" name="PDFCreationInitiated">
    <vt:bool>false</vt:bool>
  </property>
  <property fmtid="{D5CDD505-2E9C-101B-9397-08002B2CF9AE}" pid="35" name="FilingDate">
    <vt:filetime>2021-11-29T00:00:00Z</vt:filetime>
  </property>
  <property fmtid="{D5CDD505-2E9C-101B-9397-08002B2CF9AE}" pid="37" name="ExhibitReference">
    <vt:lpwstr>B-02-01_2.03-04</vt:lpwstr>
  </property>
  <property fmtid="{D5CDD505-2E9C-101B-9397-08002B2CF9AE}" pid="38" name="DraftReady">
    <vt:lpwstr>Ready</vt:lpwstr>
  </property>
  <property fmtid="{D5CDD505-2E9C-101B-9397-08002B2CF9AE}" pid="39" name="Confidential">
    <vt:bool>false</vt:bool>
  </property>
  <property fmtid="{D5CDD505-2E9C-101B-9397-08002B2CF9AE}" pid="40" name="Issue">
    <vt:lpwstr>;#3.0 - TSP - Issue 7: Are the proposed Transmission capital expenditures appropriate?;#</vt:lpwstr>
  </property>
  <property fmtid="{D5CDD505-2E9C-101B-9397-08002B2CF9AE}" pid="41" name="IRAuthor">
    <vt:lpwstr>114;#farooq.qureshy@HydroOne.com;#41;#Mark.Brodie@HydroOne.com</vt:lpwstr>
  </property>
  <property fmtid="{D5CDD505-2E9C-101B-9397-08002B2CF9AE}" pid="42" name="Witness">
    <vt:lpwstr>REINMULLER Robert</vt:lpwstr>
  </property>
</Properties>
</file>