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Hydro\Documents\2022 IRM Rate App\OEB Correspondence\IRs\"/>
    </mc:Choice>
  </mc:AlternateContent>
  <xr:revisionPtr revIDLastSave="0" documentId="13_ncr:1_{6BA68D2C-79C9-4A73-AABF-BC5F10CAFD0A}" xr6:coauthVersionLast="47" xr6:coauthVersionMax="47" xr10:uidLastSave="{00000000-0000-0000-0000-000000000000}"/>
  <bookViews>
    <workbookView xWindow="-120" yWindow="-120" windowWidth="29040" windowHeight="15840" tabRatio="874" firstSheet="4"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12">'8.  Streetlighting'!$A$1:$U$53</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5" i="47" l="1"/>
  <c r="H176" i="47"/>
  <c r="H174" i="47"/>
  <c r="H172" i="47"/>
  <c r="H173" i="47"/>
  <c r="H171" i="47"/>
  <c r="W148" i="47" l="1"/>
  <c r="Y222" i="79"/>
  <c r="AD1110" i="79" l="1"/>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Y561" i="79" s="1"/>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AL286" i="46"/>
  <c r="AK286" i="46"/>
  <c r="AJ286" i="46"/>
  <c r="AI286" i="46"/>
  <c r="AH286" i="46"/>
  <c r="AG286" i="46"/>
  <c r="AF286" i="46"/>
  <c r="AE286" i="46"/>
  <c r="AD286" i="46"/>
  <c r="AC286" i="46"/>
  <c r="AB286" i="46"/>
  <c r="AA286" i="46"/>
  <c r="Z286" i="46"/>
  <c r="AL283" i="46"/>
  <c r="AK283" i="46"/>
  <c r="AJ283" i="46"/>
  <c r="AI283" i="46"/>
  <c r="AH283" i="46"/>
  <c r="AG283" i="46"/>
  <c r="AF283" i="46"/>
  <c r="AE283" i="46"/>
  <c r="AD283" i="46"/>
  <c r="AC283" i="46"/>
  <c r="AB283" i="46"/>
  <c r="AA283" i="46"/>
  <c r="Z283" i="46"/>
  <c r="AL280" i="46"/>
  <c r="AK280" i="46"/>
  <c r="AJ280" i="46"/>
  <c r="AI280" i="46"/>
  <c r="AH280" i="46"/>
  <c r="AG280" i="46"/>
  <c r="AF280" i="46"/>
  <c r="AE280" i="46"/>
  <c r="AD280" i="46"/>
  <c r="AC280" i="46"/>
  <c r="AB280" i="46"/>
  <c r="AA280" i="46"/>
  <c r="Z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N23" i="45" l="1"/>
  <c r="C133" i="45" s="1"/>
  <c r="N114" i="45"/>
  <c r="N58" i="45"/>
  <c r="N107" i="45"/>
  <c r="N51" i="45"/>
  <c r="N100" i="45"/>
  <c r="N44" i="45"/>
  <c r="N79" i="45"/>
  <c r="N93" i="45"/>
  <c r="N37" i="45"/>
  <c r="N30" i="45"/>
  <c r="N65"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66" i="79" s="1"/>
  <c r="Y1125" i="79"/>
  <c r="Y1123" i="79"/>
  <c r="Y1119" i="79"/>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7"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3" i="79" l="1"/>
  <c r="AE200" i="79"/>
  <c r="AE199" i="79"/>
  <c r="AE204" i="79" s="1"/>
  <c r="J66" i="43" s="1"/>
  <c r="AE205" i="79"/>
  <c r="J67" i="43" s="1"/>
  <c r="AK573" i="79"/>
  <c r="P73" i="43" s="1"/>
  <c r="AK571" i="79"/>
  <c r="AK569" i="79"/>
  <c r="AK570" i="79"/>
  <c r="Y1124" i="79"/>
  <c r="D81" i="43" s="1"/>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K572" i="79" l="1"/>
  <c r="P72" i="43" s="1"/>
  <c r="AM1122" i="79"/>
  <c r="AM1121" i="79"/>
  <c r="AM1115" i="79"/>
  <c r="AM1116" i="79"/>
  <c r="AM1119" i="79"/>
  <c r="AM1117" i="79"/>
  <c r="AM1120" i="79"/>
  <c r="AM1118" i="79"/>
  <c r="AM1114" i="79"/>
  <c r="AM1123" i="79"/>
  <c r="AM1125" i="79"/>
  <c r="R82" i="43"/>
  <c r="AM383" i="79"/>
  <c r="S56" i="47"/>
  <c r="P39" i="47"/>
  <c r="R54" i="43"/>
  <c r="M45" i="47"/>
  <c r="V39" i="47"/>
  <c r="R30" i="47"/>
  <c r="N51"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E31"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E30" i="43" s="1"/>
  <c r="K27" i="47"/>
  <c r="E29" i="43" l="1"/>
  <c r="E33" i="43"/>
  <c r="E32" i="43"/>
  <c r="AM1124" i="79"/>
  <c r="AM1126" i="79" s="1"/>
  <c r="O232" i="47"/>
  <c r="E41" i="43"/>
  <c r="R81" i="43"/>
  <c r="E37" i="43"/>
  <c r="E42" i="43"/>
  <c r="R78" i="43"/>
  <c r="E35" i="43"/>
  <c r="E39" i="43"/>
  <c r="E40" i="43"/>
  <c r="K182" i="47"/>
  <c r="H20" i="43"/>
  <c r="V180" i="47"/>
  <c r="P226" i="47"/>
  <c r="R226" i="47"/>
  <c r="N230" i="47"/>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D85" i="43" s="1"/>
  <c r="E85" i="43" l="1"/>
  <c r="F30" i="43"/>
  <c r="G30" i="43" s="1"/>
  <c r="F35" i="43"/>
  <c r="G35" i="43" s="1"/>
  <c r="F29" i="43"/>
  <c r="L164" i="47"/>
  <c r="L177" i="47" s="1"/>
  <c r="L179" i="47" s="1"/>
  <c r="L192" i="47" s="1"/>
  <c r="L194" i="47" s="1"/>
  <c r="L207" i="47" s="1"/>
  <c r="L209" i="47" s="1"/>
  <c r="L222" i="47" s="1"/>
  <c r="L224" i="47" s="1"/>
  <c r="L237" i="47" s="1"/>
  <c r="G84" i="43" s="1"/>
  <c r="F34" i="43"/>
  <c r="G34" i="43" s="1"/>
  <c r="F33" i="43"/>
  <c r="G33" i="43" s="1"/>
  <c r="W42" i="47"/>
  <c r="D105" i="43" s="1"/>
  <c r="K42" i="47"/>
  <c r="F32" i="43" l="1"/>
  <c r="G32" i="43" s="1"/>
  <c r="G85" i="43"/>
  <c r="G29"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H21" i="43" s="1"/>
  <c r="H22" i="43" s="1"/>
  <c r="F31" i="43"/>
  <c r="F85" i="43"/>
  <c r="G106" i="43"/>
  <c r="W104" i="47"/>
  <c r="W117" i="47" s="1"/>
  <c r="H105" i="43"/>
  <c r="H106" i="43" s="1"/>
  <c r="G31" i="43" l="1"/>
  <c r="G43" i="43" s="1"/>
  <c r="F43" i="43"/>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tc={BBB119D9-94BD-4FD3-89A9-E9A52844ED8A}</author>
  </authors>
  <commentList>
    <comment ref="L34" authorId="0" shapeId="0" xr:uid="{BBB119D9-94BD-4FD3-89A9-E9A52844ED8A}">
      <text>
        <t>[Threaded comment]
Your version of Excel allows you to read this threaded comment; however, any edits to it will get removed if the file is opened in a newer version of Excel. Learn more: https://go.microsoft.com/fwlink/?linkid=870924
Comment:
    billed/kWh</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<sst xmlns="http://schemas.openxmlformats.org/spreadsheetml/2006/main" count="3591" uniqueCount="807">
  <si>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</si>
  <si>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</si>
  <si>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</si>
  <si>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</si>
  <si>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</si>
  <si>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</si>
  <si>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</si>
  <si>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</si>
  <si>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</si>
  <si>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</si>
  <si>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</si>
  <si>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</si>
  <si>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</si>
  <si>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</si>
  <si>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</si>
  <si>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</si>
  <si>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</si>
  <si>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</si>
  <si>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</si>
  <si>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</si>
  <si>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</si>
  <si>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</si>
  <si>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</si>
  <si>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</si>
  <si>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</si>
  <si>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</si>
  <si>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</si>
  <si>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</si>
  <si>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</si>
  <si>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</si>
  <si>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</si>
  <si>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</si>
  <si>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</si>
  <si>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</si>
  <si>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</si>
  <si>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</si>
  <si>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</si>
  <si>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</si>
  <si>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</si>
  <si>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</si>
  <si>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</si>
  <si>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</si>
  <si>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</si>
  <si>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</si>
  <si>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</si>
  <si>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</si>
  <si>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</si>
  <si>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</si>
  <si>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</si>
  <si>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</si>
  <si>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</si>
  <si>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</si>
  <si>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</si>
  <si>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</si>
  <si>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</si>
  <si>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</si>
  <si>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</si>
  <si>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</si>
  <si>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</si>
  <si>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</si>
  <si>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</si>
  <si>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</si>
  <si>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</si>
  <si>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</si>
  <si>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</si>
  <si>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</si>
  <si>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</si>
  <si>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</si>
  <si>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</si>
  <si>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</si>
  <si>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</si>
  <si>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</si>
  <si>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</si>
  <si>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</si>
  <si>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</si>
  <si>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</si>
  <si>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</si>
  <si>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</si>
  <si>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</si>
  <si>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</si>
  <si>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</si>
  <si>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</si>
  <si>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</si>
  <si>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</si>
  <si>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</si>
  <si>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</si>
  <si>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</si>
  <si>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</si>
  <si>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</si>
  <si>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</si>
  <si>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</si>
  <si>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</si>
  <si>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</si>
  <si>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</si>
  <si>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</si>
  <si>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</si>
  <si>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</si>
  <si>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</si>
  <si>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</si>
  <si>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</si>
  <si>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</si>
  <si>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</si>
  <si>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</si>
  <si>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</si>
  <si>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</si>
  <si>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</si>
  <si>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</si>
  <si>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</si>
  <si>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</si>
  <si>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</si>
  <si>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</si>
  <si>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</si>
  <si>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</si>
  <si>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</si>
  <si>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</si>
  <si>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</si>
  <si>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</si>
  <si>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</si>
  <si>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</si>
  <si>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</si>
  <si>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</si>
  <si>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</si>
  <si>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</si>
  <si>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</si>
  <si>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</si>
  <si>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</si>
  <si>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</si>
  <si>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</si>
  <si>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</si>
  <si>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</si>
  <si>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</si>
  <si>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</si>
  <si>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</si>
  <si>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</si>
  <si>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</si>
  <si>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</si>
  <si>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</si>
  <si>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</si>
  <si>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</si>
  <si>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</si>
  <si>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</si>
  <si>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</si>
  <si>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</si>
  <si>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</si>
  <si>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</si>
  <si>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</si>
  <si>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</si>
  <si>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</si>
  <si>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</si>
  <si>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</si>
  <si>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</si>
  <si>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</si>
  <si>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</si>
  <si>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</si>
  <si>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</si>
  <si>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</si>
  <si>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</si>
  <si>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</si>
  <si>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</si>
  <si>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</si>
  <si>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</si>
  <si>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</si>
  <si>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</si>
  <si>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</si>
  <si>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</si>
  <si>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</si>
  <si>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</si>
  <si>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</si>
  <si>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</si>
  <si>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</si>
  <si>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</si>
  <si>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</si>
  <si>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</si>
  <si>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</si>
  <si>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</si>
  <si>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</si>
  <si>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</si>
  <si>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</si>
  <si>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</si>
  <si>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</si>
  <si>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</si>
  <si>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</si>
  <si>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</si>
  <si>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</si>
  <si>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</si>
  <si>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</si>
  <si>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</si>
  <si>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</si>
  <si>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</si>
  <si>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</si>
  <si>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</si>
  <si>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</si>
  <si>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</si>
  <si>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</si>
  <si>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</si>
  <si>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</si>
  <si>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</si>
  <si>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</si>
  <si>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</si>
  <si>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</si>
  <si>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</si>
  <si>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</si>
  <si>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</si>
  <si>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</si>
  <si>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</si>
  <si>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</si>
  <si>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</si>
  <si>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</si>
  <si>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</si>
  <si>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</si>
  <si>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</si>
  <si>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</si>
  <si>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</si>
  <si>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</si>
  <si>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</si>
  <si>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</si>
  <si>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</si>
  <si>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</si>
  <si>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</si>
  <si>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</si>
  <si>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</si>
  <si>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</si>
  <si>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</si>
  <si>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</si>
  <si>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</si>
  <si>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</si>
  <si>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</si>
  <si>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</si>
  <si>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</si>
  <si>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</si>
  <si>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</si>
  <si>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</si>
  <si>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</si>
  <si>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</si>
  <si>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</si>
  <si>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</si>
  <si>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</si>
  <si>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</si>
  <si>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</si>
  <si>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</si>
  <si>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</si>
  <si>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</si>
  <si>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</si>
  <si>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</si>
  <si>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</si>
  <si>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</si>
  <si>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</si>
  <si>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</si>
  <si>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</si>
  <si>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</si>
  <si>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</si>
  <si>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</si>
  <si>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</si>
  <si>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</si>
  <si>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</si>
  <si>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</si>
  <si>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</si>
  <si>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</si>
  <si>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</si>
  <si>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</si>
  <si>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</si>
  <si>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</si>
  <si>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</si>
  <si>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</si>
  <si>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</si>
  <si>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</si>
  <si>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</si>
  <si>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</si>
  <si>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</si>
  <si>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</si>
  <si>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</si>
  <si>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</si>
  <si>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</si>
  <si>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</si>
  <si>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</si>
  <si>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</si>
  <si>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</si>
  <si>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</si>
  <si>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</si>
  <si>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</si>
  <si>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</si>
  <si>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</si>
  <si>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</si>
  <si>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</si>
  <si>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</si>
  <si>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</si>
  <si>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</si>
  <si>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</si>
  <si>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</si>
  <si>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</si>
  <si>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</si>
  <si>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</si>
  <si>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</si>
  <si>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</si>
  <si>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</si>
  <si>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</si>
  <si>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</si>
  <si>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</si>
  <si>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</si>
  <si>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</si>
  <si>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</si>
  <si>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</si>
  <si>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</si>
  <si>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</si>
  <si>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</si>
  <si>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</si>
  <si>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</si>
  <si>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</si>
  <si>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</si>
  <si>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</si>
  <si>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</si>
  <si>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</si>
  <si>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</si>
  <si>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</si>
  <si>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</si>
  <si>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</si>
  <si>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</si>
  <si>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</si>
  <si>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</si>
  <si>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</si>
  <si>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</si>
  <si>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</si>
  <si>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</si>
  <si>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</si>
  <si>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</si>
  <si>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</si>
  <si>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</si>
  <si>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</si>
  <si>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</si>
  <si>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</si>
  <si>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</si>
  <si>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</si>
  <si>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</si>
  <si>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</si>
  <si>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</si>
  <si>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</si>
  <si>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</si>
  <si>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</si>
  <si>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</si>
  <si>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</si>
  <si>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</si>
  <si>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</si>
  <si>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</si>
  <si>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</si>
  <si>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</si>
  <si>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</si>
  <si>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</si>
  <si>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</si>
  <si>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</si>
  <si>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</si>
  <si>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</si>
  <si>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</si>
  <si>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</si>
  <si>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</si>
  <si>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</si>
  <si>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</si>
  <si>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</si>
  <si>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</si>
  <si>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</si>
  <si>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</si>
  <si>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</si>
  <si>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</si>
  <si>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</si>
  <si>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</si>
  <si>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</si>
  <si>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</si>
  <si>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</si>
  <si>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</si>
  <si>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</si>
  <si>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</si>
  <si>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</si>
  <si>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</si>
  <si>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</si>
  <si>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</si>
  <si>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</si>
  <si>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</si>
  <si>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</si>
  <si>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</si>
  <si>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</si>
  <si>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</si>
  <si>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</si>
  <si>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</si>
  <si>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</si>
  <si>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</si>
  <si>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</si>
  <si>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</si>
  <si>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</si>
  <si>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</si>
  <si>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</si>
  <si>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</si>
  <si>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</si>
  <si>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</si>
  <si>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</si>
  <si>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</si>
  <si>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</si>
  <si>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</si>
  <si>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</si>
  <si>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</si>
  <si>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</si>
  <si>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</si>
  <si>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</si>
  <si>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</si>
  <si>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</si>
  <si>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</si>
  <si>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</si>
  <si>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</si>
  <si>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</si>
  <si>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</si>
  <si>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</si>
  <si>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</si>
  <si>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</si>
  <si>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</si>
  <si>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</si>
  <si>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</si>
  <si>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</si>
  <si>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</si>
  <si>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</si>
  <si>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</si>
  <si>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</si>
  <si>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</si>
  <si>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</si>
  <si>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</si>
  <si>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</si>
  <si>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</si>
  <si>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</si>
  <si>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</si>
  <si>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</si>
  <si>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</si>
  <si>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</si>
  <si>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</si>
  <si>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</si>
  <si>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</si>
  <si>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</si>
  <si>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</si>
  <si>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</si>
  <si>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</si>
  <si>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</si>
  <si>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</si>
  <si>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</si>
  <si>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</si>
  <si>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</si>
  <si>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</si>
  <si>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</si>
  <si>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</si>
  <si>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</si>
  <si>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</si>
  <si>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</si>
  <si>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</si>
  <si>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</si>
  <si>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</si>
  <si>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</si>
  <si>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</si>
  <si>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</si>
  <si>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</si>
  <si>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</si>
  <si>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</si>
  <si>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</si>
  <si>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</si>
  <si>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</si>
  <si>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</si>
  <si>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</si>
  <si>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</si>
  <si>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</si>
  <si>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</si>
  <si>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</si>
  <si>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</si>
  <si>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</si>
  <si>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</si>
  <si>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</si>
  <si>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</si>
  <si>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</si>
  <si>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</si>
  <si>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</si>
  <si>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</si>
  <si>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</si>
  <si>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</si>
  <si>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</si>
  <si>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</si>
  <si>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</si>
  <si>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</si>
  <si>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</si>
  <si>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</si>
  <si>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</si>
  <si>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</si>
  <si>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</si>
  <si>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</si>
  <si>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</si>
  <si>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</si>
  <si>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</si>
  <si>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</si>
  <si>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</si>
  <si>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</si>
  <si>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</si>
  <si>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</si>
  <si>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</si>
  <si>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</si>
  <si>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</si>
  <si>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</si>
  <si>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</si>
  <si>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</si>
  <si>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</si>
  <si>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</si>
  <si>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</si>
  <si>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</si>
  <si>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</si>
  <si>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</si>
  <si>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</si>
  <si>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</si>
  <si>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</si>
  <si>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</si>
  <si>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</si>
  <si>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</si>
  <si>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</si>
  <si>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</si>
  <si>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</si>
  <si>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</si>
  <si>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</si>
  <si>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</si>
  <si>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</si>
  <si>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</si>
  <si>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</si>
  <si>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</si>
  <si>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</si>
  <si>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</si>
  <si>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</si>
  <si>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</si>
  <si>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</si>
  <si>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</si>
  <si>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</si>
  <si>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</si>
  <si>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</si>
  <si>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</si>
  <si>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</si>
  <si>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</si>
  <si>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</si>
  <si>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</si>
  <si>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</si>
  <si>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</si>
  <si>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</si>
  <si>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</si>
  <si>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</si>
  <si>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</si>
  <si>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</si>
  <si>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</si>
  <si>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</si>
  <si>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</si>
  <si>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</si>
  <si>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</si>
  <si>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</si>
  <si>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</si>
  <si>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</si>
  <si>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</si>
  <si>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</si>
  <si>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</si>
  <si>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</si>
  <si>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</si>
  <si>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</si>
  <si>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</si>
  <si>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</si>
  <si>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</si>
  <si>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</si>
  <si>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</si>
  <si>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</si>
  <si>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</si>
  <si>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</si>
  <si>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</si>
  <si>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</si>
  <si>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</si>
  <si>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</si>
  <si>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</si>
  <si>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</si>
  <si>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</si>
  <si>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</si>
  <si>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</si>
  <si>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</si>
  <si>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</si>
  <si>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</si>
  <si>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</si>
  <si>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</si>
  <si>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</si>
  <si>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</si>
  <si>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</si>
  <si>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</si>
  <si>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</si>
  <si>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</si>
  <si>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</si>
  <si>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</si>
  <si>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</si>
  <si>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</si>
  <si>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</si>
  <si>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</si>
  <si>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</si>
  <si>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</si>
  <si>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</si>
  <si>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</si>
  <si>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</si>
  <si>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</si>
  <si>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</si>
  <si>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</si>
  <si>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</si>
  <si>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</si>
  <si>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</si>
  <si>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</si>
  <si>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</si>
  <si>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</si>
  <si>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</si>
  <si>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</si>
  <si>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</si>
  <si>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</si>
  <si>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</si>
  <si>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</si>
  <si>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</si>
  <si>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</si>
  <si>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</si>
  <si>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</si>
  <si>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</si>
  <si>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</si>
  <si>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</si>
  <si>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</si>
  <si>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</si>
  <si>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</si>
  <si>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</si>
  <si>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</si>
  <si>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</si>
  <si>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</si>
  <si>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</si>
  <si>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</si>
  <si>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</si>
  <si>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</si>
  <si>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</si>
  <si>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</si>
  <si>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</si>
  <si>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</si>
  <si>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</si>
  <si>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</si>
  <si>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</si>
  <si>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</si>
  <si>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</si>
  <si>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</si>
  <si>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</si>
  <si>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</si>
  <si>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</si>
  <si>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</si>
  <si>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</si>
  <si>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</si>
  <si>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</si>
  <si>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</si>
  <si>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</si>
  <si>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</si>
  <si>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</si>
  <si>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</si>
  <si>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</si>
  <si>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</si>
  <si>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</si>
  <si>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</si>
  <si>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</si>
  <si>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</si>
  <si>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</si>
  <si>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</si>
  <si>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</si>
  <si>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</si>
  <si>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</si>
  <si>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</si>
  <si>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</si>
  <si>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</si>
  <si>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</si>
  <si>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</si>
  <si>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</si>
  <si>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</si>
  <si>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</si>
  <si>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</si>
  <si>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</si>
  <si>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</si>
  <si>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</si>
  <si>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</si>
  <si>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</si>
  <si>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</si>
  <si>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</si>
  <si>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</si>
  <si>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</si>
  <si>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</si>
  <si>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</si>
  <si>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</si>
  <si>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</si>
  <si>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</si>
  <si>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</si>
  <si>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</si>
  <si>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</si>
  <si>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</si>
  <si>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</si>
  <si>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</si>
  <si>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</si>
  <si>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</si>
  <si>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</si>
  <si>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</si>
  <si>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</si>
  <si>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</si>
  <si>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</si>
  <si>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</si>
  <si>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</si>
  <si>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</si>
  <si>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</si>
  <si>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</si>
  <si>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</si>
  <si>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</si>
  <si>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</si>
  <si>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</si>
  <si>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</si>
  <si>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</si>
  <si>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</si>
  <si>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</si>
  <si>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</si>
  <si>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</si>
  <si>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</si>
  <si>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</si>
  <si>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</si>
  <si>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</si>
  <si>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</si>
  <si>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</si>
  <si>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</si>
  <si>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</si>
  <si>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</si>
  <si>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</si>
  <si>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</si>
  <si>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</si>
  <si>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</si>
  <si>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</si>
  <si>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</si>
  <si>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</si>
  <si>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</si>
  <si>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</si>
  <si>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</si>
  <si>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</si>
  <si>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</si>
  <si>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</si>
  <si>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</si>
  <si>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</si>
  <si>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</si>
  <si>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</si>
  <si>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</si>
  <si>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</si>
  <si>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</si>
  <si>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</si>
  <si>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</si>
  <si>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</si>
  <si>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EB-2017-0073</t>
  </si>
  <si>
    <t>2018 COS</t>
  </si>
  <si>
    <t>Sioux Lookout Hydro Inc.</t>
  </si>
  <si>
    <t>EB-2021-0057</t>
  </si>
  <si>
    <t>2021 IRM Application</t>
  </si>
  <si>
    <t>2016-2019</t>
  </si>
  <si>
    <t>GS &gt; 50 to 4,999 Kw</t>
  </si>
  <si>
    <t>IRR, 3-Staff-13 (b), Decision page 7</t>
  </si>
  <si>
    <t>EB-2017-0073, Exhibit 3, page 17, Table 3-20</t>
  </si>
  <si>
    <t>EB-2009-0249</t>
  </si>
  <si>
    <t>EB-2010-0114</t>
  </si>
  <si>
    <t>EB-2011-0102</t>
  </si>
  <si>
    <t>EB-2012-0165</t>
  </si>
  <si>
    <t>EB-2013-0170</t>
  </si>
  <si>
    <t>EB-2014-0112</t>
  </si>
  <si>
    <t>EB-2015-0101</t>
  </si>
  <si>
    <t>EB-2016-0103</t>
  </si>
  <si>
    <t>EB-2018-0066</t>
  </si>
  <si>
    <t>EB-2019-0067</t>
  </si>
  <si>
    <t>EB-2020-0054</t>
  </si>
  <si>
    <t>Block Heater Timer LDC Innovation Fund Pilot Program</t>
  </si>
  <si>
    <t>Tier 1</t>
  </si>
  <si>
    <t>Consumer</t>
  </si>
  <si>
    <t>EE</t>
  </si>
  <si>
    <t>Business</t>
  </si>
  <si>
    <t>Commercial &amp; Institutional</t>
  </si>
  <si>
    <t>Pre-2011 Programs Completed in 2011</t>
  </si>
  <si>
    <t>C&amp;I</t>
  </si>
  <si>
    <t>Tier 1 - 2011 Adjustment</t>
  </si>
  <si>
    <t>HVAC</t>
  </si>
  <si>
    <t>Annual Coupons</t>
  </si>
  <si>
    <t>Bi-Annual Retailer Events</t>
  </si>
  <si>
    <t>Home Assistance</t>
  </si>
  <si>
    <t>Small Business Lighting</t>
  </si>
  <si>
    <t>Commercial</t>
  </si>
  <si>
    <t>Time-of-Use Savings</t>
  </si>
  <si>
    <t>CFF</t>
  </si>
  <si>
    <t>Residential Province-Wide</t>
  </si>
  <si>
    <t>Non-Residential Province-Wide</t>
  </si>
  <si>
    <t>Save on Instant Discount Program</t>
  </si>
  <si>
    <t>Save on Energy Smart Thermostat Program</t>
  </si>
  <si>
    <t>Save on Energy Instant Discount Program</t>
  </si>
  <si>
    <t>M32</t>
  </si>
  <si>
    <t>Corrected value from 1.3126 to approved rate of 1.3165</t>
  </si>
  <si>
    <t>M39</t>
  </si>
  <si>
    <t>Corrected value from 10.9596 to approved rate of 10.9921</t>
  </si>
  <si>
    <t>D227</t>
  </si>
  <si>
    <t>Corrected value from 0 to 14,859</t>
  </si>
  <si>
    <t>D488</t>
  </si>
  <si>
    <t>Corrected value from 7,612 to 0</t>
  </si>
  <si>
    <t>B654</t>
  </si>
  <si>
    <t>Revised program name to match IESO report</t>
  </si>
  <si>
    <t>B660</t>
  </si>
  <si>
    <t>C58, H171 to H176</t>
  </si>
  <si>
    <t>Populated cells with interest rate</t>
  </si>
  <si>
    <t>Response to OEB-Staff-2</t>
  </si>
  <si>
    <t>Response to OEB-Staff-4(2016)</t>
  </si>
  <si>
    <t>Response to OEB-Staff-4(2017)</t>
  </si>
  <si>
    <t>D472</t>
  </si>
  <si>
    <t>Corrected value from 71,169 to 71,120</t>
  </si>
  <si>
    <t>Response to OEB-Staff-4 (2018 &amp; 2019)</t>
  </si>
  <si>
    <t>Response to OEB-Staff-5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</si>
</sst>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38" fontId="48" fillId="28" borderId="110" xfId="0" applyNumberFormat="1" applyFont="1" applyFill="1" applyBorder="1" applyAlignment="1" applyProtection="1">
      <alignment horizontal="center"/>
      <protection locked="0"/>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0" fontId="0" fillId="94" borderId="110" xfId="0" applyFill="1" applyBorder="1" applyAlignment="1">
      <alignment vertical="top"/>
    </xf>
    <xf numFmtId="0" fontId="0" fillId="94" borderId="110" xfId="0" applyFill="1" applyBorder="1"/>
    <xf numFmtId="0" fontId="0" fillId="94" borderId="0" xfId="0" applyFont="1" applyFill="1" applyBorder="1" applyAlignment="1">
      <alignment vertical="top"/>
    </xf>
    <xf numFmtId="3" fontId="0" fillId="94" borderId="3" xfId="0" applyNumberFormat="1" applyFill="1" applyBorder="1" applyAlignment="1">
      <alignment vertical="top"/>
    </xf>
    <xf numFmtId="3" fontId="0" fillId="94" borderId="35" xfId="0" applyNumberFormat="1" applyFill="1" applyBorder="1" applyAlignment="1">
      <alignment vertical="top"/>
    </xf>
    <xf numFmtId="3" fontId="0" fillId="94" borderId="45" xfId="0" applyNumberFormat="1" applyFill="1" applyBorder="1" applyAlignment="1">
      <alignment vertical="top"/>
    </xf>
    <xf numFmtId="0" fontId="0" fillId="94" borderId="0" xfId="0" applyFill="1" applyBorder="1"/>
    <xf numFmtId="0" fontId="13" fillId="94" borderId="0" xfId="0" applyFont="1" applyFill="1"/>
    <xf numFmtId="3" fontId="0" fillId="94" borderId="41" xfId="0" applyNumberFormat="1" applyFill="1" applyBorder="1" applyAlignment="1">
      <alignment vertical="top"/>
    </xf>
    <xf numFmtId="3" fontId="0" fillId="94" borderId="40" xfId="0" applyNumberFormat="1" applyFill="1" applyBorder="1" applyAlignment="1">
      <alignment vertical="top"/>
    </xf>
    <xf numFmtId="3" fontId="0" fillId="94" borderId="42" xfId="0" applyNumberFormat="1" applyFill="1" applyBorder="1" applyAlignment="1">
      <alignment vertical="top"/>
    </xf>
    <xf numFmtId="0" fontId="0" fillId="94" borderId="0" xfId="0" applyFill="1"/>
    <xf numFmtId="0" fontId="0" fillId="28" borderId="122" xfId="0" applyFill="1" applyBorder="1" applyAlignment="1">
      <alignment horizontal="left"/>
    </xf>
    <xf numFmtId="0" fontId="0" fillId="28" borderId="134" xfId="0" applyFill="1" applyBorder="1" applyAlignment="1">
      <alignment horizontal="left"/>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8" borderId="122" xfId="0" applyFill="1" applyBorder="1" applyAlignment="1">
      <alignment horizontal="fill" wrapText="1"/>
    </xf>
    <xf numFmtId="0" fontId="0" fillId="28" borderId="134" xfId="0" applyFill="1" applyBorder="1" applyAlignment="1">
      <alignment horizontal="fill"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1836" y="216648"/>
          <a:ext cx="17530832"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1626" y="134471"/>
          <a:ext cx="182562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Deanne Kulchyski" id="{31F24799-192B-48F4-9D10-0CE6F316273E}" userId="S::dkulchyski@siouxlookouthydro.com::9e79af8f-28a8-4b2e-9d00-f177a23aca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4" dT="2020-06-19T19:59:21.66" personId="{31F24799-192B-48F4-9D10-0CE6F316273E}" id="{BBB119D9-94BD-4FD3-89A9-E9A52844ED8A}">
    <text>billed/kWh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7" zoomScaleNormal="100" workbookViewId="0">
      <selection activeCell="A10" sqref="A10"/>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80" t="s">
        <v>174</v>
      </c>
      <c r="C3" s="780"/>
    </row>
    <row r="4" spans="1:3" ht="11.25" customHeight="1"/>
    <row r="5" spans="1:3" s="30" customFormat="1" ht="25.5" customHeight="1">
      <c r="B5" s="60" t="s">
        <v>419</v>
      </c>
      <c r="C5" s="60" t="s">
        <v>173</v>
      </c>
    </row>
    <row r="6" spans="1:3" s="176" customFormat="1" ht="48" customHeight="1">
      <c r="A6" s="241"/>
      <c r="B6" s="618" t="s">
        <v>170</v>
      </c>
      <c r="C6" s="671" t="s">
        <v>592</v>
      </c>
    </row>
    <row r="7" spans="1:3" s="176" customFormat="1" ht="21" customHeight="1">
      <c r="A7" s="241"/>
      <c r="B7" s="612" t="s">
        <v>551</v>
      </c>
      <c r="C7" s="672" t="s">
        <v>604</v>
      </c>
    </row>
    <row r="8" spans="1:3" s="176" customFormat="1" ht="32.25" customHeight="1">
      <c r="B8" s="612" t="s">
        <v>367</v>
      </c>
      <c r="C8" s="673" t="s">
        <v>593</v>
      </c>
    </row>
    <row r="9" spans="1:3" s="176" customFormat="1" ht="27.75" customHeight="1">
      <c r="B9" s="612" t="s">
        <v>169</v>
      </c>
      <c r="C9" s="673" t="s">
        <v>594</v>
      </c>
    </row>
    <row r="10" spans="1:3" s="176" customFormat="1" ht="26.25" customHeight="1">
      <c r="B10" s="627" t="s">
        <v>368</v>
      </c>
      <c r="C10" s="675" t="s">
        <v>595</v>
      </c>
    </row>
    <row r="11" spans="1:3" s="176" customFormat="1" ht="39.75" customHeight="1">
      <c r="B11" s="612" t="s">
        <v>369</v>
      </c>
      <c r="C11" s="673" t="s">
        <v>596</v>
      </c>
    </row>
    <row r="12" spans="1:3" s="176" customFormat="1" ht="18" customHeight="1">
      <c r="B12" s="612" t="s">
        <v>370</v>
      </c>
      <c r="C12" s="673" t="s">
        <v>597</v>
      </c>
    </row>
    <row r="13" spans="1:3" s="176" customFormat="1" ht="13.5" customHeight="1">
      <c r="B13" s="612"/>
      <c r="C13" s="674"/>
    </row>
    <row r="14" spans="1:3" s="176" customFormat="1" ht="18" customHeight="1">
      <c r="B14" s="612" t="s">
        <v>656</v>
      </c>
      <c r="C14" s="672" t="s">
        <v>654</v>
      </c>
    </row>
    <row r="15" spans="1:3" s="176" customFormat="1" ht="8.25" customHeight="1">
      <c r="B15" s="612"/>
      <c r="C15" s="674"/>
    </row>
    <row r="16" spans="1:3" s="176" customFormat="1" ht="33" customHeight="1">
      <c r="B16" s="676" t="s">
        <v>591</v>
      </c>
      <c r="C16" s="677" t="s">
        <v>655</v>
      </c>
    </row>
    <row r="17" spans="2:2" s="103" customFormat="1" ht="15.7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472" zoomScale="60" zoomScaleNormal="60" workbookViewId="0">
      <pane xSplit="2" topLeftCell="C1" activePane="topRight" state="frozen"/>
      <selection pane="topRight" activeCell="B660" sqref="B660"/>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4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0"/>
      <c r="C16" s="823" t="s">
        <v>550</v>
      </c>
      <c r="D16" s="82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0" t="s">
        <v>504</v>
      </c>
      <c r="C18" s="839" t="s">
        <v>679</v>
      </c>
      <c r="D18" s="839"/>
      <c r="E18" s="839"/>
      <c r="F18" s="839"/>
      <c r="G18" s="839"/>
      <c r="H18" s="839"/>
      <c r="I18" s="839"/>
      <c r="J18" s="839"/>
      <c r="K18" s="839"/>
      <c r="L18" s="839"/>
      <c r="M18" s="839"/>
      <c r="N18" s="839"/>
      <c r="O18" s="839"/>
      <c r="P18" s="839"/>
      <c r="Q18" s="839"/>
      <c r="R18" s="839"/>
      <c r="S18" s="839"/>
      <c r="T18" s="839"/>
      <c r="U18" s="839"/>
      <c r="V18" s="839"/>
      <c r="W18" s="839"/>
      <c r="X18" s="839"/>
      <c r="Y18" s="606"/>
      <c r="Z18" s="606"/>
      <c r="AA18" s="606"/>
      <c r="AB18" s="606"/>
      <c r="AC18" s="606"/>
      <c r="AD18" s="606"/>
      <c r="AE18" s="270"/>
      <c r="AF18" s="265"/>
      <c r="AG18" s="265"/>
      <c r="AH18" s="265"/>
      <c r="AI18" s="265"/>
      <c r="AJ18" s="265"/>
      <c r="AK18" s="265"/>
      <c r="AL18" s="265"/>
      <c r="AM18" s="265"/>
    </row>
    <row r="19" spans="2:39" ht="45.75" customHeight="1">
      <c r="B19" s="840"/>
      <c r="C19" s="839" t="s">
        <v>564</v>
      </c>
      <c r="D19" s="839"/>
      <c r="E19" s="839"/>
      <c r="F19" s="839"/>
      <c r="G19" s="839"/>
      <c r="H19" s="839"/>
      <c r="I19" s="839"/>
      <c r="J19" s="839"/>
      <c r="K19" s="839"/>
      <c r="L19" s="839"/>
      <c r="M19" s="839"/>
      <c r="N19" s="839"/>
      <c r="O19" s="839"/>
      <c r="P19" s="839"/>
      <c r="Q19" s="839"/>
      <c r="R19" s="839"/>
      <c r="S19" s="839"/>
      <c r="T19" s="839"/>
      <c r="U19" s="839"/>
      <c r="V19" s="839"/>
      <c r="W19" s="839"/>
      <c r="X19" s="839"/>
      <c r="Y19" s="606"/>
      <c r="Z19" s="606"/>
      <c r="AA19" s="606"/>
      <c r="AB19" s="606"/>
      <c r="AC19" s="606"/>
      <c r="AD19" s="606"/>
      <c r="AE19" s="270"/>
      <c r="AF19" s="265"/>
      <c r="AG19" s="265"/>
      <c r="AH19" s="265"/>
      <c r="AI19" s="265"/>
      <c r="AJ19" s="265"/>
      <c r="AK19" s="265"/>
      <c r="AL19" s="265"/>
      <c r="AM19" s="265"/>
    </row>
    <row r="20" spans="2:39" ht="62.25" customHeight="1">
      <c r="B20" s="273"/>
      <c r="C20" s="839" t="s">
        <v>562</v>
      </c>
      <c r="D20" s="839"/>
      <c r="E20" s="839"/>
      <c r="F20" s="839"/>
      <c r="G20" s="839"/>
      <c r="H20" s="839"/>
      <c r="I20" s="839"/>
      <c r="J20" s="839"/>
      <c r="K20" s="839"/>
      <c r="L20" s="839"/>
      <c r="M20" s="839"/>
      <c r="N20" s="839"/>
      <c r="O20" s="839"/>
      <c r="P20" s="839"/>
      <c r="Q20" s="839"/>
      <c r="R20" s="839"/>
      <c r="S20" s="839"/>
      <c r="T20" s="839"/>
      <c r="U20" s="839"/>
      <c r="V20" s="839"/>
      <c r="W20" s="839"/>
      <c r="X20" s="839"/>
      <c r="Y20" s="606"/>
      <c r="Z20" s="606"/>
      <c r="AA20" s="606"/>
      <c r="AB20" s="606"/>
      <c r="AC20" s="606"/>
      <c r="AD20" s="606"/>
      <c r="AE20" s="428"/>
      <c r="AF20" s="265"/>
      <c r="AG20" s="265"/>
      <c r="AH20" s="265"/>
      <c r="AI20" s="265"/>
      <c r="AJ20" s="265"/>
      <c r="AK20" s="265"/>
      <c r="AL20" s="265"/>
      <c r="AM20" s="265"/>
    </row>
    <row r="21" spans="2:39" ht="37.5" customHeight="1">
      <c r="B21" s="273"/>
      <c r="C21" s="839" t="s">
        <v>624</v>
      </c>
      <c r="D21" s="839"/>
      <c r="E21" s="839"/>
      <c r="F21" s="839"/>
      <c r="G21" s="839"/>
      <c r="H21" s="839"/>
      <c r="I21" s="839"/>
      <c r="J21" s="839"/>
      <c r="K21" s="839"/>
      <c r="L21" s="839"/>
      <c r="M21" s="839"/>
      <c r="N21" s="839"/>
      <c r="O21" s="839"/>
      <c r="P21" s="839"/>
      <c r="Q21" s="839"/>
      <c r="R21" s="839"/>
      <c r="S21" s="839"/>
      <c r="T21" s="839"/>
      <c r="U21" s="839"/>
      <c r="V21" s="839"/>
      <c r="W21" s="839"/>
      <c r="X21" s="839"/>
      <c r="Y21" s="606"/>
      <c r="Z21" s="606"/>
      <c r="AA21" s="606"/>
      <c r="AB21" s="606"/>
      <c r="AC21" s="606"/>
      <c r="AD21" s="606"/>
      <c r="AE21" s="276"/>
      <c r="AF21" s="265"/>
      <c r="AG21" s="265"/>
      <c r="AH21" s="265"/>
      <c r="AI21" s="265"/>
      <c r="AJ21" s="265"/>
      <c r="AK21" s="265"/>
      <c r="AL21" s="265"/>
      <c r="AM21" s="265"/>
    </row>
    <row r="22" spans="2:39" ht="54.75" customHeight="1">
      <c r="B22" s="273"/>
      <c r="C22" s="839" t="s">
        <v>610</v>
      </c>
      <c r="D22" s="839"/>
      <c r="E22" s="839"/>
      <c r="F22" s="839"/>
      <c r="G22" s="839"/>
      <c r="H22" s="839"/>
      <c r="I22" s="839"/>
      <c r="J22" s="839"/>
      <c r="K22" s="839"/>
      <c r="L22" s="839"/>
      <c r="M22" s="839"/>
      <c r="N22" s="839"/>
      <c r="O22" s="839"/>
      <c r="P22" s="839"/>
      <c r="Q22" s="839"/>
      <c r="R22" s="839"/>
      <c r="S22" s="839"/>
      <c r="T22" s="839"/>
      <c r="U22" s="839"/>
      <c r="V22" s="839"/>
      <c r="W22" s="839"/>
      <c r="X22" s="839"/>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0"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0"/>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0" t="s">
        <v>211</v>
      </c>
      <c r="C34" s="832" t="s">
        <v>33</v>
      </c>
      <c r="D34" s="284" t="s">
        <v>421</v>
      </c>
      <c r="E34" s="834" t="s">
        <v>209</v>
      </c>
      <c r="F34" s="835"/>
      <c r="G34" s="835"/>
      <c r="H34" s="835"/>
      <c r="I34" s="835"/>
      <c r="J34" s="835"/>
      <c r="K34" s="835"/>
      <c r="L34" s="835"/>
      <c r="M34" s="836"/>
      <c r="N34" s="837" t="s">
        <v>213</v>
      </c>
      <c r="O34" s="284" t="s">
        <v>422</v>
      </c>
      <c r="P34" s="834" t="s">
        <v>212</v>
      </c>
      <c r="Q34" s="835"/>
      <c r="R34" s="835"/>
      <c r="S34" s="835"/>
      <c r="T34" s="835"/>
      <c r="U34" s="835"/>
      <c r="V34" s="835"/>
      <c r="W34" s="835"/>
      <c r="X34" s="836"/>
      <c r="Y34" s="827" t="s">
        <v>243</v>
      </c>
      <c r="Z34" s="828"/>
      <c r="AA34" s="828"/>
      <c r="AB34" s="828"/>
      <c r="AC34" s="828"/>
      <c r="AD34" s="828"/>
      <c r="AE34" s="828"/>
      <c r="AF34" s="828"/>
      <c r="AG34" s="828"/>
      <c r="AH34" s="828"/>
      <c r="AI34" s="828"/>
      <c r="AJ34" s="828"/>
      <c r="AK34" s="828"/>
      <c r="AL34" s="828"/>
      <c r="AM34" s="829"/>
    </row>
    <row r="35" spans="1:39" ht="65.25" customHeight="1">
      <c r="B35" s="831"/>
      <c r="C35" s="833"/>
      <c r="D35" s="285">
        <v>2015</v>
      </c>
      <c r="E35" s="285">
        <v>2016</v>
      </c>
      <c r="F35" s="285">
        <v>2017</v>
      </c>
      <c r="G35" s="285">
        <v>2018</v>
      </c>
      <c r="H35" s="285">
        <v>2019</v>
      </c>
      <c r="I35" s="285">
        <v>2020</v>
      </c>
      <c r="J35" s="285">
        <v>2021</v>
      </c>
      <c r="K35" s="285">
        <v>2022</v>
      </c>
      <c r="L35" s="285">
        <v>2023</v>
      </c>
      <c r="M35" s="429">
        <v>2024</v>
      </c>
      <c r="N35" s="83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&gt; 50 to 4,999 Kw</v>
      </c>
      <c r="AB35" s="285" t="str">
        <f>'1.  LRAMVA Summary'!G52</f>
        <v>Street Lighting</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41782</v>
      </c>
      <c r="E38" s="295">
        <v>41782</v>
      </c>
      <c r="F38" s="295">
        <v>41782</v>
      </c>
      <c r="G38" s="295">
        <v>41782</v>
      </c>
      <c r="H38" s="295">
        <v>41782</v>
      </c>
      <c r="I38" s="295">
        <v>41782</v>
      </c>
      <c r="J38" s="295">
        <v>41782</v>
      </c>
      <c r="K38" s="295">
        <v>41773</v>
      </c>
      <c r="L38" s="295">
        <v>41773</v>
      </c>
      <c r="M38" s="295">
        <v>41773</v>
      </c>
      <c r="N38" s="291"/>
      <c r="O38" s="295">
        <v>3</v>
      </c>
      <c r="P38" s="295"/>
      <c r="Q38" s="295"/>
      <c r="R38" s="295"/>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76515</v>
      </c>
      <c r="E41" s="295">
        <v>76515</v>
      </c>
      <c r="F41" s="295">
        <v>76515</v>
      </c>
      <c r="G41" s="295">
        <v>76515</v>
      </c>
      <c r="H41" s="295">
        <v>76515</v>
      </c>
      <c r="I41" s="295">
        <v>76515</v>
      </c>
      <c r="J41" s="295">
        <v>76515</v>
      </c>
      <c r="K41" s="295">
        <v>76475</v>
      </c>
      <c r="L41" s="295">
        <v>76475</v>
      </c>
      <c r="M41" s="295">
        <v>76475</v>
      </c>
      <c r="N41" s="291"/>
      <c r="O41" s="295">
        <v>5</v>
      </c>
      <c r="P41" s="295">
        <v>5</v>
      </c>
      <c r="Q41" s="295">
        <v>5</v>
      </c>
      <c r="R41" s="295">
        <v>5</v>
      </c>
      <c r="S41" s="295">
        <v>5</v>
      </c>
      <c r="T41" s="295">
        <v>5</v>
      </c>
      <c r="U41" s="295">
        <v>5</v>
      </c>
      <c r="V41" s="295">
        <v>5</v>
      </c>
      <c r="W41" s="295">
        <v>5</v>
      </c>
      <c r="X41" s="295">
        <v>5</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665</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392698</v>
      </c>
      <c r="E57" s="295">
        <v>392698</v>
      </c>
      <c r="F57" s="295">
        <v>392698</v>
      </c>
      <c r="G57" s="295">
        <v>392698</v>
      </c>
      <c r="H57" s="295">
        <v>392698</v>
      </c>
      <c r="I57" s="295">
        <v>392698</v>
      </c>
      <c r="J57" s="295">
        <v>392698</v>
      </c>
      <c r="K57" s="295">
        <v>392698</v>
      </c>
      <c r="L57" s="295">
        <v>390349</v>
      </c>
      <c r="M57" s="295">
        <v>389455</v>
      </c>
      <c r="N57" s="295">
        <v>12</v>
      </c>
      <c r="O57" s="295">
        <v>40</v>
      </c>
      <c r="P57" s="295">
        <v>2</v>
      </c>
      <c r="Q57" s="295">
        <v>2</v>
      </c>
      <c r="R57" s="295">
        <v>2</v>
      </c>
      <c r="S57" s="295">
        <v>2</v>
      </c>
      <c r="T57" s="295">
        <v>2</v>
      </c>
      <c r="U57" s="295">
        <v>2</v>
      </c>
      <c r="V57" s="295">
        <v>2</v>
      </c>
      <c r="W57" s="295">
        <v>2</v>
      </c>
      <c r="X57" s="295">
        <v>2</v>
      </c>
      <c r="Y57" s="533"/>
      <c r="Z57" s="533"/>
      <c r="AA57" s="533">
        <v>0.05</v>
      </c>
      <c r="AB57" s="410">
        <v>0.95</v>
      </c>
      <c r="AC57" s="533"/>
      <c r="AD57" s="410"/>
      <c r="AE57" s="410"/>
      <c r="AF57" s="415"/>
      <c r="AG57" s="415"/>
      <c r="AH57" s="415"/>
      <c r="AI57" s="415"/>
      <c r="AJ57" s="415"/>
      <c r="AK57" s="415"/>
      <c r="AL57" s="415"/>
      <c r="AM57" s="296">
        <f>SUM(Y57:AL57)</f>
        <v>1</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0.05</v>
      </c>
      <c r="AB58" s="411">
        <f t="shared" ref="AB58" si="67">AB57</f>
        <v>0.95</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26114</v>
      </c>
      <c r="E60" s="295">
        <v>43452</v>
      </c>
      <c r="F60" s="295">
        <v>26459</v>
      </c>
      <c r="G60" s="295">
        <v>26114</v>
      </c>
      <c r="H60" s="295">
        <v>26114</v>
      </c>
      <c r="I60" s="295">
        <v>26114</v>
      </c>
      <c r="J60" s="295">
        <v>26114</v>
      </c>
      <c r="K60" s="295">
        <v>26114</v>
      </c>
      <c r="L60" s="295">
        <v>26114</v>
      </c>
      <c r="M60" s="295">
        <v>26114</v>
      </c>
      <c r="N60" s="295">
        <v>12</v>
      </c>
      <c r="O60" s="295">
        <v>18</v>
      </c>
      <c r="P60" s="295">
        <v>11</v>
      </c>
      <c r="Q60" s="295">
        <v>6</v>
      </c>
      <c r="R60" s="295">
        <v>6</v>
      </c>
      <c r="S60" s="295">
        <v>6</v>
      </c>
      <c r="T60" s="295">
        <v>6</v>
      </c>
      <c r="U60" s="295">
        <v>6</v>
      </c>
      <c r="V60" s="295">
        <v>6</v>
      </c>
      <c r="W60" s="295">
        <v>6</v>
      </c>
      <c r="X60" s="295">
        <v>6</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v>3</v>
      </c>
      <c r="P80" s="295"/>
      <c r="Q80" s="295"/>
      <c r="R80" s="295"/>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537109</v>
      </c>
      <c r="E195" s="329"/>
      <c r="F195" s="329"/>
      <c r="G195" s="329"/>
      <c r="H195" s="329"/>
      <c r="I195" s="329"/>
      <c r="J195" s="329"/>
      <c r="K195" s="329"/>
      <c r="L195" s="329"/>
      <c r="M195" s="329"/>
      <c r="N195" s="329"/>
      <c r="O195" s="329">
        <f>SUM(O38:O193)</f>
        <v>69</v>
      </c>
      <c r="P195" s="329"/>
      <c r="Q195" s="329"/>
      <c r="R195" s="329"/>
      <c r="S195" s="329"/>
      <c r="T195" s="329"/>
      <c r="U195" s="329"/>
      <c r="V195" s="329"/>
      <c r="W195" s="329"/>
      <c r="X195" s="329"/>
      <c r="Y195" s="329">
        <f>IF(Y36="kWh",SUMPRODUCT(D38:D193,Y38:Y193))</f>
        <v>118297</v>
      </c>
      <c r="Z195" s="329">
        <f>IF(Z36="kWh",SUMPRODUCT(D38:D193,Z38:Z193))</f>
        <v>26114</v>
      </c>
      <c r="AA195" s="329">
        <f>IF(AA36="kw",SUMPRODUCT(N38:N193,O38:O193,AA38:AA193),SUMPRODUCT(D38:D193,AA38:AA193))</f>
        <v>24</v>
      </c>
      <c r="AB195" s="329">
        <f>IF(AB36="kw",SUMPRODUCT(N38:N193,O38:O193,AB38:AB193),SUMPRODUCT(D38:D193,AB38:AB193))</f>
        <v>456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511521</v>
      </c>
      <c r="Z196" s="392">
        <f>HLOOKUP(Z35,'2. LRAMVA Threshold'!$B$42:$Q$53,7,FALSE)</f>
        <v>183184</v>
      </c>
      <c r="AA196" s="392">
        <f>HLOOKUP(AA35,'2. LRAMVA Threshold'!$B$42:$Q$53,7,FALSE)</f>
        <v>959</v>
      </c>
      <c r="AB196" s="392">
        <f>HLOOKUP(AB35,'2. LRAMVA Threshold'!$B$42:$Q$53,7,FALSE)</f>
        <v>24</v>
      </c>
      <c r="AC196" s="392">
        <f>HLOOKUP(AC35,'2. LRAMVA Threshold'!$B$42:$Q$53,7,FALSE)</f>
        <v>190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1.1599999999999999E-2</v>
      </c>
      <c r="Z198" s="341">
        <f>HLOOKUP(Z$35,'3.  Distribution Rates'!$C$122:$P$133,7,FALSE)</f>
        <v>8.0000000000000002E-3</v>
      </c>
      <c r="AA198" s="341">
        <f>HLOOKUP(AA$35,'3.  Distribution Rates'!$C$122:$P$133,7,FALSE)</f>
        <v>1.2978000000000001</v>
      </c>
      <c r="AB198" s="341">
        <f>HLOOKUP(AB$35,'3.  Distribution Rates'!$C$122:$P$133,7,FALSE)</f>
        <v>27.266500000000001</v>
      </c>
      <c r="AC198" s="341">
        <f>HLOOKUP(AC$35,'3.  Distribution Rates'!$C$122:$P$133,7,FALSE)</f>
        <v>8.6E-3</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586.25174799326112</v>
      </c>
      <c r="Z199" s="378">
        <f>'4.  2011-2014 LRAM'!Z138*Z198</f>
        <v>47.890991091734719</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634.14273908499581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402.30647699376158</v>
      </c>
      <c r="Z200" s="378">
        <f>'4.  2011-2014 LRAM'!Z267*Z198</f>
        <v>349.17934018708809</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751.48581718084961</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821.3779052260503</v>
      </c>
      <c r="Z201" s="378">
        <f>'4.  2011-2014 LRAM'!Z396*Z198</f>
        <v>1248.8974869161439</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2070.2753921421941</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2574.3771844460398</v>
      </c>
      <c r="Z202" s="378">
        <f>'4.  2011-2014 LRAM'!Z526*Z198</f>
        <v>417.27475304000001</v>
      </c>
      <c r="AA202" s="378">
        <f>'4.  2011-2014 LRAM'!AA526*AA198</f>
        <v>171.25847887932002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3162.9104163653601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1372.2451999999998</v>
      </c>
      <c r="Z203" s="378">
        <f>Z195*Z198</f>
        <v>208.91200000000001</v>
      </c>
      <c r="AA203" s="378">
        <f>AA195*AA198</f>
        <v>31.147200000000002</v>
      </c>
      <c r="AB203" s="378">
        <f t="shared" ref="AB203:AL203" si="553">AB195*AB198</f>
        <v>12433.523999999999</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14045.828399999999</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5756.5585146591129</v>
      </c>
      <c r="Z204" s="346">
        <f>SUM(Z199:Z203)</f>
        <v>2272.1545712349666</v>
      </c>
      <c r="AA204" s="346">
        <f t="shared" ref="AA204:AE204" si="554">SUM(AA199:AA203)</f>
        <v>202.40567887932002</v>
      </c>
      <c r="AB204" s="346">
        <f t="shared" si="554"/>
        <v>12433.523999999999</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20664.642764773398</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5933.6435999999994</v>
      </c>
      <c r="Z205" s="347">
        <f t="shared" ref="Z205:AE205" si="556">Z196*Z198</f>
        <v>1465.472</v>
      </c>
      <c r="AA205" s="347">
        <f t="shared" si="556"/>
        <v>1244.5902000000001</v>
      </c>
      <c r="AB205" s="347">
        <f t="shared" si="556"/>
        <v>654.39599999999996</v>
      </c>
      <c r="AC205" s="347">
        <f t="shared" si="556"/>
        <v>1.6339999999999999</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9299.7358000000004</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11364.906964773398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118297</v>
      </c>
      <c r="Z208" s="291">
        <f>SUMPRODUCT(E38:E193,Z38:Z193)</f>
        <v>43452</v>
      </c>
      <c r="AA208" s="291">
        <f>IF(AA36="kw",SUMPRODUCT(N38:N193,P38:P193,AA38:AA193),SUMPRODUCT(E38:E193,AA38:AA193))</f>
        <v>1.2000000000000002</v>
      </c>
      <c r="AB208" s="291">
        <f>IF(AB36="kw",SUMPRODUCT(N38:N193,P38:P193,AB38:AB193),SUMPRODUCT(E38:E193,AB38:AB193))</f>
        <v>22.799999999999997</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118297</v>
      </c>
      <c r="Z209" s="291">
        <f>SUMPRODUCT(F38:F193,Z38:Z193)</f>
        <v>26459</v>
      </c>
      <c r="AA209" s="291">
        <f>IF(AA36="kw",SUMPRODUCT(N38:N193,Q38:Q193,AA38:AA193),SUMPRODUCT(F38:F193,AA38:AA193))</f>
        <v>1.2000000000000002</v>
      </c>
      <c r="AB209" s="291">
        <f>IF(AB36="kw",SUMPRODUCT(N38:N193,Q38:Q193,AB38:AB193),SUMPRODUCT(F38:F193,AB38:AB193))</f>
        <v>22.799999999999997</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118297</v>
      </c>
      <c r="Z210" s="291">
        <f>SUMPRODUCT(G38:G193,Z38:Z193)</f>
        <v>26114</v>
      </c>
      <c r="AA210" s="291">
        <f>IF(AA36="kw",SUMPRODUCT(N38:N193,R38:R193,AA38:AA193),SUMPRODUCT(G38:G193,AA38:AA193))</f>
        <v>1.2000000000000002</v>
      </c>
      <c r="AB210" s="291">
        <f>IF(AB36="kw",SUMPRODUCT(N38:N193,R38:R193,AB38:AB193),SUMPRODUCT(G38:G193,AB38:AB193))</f>
        <v>22.799999999999997</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118297</v>
      </c>
      <c r="Z211" s="291">
        <f>SUMPRODUCT(H38:H193,Z38:Z193)</f>
        <v>26114</v>
      </c>
      <c r="AA211" s="291">
        <f>IF(AA36="kw",SUMPRODUCT(N38:N193,S38:S193,AA38:AA193),SUMPRODUCT(H38:H193,AA38:AA193))</f>
        <v>1.2000000000000002</v>
      </c>
      <c r="AB211" s="291">
        <f>IF(AB36="kw",SUMPRODUCT(N38:N193,S38:S193,AB38:AB193),SUMPRODUCT(H38:H193,AB38:AB193))</f>
        <v>22.799999999999997</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118297</v>
      </c>
      <c r="Z212" s="326">
        <f>SUMPRODUCT(I38:I193,Z38:Z193)</f>
        <v>26114</v>
      </c>
      <c r="AA212" s="326">
        <f>IF(AA36="kw",SUMPRODUCT(N38:N193,T38:T193,AA38:AA193),SUMPRODUCT(I38:I193,AA38:AA193))</f>
        <v>1.2000000000000002</v>
      </c>
      <c r="AB212" s="326">
        <f>IF(AB36="kw",SUMPRODUCT(N38:N193,T38:T193,AB38:AB193),SUMPRODUCT(I38:I193,AB38:AB193))</f>
        <v>22.799999999999997</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0" t="s">
        <v>211</v>
      </c>
      <c r="C217" s="832" t="s">
        <v>33</v>
      </c>
      <c r="D217" s="284" t="s">
        <v>421</v>
      </c>
      <c r="E217" s="834" t="s">
        <v>209</v>
      </c>
      <c r="F217" s="835"/>
      <c r="G217" s="835"/>
      <c r="H217" s="835"/>
      <c r="I217" s="835"/>
      <c r="J217" s="835"/>
      <c r="K217" s="835"/>
      <c r="L217" s="835"/>
      <c r="M217" s="836"/>
      <c r="N217" s="837" t="s">
        <v>213</v>
      </c>
      <c r="O217" s="284" t="s">
        <v>422</v>
      </c>
      <c r="P217" s="834" t="s">
        <v>212</v>
      </c>
      <c r="Q217" s="835"/>
      <c r="R217" s="835"/>
      <c r="S217" s="835"/>
      <c r="T217" s="835"/>
      <c r="U217" s="835"/>
      <c r="V217" s="835"/>
      <c r="W217" s="835"/>
      <c r="X217" s="836"/>
      <c r="Y217" s="827" t="s">
        <v>243</v>
      </c>
      <c r="Z217" s="828"/>
      <c r="AA217" s="828"/>
      <c r="AB217" s="828"/>
      <c r="AC217" s="828"/>
      <c r="AD217" s="828"/>
      <c r="AE217" s="828"/>
      <c r="AF217" s="828"/>
      <c r="AG217" s="828"/>
      <c r="AH217" s="828"/>
      <c r="AI217" s="828"/>
      <c r="AJ217" s="828"/>
      <c r="AK217" s="828"/>
      <c r="AL217" s="828"/>
      <c r="AM217" s="829"/>
    </row>
    <row r="218" spans="1:39" ht="60.75" customHeight="1">
      <c r="B218" s="831"/>
      <c r="C218" s="833"/>
      <c r="D218" s="285">
        <v>2016</v>
      </c>
      <c r="E218" s="285">
        <v>2017</v>
      </c>
      <c r="F218" s="285">
        <v>2018</v>
      </c>
      <c r="G218" s="285">
        <v>2019</v>
      </c>
      <c r="H218" s="285">
        <v>2020</v>
      </c>
      <c r="I218" s="285">
        <v>2021</v>
      </c>
      <c r="J218" s="285">
        <v>2022</v>
      </c>
      <c r="K218" s="285">
        <v>2023</v>
      </c>
      <c r="L218" s="285">
        <v>2024</v>
      </c>
      <c r="M218" s="285">
        <v>2025</v>
      </c>
      <c r="N218" s="83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&gt; 50 to 4,999 Kw</v>
      </c>
      <c r="AB218" s="285" t="str">
        <f>'1.  LRAMVA Summary'!G52</f>
        <v>Street Lighting</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v>41782</v>
      </c>
      <c r="E221" s="295">
        <v>41782</v>
      </c>
      <c r="F221" s="295">
        <v>41782</v>
      </c>
      <c r="G221" s="295">
        <v>41782</v>
      </c>
      <c r="H221" s="295">
        <v>41782</v>
      </c>
      <c r="I221" s="295">
        <v>41782</v>
      </c>
      <c r="J221" s="295">
        <v>41773</v>
      </c>
      <c r="K221" s="295">
        <v>41773</v>
      </c>
      <c r="L221" s="295">
        <v>41773</v>
      </c>
      <c r="M221" s="295">
        <v>38540</v>
      </c>
      <c r="N221" s="291"/>
      <c r="O221" s="295">
        <v>3</v>
      </c>
      <c r="P221" s="295">
        <v>3</v>
      </c>
      <c r="Q221" s="295">
        <v>3</v>
      </c>
      <c r="R221" s="295">
        <v>3</v>
      </c>
      <c r="S221" s="295">
        <v>3</v>
      </c>
      <c r="T221" s="295">
        <v>3</v>
      </c>
      <c r="U221" s="295">
        <v>3</v>
      </c>
      <c r="V221" s="295">
        <v>3</v>
      </c>
      <c r="W221" s="295">
        <v>3</v>
      </c>
      <c r="X221" s="295">
        <v>2</v>
      </c>
      <c r="Y221" s="410">
        <v>1</v>
      </c>
      <c r="Z221" s="410"/>
      <c r="AA221" s="410"/>
      <c r="AB221" s="410"/>
      <c r="AC221" s="410"/>
      <c r="AD221" s="410"/>
      <c r="AE221" s="410"/>
      <c r="AF221" s="410"/>
      <c r="AG221" s="410"/>
      <c r="AH221" s="410"/>
      <c r="AI221" s="410"/>
      <c r="AJ221" s="410"/>
      <c r="AK221" s="410"/>
      <c r="AL221" s="410"/>
      <c r="AM221" s="296">
        <f>SUM(Y221:AL221)</f>
        <v>1</v>
      </c>
    </row>
    <row r="222" spans="1:39" outlineLevel="1">
      <c r="B222" s="294" t="s">
        <v>289</v>
      </c>
      <c r="C222" s="291" t="s">
        <v>163</v>
      </c>
      <c r="D222" s="295">
        <v>6941</v>
      </c>
      <c r="E222" s="295">
        <v>6941</v>
      </c>
      <c r="F222" s="295">
        <v>6941</v>
      </c>
      <c r="G222" s="295">
        <v>6941</v>
      </c>
      <c r="H222" s="295">
        <v>6941</v>
      </c>
      <c r="I222" s="295">
        <v>6941</v>
      </c>
      <c r="J222" s="295">
        <v>6938</v>
      </c>
      <c r="K222" s="295">
        <v>6938</v>
      </c>
      <c r="L222" s="295">
        <v>6938</v>
      </c>
      <c r="M222" s="295">
        <v>6766</v>
      </c>
      <c r="N222" s="468"/>
      <c r="O222" s="295"/>
      <c r="P222" s="295"/>
      <c r="Q222" s="295"/>
      <c r="R222" s="295"/>
      <c r="S222" s="295"/>
      <c r="T222" s="295"/>
      <c r="U222" s="295"/>
      <c r="V222" s="295"/>
      <c r="W222" s="295"/>
      <c r="X222" s="295"/>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v>76515</v>
      </c>
      <c r="E224" s="295">
        <v>76515</v>
      </c>
      <c r="F224" s="295">
        <v>76515</v>
      </c>
      <c r="G224" s="295">
        <v>76515</v>
      </c>
      <c r="H224" s="295">
        <v>76515</v>
      </c>
      <c r="I224" s="295">
        <v>76515</v>
      </c>
      <c r="J224" s="295">
        <v>76475</v>
      </c>
      <c r="K224" s="295">
        <v>76475</v>
      </c>
      <c r="L224" s="295">
        <v>76475</v>
      </c>
      <c r="M224" s="295">
        <v>70521</v>
      </c>
      <c r="N224" s="291"/>
      <c r="O224" s="295">
        <v>5</v>
      </c>
      <c r="P224" s="295">
        <v>5</v>
      </c>
      <c r="Q224" s="295">
        <v>5</v>
      </c>
      <c r="R224" s="295">
        <v>5</v>
      </c>
      <c r="S224" s="295">
        <v>5</v>
      </c>
      <c r="T224" s="295">
        <v>5</v>
      </c>
      <c r="U224" s="295">
        <v>5</v>
      </c>
      <c r="V224" s="295">
        <v>5</v>
      </c>
      <c r="W224" s="295">
        <v>5</v>
      </c>
      <c r="X224" s="295">
        <v>4</v>
      </c>
      <c r="Y224" s="410">
        <v>1</v>
      </c>
      <c r="Z224" s="410"/>
      <c r="AA224" s="410"/>
      <c r="AB224" s="410"/>
      <c r="AC224" s="410"/>
      <c r="AD224" s="410"/>
      <c r="AE224" s="410"/>
      <c r="AF224" s="410"/>
      <c r="AG224" s="410"/>
      <c r="AH224" s="410"/>
      <c r="AI224" s="410"/>
      <c r="AJ224" s="410"/>
      <c r="AK224" s="410"/>
      <c r="AL224" s="410"/>
      <c r="AM224" s="296">
        <f>SUM(Y224:AL224)</f>
        <v>1</v>
      </c>
    </row>
    <row r="225" spans="1:39" outlineLevel="1">
      <c r="B225" s="294" t="s">
        <v>289</v>
      </c>
      <c r="C225" s="291" t="s">
        <v>163</v>
      </c>
      <c r="D225" s="295">
        <v>796</v>
      </c>
      <c r="E225" s="295">
        <v>796</v>
      </c>
      <c r="F225" s="295">
        <v>796</v>
      </c>
      <c r="G225" s="295">
        <v>796</v>
      </c>
      <c r="H225" s="295">
        <v>796</v>
      </c>
      <c r="I225" s="295">
        <v>796</v>
      </c>
      <c r="J225" s="295">
        <v>794</v>
      </c>
      <c r="K225" s="295">
        <v>794</v>
      </c>
      <c r="L225" s="295">
        <v>794</v>
      </c>
      <c r="M225" s="295">
        <v>674</v>
      </c>
      <c r="N225" s="468"/>
      <c r="O225" s="295"/>
      <c r="P225" s="295"/>
      <c r="Q225" s="295"/>
      <c r="R225" s="295"/>
      <c r="S225" s="295"/>
      <c r="T225" s="295"/>
      <c r="U225" s="295"/>
      <c r="V225" s="295"/>
      <c r="W225" s="295"/>
      <c r="X225" s="295"/>
      <c r="Y225" s="411">
        <f>Y224</f>
        <v>1</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v>14859</v>
      </c>
      <c r="E227" s="295">
        <v>14859</v>
      </c>
      <c r="F227" s="295">
        <v>14859</v>
      </c>
      <c r="G227" s="295">
        <v>14859</v>
      </c>
      <c r="H227" s="295">
        <v>9767</v>
      </c>
      <c r="I227" s="295"/>
      <c r="J227" s="295"/>
      <c r="K227" s="295"/>
      <c r="L227" s="295"/>
      <c r="M227" s="295"/>
      <c r="N227" s="291"/>
      <c r="O227" s="295">
        <v>2</v>
      </c>
      <c r="P227" s="295">
        <v>2</v>
      </c>
      <c r="Q227" s="295">
        <v>2</v>
      </c>
      <c r="R227" s="295">
        <v>1</v>
      </c>
      <c r="S227" s="295">
        <v>0</v>
      </c>
      <c r="T227" s="295">
        <v>0</v>
      </c>
      <c r="U227" s="295">
        <v>0</v>
      </c>
      <c r="V227" s="295">
        <v>0</v>
      </c>
      <c r="W227" s="295">
        <v>0</v>
      </c>
      <c r="X227" s="295">
        <v>0</v>
      </c>
      <c r="Y227" s="410">
        <v>1</v>
      </c>
      <c r="Z227" s="410"/>
      <c r="AA227" s="410"/>
      <c r="AB227" s="410"/>
      <c r="AC227" s="410"/>
      <c r="AD227" s="410"/>
      <c r="AE227" s="410"/>
      <c r="AF227" s="410"/>
      <c r="AG227" s="410"/>
      <c r="AH227" s="410"/>
      <c r="AI227" s="410"/>
      <c r="AJ227" s="410"/>
      <c r="AK227" s="410"/>
      <c r="AL227" s="410"/>
      <c r="AM227" s="296">
        <f>SUM(Y227:AL227)</f>
        <v>1</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1</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665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v>392698</v>
      </c>
      <c r="E240" s="295">
        <v>392698</v>
      </c>
      <c r="F240" s="295">
        <v>392698</v>
      </c>
      <c r="G240" s="295">
        <v>392698</v>
      </c>
      <c r="H240" s="295">
        <v>392698</v>
      </c>
      <c r="I240" s="295">
        <v>392698</v>
      </c>
      <c r="J240" s="295">
        <v>392698</v>
      </c>
      <c r="K240" s="295">
        <v>390349</v>
      </c>
      <c r="L240" s="295">
        <v>389455</v>
      </c>
      <c r="M240" s="295">
        <v>380903</v>
      </c>
      <c r="N240" s="295">
        <v>12</v>
      </c>
      <c r="O240" s="295">
        <v>2</v>
      </c>
      <c r="P240" s="295">
        <v>2</v>
      </c>
      <c r="Q240" s="295">
        <v>2</v>
      </c>
      <c r="R240" s="295">
        <v>2</v>
      </c>
      <c r="S240" s="295">
        <v>2</v>
      </c>
      <c r="T240" s="295">
        <v>2</v>
      </c>
      <c r="U240" s="295">
        <v>2</v>
      </c>
      <c r="V240" s="295">
        <v>2</v>
      </c>
      <c r="W240" s="295">
        <v>2</v>
      </c>
      <c r="X240" s="295">
        <v>1</v>
      </c>
      <c r="Y240" s="415"/>
      <c r="Z240" s="410"/>
      <c r="AA240" s="410">
        <v>0.05</v>
      </c>
      <c r="AB240" s="410">
        <v>0.95</v>
      </c>
      <c r="AC240" s="410"/>
      <c r="AD240" s="410"/>
      <c r="AE240" s="410"/>
      <c r="AF240" s="415"/>
      <c r="AG240" s="415"/>
      <c r="AH240" s="415"/>
      <c r="AI240" s="415"/>
      <c r="AJ240" s="415"/>
      <c r="AK240" s="415"/>
      <c r="AL240" s="415"/>
      <c r="AM240" s="296">
        <f>SUM(Y240:AL240)</f>
        <v>1</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0.05</v>
      </c>
      <c r="AB241" s="411">
        <f t="shared" ref="AB241" si="638">AB240</f>
        <v>0.95</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v>26114</v>
      </c>
      <c r="E243" s="295">
        <v>26459</v>
      </c>
      <c r="F243" s="295">
        <v>26114</v>
      </c>
      <c r="G243" s="295">
        <v>26114</v>
      </c>
      <c r="H243" s="295">
        <v>26114</v>
      </c>
      <c r="I243" s="295">
        <v>26114</v>
      </c>
      <c r="J243" s="295">
        <v>26114</v>
      </c>
      <c r="K243" s="295">
        <v>26114</v>
      </c>
      <c r="L243" s="295">
        <v>26114</v>
      </c>
      <c r="M243" s="295">
        <v>25640</v>
      </c>
      <c r="N243" s="295">
        <v>12</v>
      </c>
      <c r="O243" s="295">
        <v>6</v>
      </c>
      <c r="P243" s="295">
        <v>6</v>
      </c>
      <c r="Q243" s="295">
        <v>6</v>
      </c>
      <c r="R243" s="295">
        <v>6</v>
      </c>
      <c r="S243" s="295">
        <v>6</v>
      </c>
      <c r="T243" s="295">
        <v>6</v>
      </c>
      <c r="U243" s="295">
        <v>6</v>
      </c>
      <c r="V243" s="295">
        <v>6</v>
      </c>
      <c r="W243" s="295">
        <v>6</v>
      </c>
      <c r="X243" s="295">
        <v>6</v>
      </c>
      <c r="Y243" s="415"/>
      <c r="Z243" s="410">
        <v>1</v>
      </c>
      <c r="AA243" s="410"/>
      <c r="AB243" s="410"/>
      <c r="AC243" s="410"/>
      <c r="AD243" s="410"/>
      <c r="AE243" s="410"/>
      <c r="AF243" s="415"/>
      <c r="AG243" s="415"/>
      <c r="AH243" s="415"/>
      <c r="AI243" s="415"/>
      <c r="AJ243" s="415"/>
      <c r="AK243" s="415"/>
      <c r="AL243" s="415"/>
      <c r="AM243" s="296">
        <f>SUM(Y243:AL243)</f>
        <v>1</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1</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365671</v>
      </c>
      <c r="E288" s="295">
        <v>365671</v>
      </c>
      <c r="F288" s="295">
        <v>365671</v>
      </c>
      <c r="G288" s="295">
        <v>365671</v>
      </c>
      <c r="H288" s="295">
        <v>365671</v>
      </c>
      <c r="I288" s="295">
        <v>365671</v>
      </c>
      <c r="J288" s="295">
        <v>365671</v>
      </c>
      <c r="K288" s="295">
        <v>365620</v>
      </c>
      <c r="L288" s="295">
        <v>365620</v>
      </c>
      <c r="M288" s="295">
        <v>363986</v>
      </c>
      <c r="N288" s="291"/>
      <c r="O288" s="295">
        <v>24</v>
      </c>
      <c r="P288" s="295">
        <v>24</v>
      </c>
      <c r="Q288" s="295">
        <v>24</v>
      </c>
      <c r="R288" s="295">
        <v>24</v>
      </c>
      <c r="S288" s="295">
        <v>24</v>
      </c>
      <c r="T288" s="295">
        <v>24</v>
      </c>
      <c r="U288" s="295">
        <v>24</v>
      </c>
      <c r="V288" s="295">
        <v>24</v>
      </c>
      <c r="W288" s="295">
        <v>24</v>
      </c>
      <c r="X288" s="295">
        <v>24</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2719</v>
      </c>
      <c r="E297" s="295">
        <v>2719</v>
      </c>
      <c r="F297" s="295">
        <v>2719</v>
      </c>
      <c r="G297" s="295">
        <v>2719</v>
      </c>
      <c r="H297" s="295">
        <v>2719</v>
      </c>
      <c r="I297" s="295">
        <v>2719</v>
      </c>
      <c r="J297" s="295">
        <v>2719</v>
      </c>
      <c r="K297" s="295">
        <v>2719</v>
      </c>
      <c r="L297" s="295">
        <v>2719</v>
      </c>
      <c r="M297" s="295">
        <v>2719</v>
      </c>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102188</v>
      </c>
      <c r="E304" s="295">
        <v>102188</v>
      </c>
      <c r="F304" s="295">
        <v>102188</v>
      </c>
      <c r="G304" s="295">
        <v>102188</v>
      </c>
      <c r="H304" s="295">
        <v>102188</v>
      </c>
      <c r="I304" s="295">
        <v>102188</v>
      </c>
      <c r="J304" s="295">
        <v>102188</v>
      </c>
      <c r="K304" s="295">
        <v>102188</v>
      </c>
      <c r="L304" s="295">
        <v>102188</v>
      </c>
      <c r="M304" s="295">
        <v>102188</v>
      </c>
      <c r="N304" s="295">
        <v>12</v>
      </c>
      <c r="O304" s="295">
        <v>29</v>
      </c>
      <c r="P304" s="295">
        <v>29</v>
      </c>
      <c r="Q304" s="295">
        <v>29</v>
      </c>
      <c r="R304" s="295">
        <v>29</v>
      </c>
      <c r="S304" s="295">
        <v>29</v>
      </c>
      <c r="T304" s="295">
        <v>29</v>
      </c>
      <c r="U304" s="295">
        <v>29</v>
      </c>
      <c r="V304" s="295">
        <v>29</v>
      </c>
      <c r="W304" s="295">
        <v>29</v>
      </c>
      <c r="X304" s="295">
        <v>29</v>
      </c>
      <c r="Y304" s="426"/>
      <c r="Z304" s="410"/>
      <c r="AA304" s="410">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14789</v>
      </c>
      <c r="E307" s="295">
        <v>25226</v>
      </c>
      <c r="F307" s="295">
        <v>25226</v>
      </c>
      <c r="G307" s="295">
        <v>14789</v>
      </c>
      <c r="H307" s="295">
        <v>14789</v>
      </c>
      <c r="I307" s="295">
        <v>14789</v>
      </c>
      <c r="J307" s="295">
        <v>9585</v>
      </c>
      <c r="K307" s="295">
        <v>5818</v>
      </c>
      <c r="L307" s="295">
        <v>5818</v>
      </c>
      <c r="M307" s="295">
        <v>3719</v>
      </c>
      <c r="N307" s="295">
        <v>12</v>
      </c>
      <c r="O307" s="295">
        <v>2</v>
      </c>
      <c r="P307" s="295">
        <v>3</v>
      </c>
      <c r="Q307" s="295">
        <v>3</v>
      </c>
      <c r="R307" s="295">
        <v>2</v>
      </c>
      <c r="S307" s="295">
        <v>2</v>
      </c>
      <c r="T307" s="295">
        <v>2</v>
      </c>
      <c r="U307" s="295">
        <v>2</v>
      </c>
      <c r="V307" s="295">
        <v>1</v>
      </c>
      <c r="W307" s="295">
        <v>1</v>
      </c>
      <c r="X307" s="295">
        <v>0</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1045072</v>
      </c>
      <c r="E378" s="329"/>
      <c r="F378" s="329"/>
      <c r="G378" s="329"/>
      <c r="H378" s="329"/>
      <c r="I378" s="329"/>
      <c r="J378" s="329"/>
      <c r="K378" s="329"/>
      <c r="L378" s="329"/>
      <c r="M378" s="329"/>
      <c r="N378" s="329"/>
      <c r="O378" s="329">
        <f>SUM(O221:O376)</f>
        <v>73</v>
      </c>
      <c r="P378" s="329"/>
      <c r="Q378" s="329"/>
      <c r="R378" s="329"/>
      <c r="S378" s="329"/>
      <c r="T378" s="329"/>
      <c r="U378" s="329"/>
      <c r="V378" s="329"/>
      <c r="W378" s="329"/>
      <c r="X378" s="329"/>
      <c r="Y378" s="329">
        <f>IF(Y219="kWh",SUMPRODUCT(D221:D376,Y221:Y376))</f>
        <v>509283</v>
      </c>
      <c r="Z378" s="329">
        <f>IF(Z219="kWh",SUMPRODUCT(D221:D376,Z221:Z376))</f>
        <v>40903</v>
      </c>
      <c r="AA378" s="329">
        <f>IF(AA219="kw",SUMPRODUCT(N221:N376,O221:O376,AA221:AA376),SUMPRODUCT(D221:D376,AA221:AA376))</f>
        <v>349.2</v>
      </c>
      <c r="AB378" s="329">
        <f>IF(AB219="kw",SUMPRODUCT(N221:N376,O221:O376,AB221:AB376),SUMPRODUCT(D221:D376,AB221:AB376))</f>
        <v>22.799999999999997</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511521</v>
      </c>
      <c r="Z379" s="392">
        <f>HLOOKUP(Z218,'2. LRAMVA Threshold'!$B$42:$Q$53,8,FALSE)</f>
        <v>183184</v>
      </c>
      <c r="AA379" s="392">
        <f>HLOOKUP(AA218,'2. LRAMVA Threshold'!$B$42:$Q$53,8,FALSE)</f>
        <v>959</v>
      </c>
      <c r="AB379" s="392">
        <f>HLOOKUP(AB218,'2. LRAMVA Threshold'!$B$42:$Q$53,8,FALSE)</f>
        <v>24</v>
      </c>
      <c r="AC379" s="392">
        <f>HLOOKUP(AC218,'2. LRAMVA Threshold'!$B$42:$Q$53,8,FALSE)</f>
        <v>190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9.7999999999999997E-3</v>
      </c>
      <c r="Z381" s="341">
        <f>HLOOKUP(Z$35,'3.  Distribution Rates'!$C$122:$P$133,8,FALSE)</f>
        <v>8.0999999999999996E-3</v>
      </c>
      <c r="AA381" s="341">
        <f>HLOOKUP(AA$35,'3.  Distribution Rates'!$C$122:$P$133,8,FALSE)</f>
        <v>1.3190999999999999</v>
      </c>
      <c r="AB381" s="341">
        <f>HLOOKUP(AB$35,'3.  Distribution Rates'!$C$122:$P$133,8,FALSE)</f>
        <v>27.712199999999999</v>
      </c>
      <c r="AC381" s="341">
        <f>HLOOKUP(AC$35,'3.  Distribution Rates'!$C$122:$P$133,8,FALSE)</f>
        <v>8.6999999999999994E-3</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358.136539916576</v>
      </c>
      <c r="Z382" s="378">
        <f>'4.  2011-2014 LRAM'!Z139*Z381</f>
        <v>48.489628480381398</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406.62616839695738</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307.75131635194168</v>
      </c>
      <c r="Z383" s="378">
        <f>'4.  2011-2014 LRAM'!Z268*Z381</f>
        <v>353.54408193942663</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661.29539829136831</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621.4888322734098</v>
      </c>
      <c r="Z384" s="378">
        <f>'4.  2011-2014 LRAM'!Z397*Z381</f>
        <v>718.09839342443524</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1339.587225697845</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2016.1542460256544</v>
      </c>
      <c r="Z385" s="378">
        <f>'4.  2011-2014 LRAM'!Z527*Z381</f>
        <v>394.93030258799996</v>
      </c>
      <c r="AA385" s="378">
        <f>'4.  2011-2014 LRAM'!AA527*AA381</f>
        <v>174.06923985954</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2585.1537884731947</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1159.3106</v>
      </c>
      <c r="Z386" s="378">
        <f t="shared" si="1124"/>
        <v>351.96119999999996</v>
      </c>
      <c r="AA386" s="378">
        <f t="shared" si="1124"/>
        <v>1.5829200000000001</v>
      </c>
      <c r="AB386" s="378">
        <f t="shared" si="1124"/>
        <v>631.8381599999999</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2144.6928800000001</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4990.9733999999999</v>
      </c>
      <c r="Z387" s="378">
        <f t="shared" ref="Z387:AL387" si="1125">Z378*Z381</f>
        <v>331.3143</v>
      </c>
      <c r="AA387" s="378">
        <f t="shared" si="1125"/>
        <v>460.62971999999996</v>
      </c>
      <c r="AB387" s="378">
        <f t="shared" si="1125"/>
        <v>631.8381599999999</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6414.75558</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9453.8149345675811</v>
      </c>
      <c r="Z388" s="346">
        <f t="shared" ref="Z388:AE388" si="1126">SUM(Z382:Z387)</f>
        <v>2198.3379064322435</v>
      </c>
      <c r="AA388" s="346">
        <f t="shared" si="1126"/>
        <v>636.28187985953991</v>
      </c>
      <c r="AB388" s="346">
        <f t="shared" si="1126"/>
        <v>1263.6763199999998</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13552.111040859367</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5012.9057999999995</v>
      </c>
      <c r="Z389" s="347">
        <f t="shared" ref="Z389:AE389" si="1128">Z379*Z381</f>
        <v>1483.7903999999999</v>
      </c>
      <c r="AA389" s="347">
        <f t="shared" si="1128"/>
        <v>1265.0168999999999</v>
      </c>
      <c r="AB389" s="347">
        <f t="shared" si="1128"/>
        <v>665.09280000000001</v>
      </c>
      <c r="AC389" s="347">
        <f t="shared" si="1128"/>
        <v>1.6529999999999998</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8428.4588999999996</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5123.6521408593671</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509283</v>
      </c>
      <c r="Z392" s="291">
        <f>SUMPRODUCT(E221:E376,Z221:Z376)</f>
        <v>51685</v>
      </c>
      <c r="AA392" s="291">
        <f t="shared" ref="AA392:AL392" si="1130">IF(AA219="kw",SUMPRODUCT($N$221:$N$376,$P$221:$P$376,AA221:AA376),SUMPRODUCT($E$221:$E$376,AA221:AA376))</f>
        <v>349.2</v>
      </c>
      <c r="AB392" s="291">
        <f t="shared" si="1130"/>
        <v>22.799999999999997</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509283</v>
      </c>
      <c r="Z393" s="291">
        <f>SUMPRODUCT(F221:F376,Z221:Z376)</f>
        <v>51340</v>
      </c>
      <c r="AA393" s="291">
        <f t="shared" ref="AA393:AL393" si="1131">IF(AA219="kw",SUMPRODUCT($N$221:$N$376,$Q$221:$Q$376,AA221:AA376),SUMPRODUCT($F$221:$F$376,AA221:AA376))</f>
        <v>349.2</v>
      </c>
      <c r="AB393" s="291">
        <f t="shared" si="1131"/>
        <v>22.799999999999997</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509283</v>
      </c>
      <c r="Z394" s="291">
        <f>SUMPRODUCT(G221:G376,Z221:Z376)</f>
        <v>40903</v>
      </c>
      <c r="AA394" s="291">
        <f t="shared" ref="AA394:AL394" si="1132">IF(AA219="kw",SUMPRODUCT($N$221:$N$376,$R$221:$R$376,AA221:AA376),SUMPRODUCT($G$221:$G$376,AA221:AA376))</f>
        <v>349.2</v>
      </c>
      <c r="AB394" s="291">
        <f t="shared" si="1132"/>
        <v>22.799999999999997</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504191</v>
      </c>
      <c r="Z395" s="326">
        <f>SUMPRODUCT(H221:H376,Z221:Z376)</f>
        <v>40903</v>
      </c>
      <c r="AA395" s="326">
        <f t="shared" ref="AA395:AL395" si="1133">IF(AA219="kw",SUMPRODUCT($N$221:$N$376,$S$221:$S$376,AA221:AA376),SUMPRODUCT($H$221:$H$376,AA221:AA376))</f>
        <v>349.2</v>
      </c>
      <c r="AB395" s="326">
        <f t="shared" si="1133"/>
        <v>22.799999999999997</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30" t="s">
        <v>211</v>
      </c>
      <c r="C400" s="832" t="s">
        <v>33</v>
      </c>
      <c r="D400" s="284" t="s">
        <v>421</v>
      </c>
      <c r="E400" s="834" t="s">
        <v>209</v>
      </c>
      <c r="F400" s="835"/>
      <c r="G400" s="835"/>
      <c r="H400" s="835"/>
      <c r="I400" s="835"/>
      <c r="J400" s="835"/>
      <c r="K400" s="835"/>
      <c r="L400" s="835"/>
      <c r="M400" s="836"/>
      <c r="N400" s="837" t="s">
        <v>213</v>
      </c>
      <c r="O400" s="284" t="s">
        <v>422</v>
      </c>
      <c r="P400" s="834" t="s">
        <v>212</v>
      </c>
      <c r="Q400" s="835"/>
      <c r="R400" s="835"/>
      <c r="S400" s="835"/>
      <c r="T400" s="835"/>
      <c r="U400" s="835"/>
      <c r="V400" s="835"/>
      <c r="W400" s="835"/>
      <c r="X400" s="836"/>
      <c r="Y400" s="827" t="s">
        <v>243</v>
      </c>
      <c r="Z400" s="828"/>
      <c r="AA400" s="828"/>
      <c r="AB400" s="828"/>
      <c r="AC400" s="828"/>
      <c r="AD400" s="828"/>
      <c r="AE400" s="828"/>
      <c r="AF400" s="828"/>
      <c r="AG400" s="828"/>
      <c r="AH400" s="828"/>
      <c r="AI400" s="828"/>
      <c r="AJ400" s="828"/>
      <c r="AK400" s="828"/>
      <c r="AL400" s="828"/>
      <c r="AM400" s="829"/>
    </row>
    <row r="401" spans="1:39" ht="61.5" customHeight="1">
      <c r="B401" s="831"/>
      <c r="C401" s="833"/>
      <c r="D401" s="285">
        <v>2017</v>
      </c>
      <c r="E401" s="285">
        <v>2018</v>
      </c>
      <c r="F401" s="285">
        <v>2019</v>
      </c>
      <c r="G401" s="285">
        <v>2020</v>
      </c>
      <c r="H401" s="285">
        <v>2021</v>
      </c>
      <c r="I401" s="285">
        <v>2022</v>
      </c>
      <c r="J401" s="285">
        <v>2023</v>
      </c>
      <c r="K401" s="285">
        <v>2024</v>
      </c>
      <c r="L401" s="285">
        <v>2025</v>
      </c>
      <c r="M401" s="285">
        <v>2026</v>
      </c>
      <c r="N401" s="83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&gt; 50 to 4,999 Kw</v>
      </c>
      <c r="AB401" s="285" t="str">
        <f>'1.  LRAMVA Summary'!G52</f>
        <v>Street Lighting</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665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293336</v>
      </c>
      <c r="E471" s="295">
        <v>293336</v>
      </c>
      <c r="F471" s="295">
        <v>293336</v>
      </c>
      <c r="G471" s="295">
        <v>293336</v>
      </c>
      <c r="H471" s="295">
        <v>293336</v>
      </c>
      <c r="I471" s="295">
        <v>293336</v>
      </c>
      <c r="J471" s="295">
        <v>293336</v>
      </c>
      <c r="K471" s="295">
        <v>293333</v>
      </c>
      <c r="L471" s="295">
        <v>293333</v>
      </c>
      <c r="M471" s="295">
        <v>292606</v>
      </c>
      <c r="N471" s="291"/>
      <c r="O471" s="295">
        <v>25</v>
      </c>
      <c r="P471" s="295">
        <v>20</v>
      </c>
      <c r="Q471" s="295">
        <v>20</v>
      </c>
      <c r="R471" s="295">
        <v>20</v>
      </c>
      <c r="S471" s="295">
        <v>20</v>
      </c>
      <c r="T471" s="295">
        <v>20</v>
      </c>
      <c r="U471" s="295">
        <v>20</v>
      </c>
      <c r="V471" s="295">
        <v>20</v>
      </c>
      <c r="W471" s="295">
        <v>20</v>
      </c>
      <c r="X471" s="295">
        <v>20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v>71120</v>
      </c>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outlineLevel="1">
      <c r="A474" s="532">
        <v>22</v>
      </c>
      <c r="B474" s="428" t="s">
        <v>786</v>
      </c>
      <c r="C474" s="291" t="s">
        <v>25</v>
      </c>
      <c r="D474" s="295">
        <v>248718</v>
      </c>
      <c r="E474" s="295">
        <v>248718</v>
      </c>
      <c r="F474" s="295">
        <v>248718</v>
      </c>
      <c r="G474" s="295">
        <v>248718</v>
      </c>
      <c r="H474" s="295">
        <v>248718</v>
      </c>
      <c r="I474" s="295">
        <v>248718</v>
      </c>
      <c r="J474" s="295">
        <v>248718</v>
      </c>
      <c r="K474" s="295">
        <v>248714</v>
      </c>
      <c r="L474" s="295">
        <v>248714</v>
      </c>
      <c r="M474" s="295">
        <v>248714</v>
      </c>
      <c r="N474" s="291"/>
      <c r="O474" s="295">
        <v>24</v>
      </c>
      <c r="P474" s="295">
        <v>17</v>
      </c>
      <c r="Q474" s="295">
        <v>17</v>
      </c>
      <c r="R474" s="295">
        <v>17</v>
      </c>
      <c r="S474" s="295">
        <v>17</v>
      </c>
      <c r="T474" s="295">
        <v>17</v>
      </c>
      <c r="U474" s="295">
        <v>17</v>
      </c>
      <c r="V474" s="295">
        <v>17</v>
      </c>
      <c r="W474" s="295">
        <v>17</v>
      </c>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308</v>
      </c>
      <c r="C475" s="291" t="s">
        <v>163</v>
      </c>
      <c r="D475" s="295">
        <v>94726</v>
      </c>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4357</v>
      </c>
      <c r="E480" s="295">
        <v>4357</v>
      </c>
      <c r="F480" s="295">
        <v>4357</v>
      </c>
      <c r="G480" s="295">
        <v>4357</v>
      </c>
      <c r="H480" s="295">
        <v>4357</v>
      </c>
      <c r="I480" s="295">
        <v>4357</v>
      </c>
      <c r="J480" s="295">
        <v>4357</v>
      </c>
      <c r="K480" s="295">
        <v>4357</v>
      </c>
      <c r="L480" s="295">
        <v>4357</v>
      </c>
      <c r="M480" s="295">
        <v>4357</v>
      </c>
      <c r="N480" s="291"/>
      <c r="O480" s="295">
        <v>1</v>
      </c>
      <c r="P480" s="295">
        <v>1</v>
      </c>
      <c r="Q480" s="295">
        <v>1</v>
      </c>
      <c r="R480" s="295">
        <v>1</v>
      </c>
      <c r="S480" s="295">
        <v>1</v>
      </c>
      <c r="T480" s="295">
        <v>1</v>
      </c>
      <c r="U480" s="295">
        <v>1</v>
      </c>
      <c r="V480" s="295">
        <v>1</v>
      </c>
      <c r="W480" s="295">
        <v>1</v>
      </c>
      <c r="X480" s="295">
        <v>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23584</v>
      </c>
      <c r="E487" s="295">
        <v>23584</v>
      </c>
      <c r="F487" s="295">
        <v>23584</v>
      </c>
      <c r="G487" s="295">
        <v>23584</v>
      </c>
      <c r="H487" s="295">
        <v>23584</v>
      </c>
      <c r="I487" s="295">
        <v>19383</v>
      </c>
      <c r="J487" s="295">
        <v>19383</v>
      </c>
      <c r="K487" s="295">
        <v>19383</v>
      </c>
      <c r="L487" s="295">
        <v>19383</v>
      </c>
      <c r="M487" s="295">
        <v>19383</v>
      </c>
      <c r="N487" s="295">
        <v>12</v>
      </c>
      <c r="O487" s="295">
        <v>3</v>
      </c>
      <c r="P487" s="295">
        <v>3</v>
      </c>
      <c r="Q487" s="295">
        <v>3</v>
      </c>
      <c r="R487" s="295">
        <v>3</v>
      </c>
      <c r="S487" s="295">
        <v>3</v>
      </c>
      <c r="T487" s="295">
        <v>2</v>
      </c>
      <c r="U487" s="295">
        <v>2</v>
      </c>
      <c r="V487" s="295">
        <v>2</v>
      </c>
      <c r="W487" s="295">
        <v>2</v>
      </c>
      <c r="X487" s="295">
        <v>2</v>
      </c>
      <c r="Y487" s="426"/>
      <c r="Z487" s="410">
        <v>0.5</v>
      </c>
      <c r="AA487" s="410">
        <v>0.5</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0.5</v>
      </c>
      <c r="AA488" s="411">
        <f t="shared" ref="AA488" si="1388">AA487</f>
        <v>0.5</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77412</v>
      </c>
      <c r="E490" s="295">
        <v>77412</v>
      </c>
      <c r="F490" s="295">
        <v>77412</v>
      </c>
      <c r="G490" s="295">
        <v>77412</v>
      </c>
      <c r="H490" s="295">
        <v>77412</v>
      </c>
      <c r="I490" s="295">
        <v>77412</v>
      </c>
      <c r="J490" s="295">
        <v>54809</v>
      </c>
      <c r="K490" s="295">
        <v>40142</v>
      </c>
      <c r="L490" s="295">
        <v>36750</v>
      </c>
      <c r="M490" s="295">
        <v>15680</v>
      </c>
      <c r="N490" s="295">
        <v>12</v>
      </c>
      <c r="O490" s="295">
        <v>13</v>
      </c>
      <c r="P490" s="295">
        <v>13</v>
      </c>
      <c r="Q490" s="295">
        <v>13</v>
      </c>
      <c r="R490" s="295">
        <v>13</v>
      </c>
      <c r="S490" s="295">
        <v>13</v>
      </c>
      <c r="T490" s="295">
        <v>13</v>
      </c>
      <c r="U490" s="295">
        <v>11</v>
      </c>
      <c r="V490" s="295">
        <v>8</v>
      </c>
      <c r="W490" s="295">
        <v>8</v>
      </c>
      <c r="X490" s="295">
        <v>2</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1</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30" outlineLevel="1">
      <c r="A519" s="532">
        <v>36</v>
      </c>
      <c r="B519" s="428" t="s">
        <v>765</v>
      </c>
      <c r="C519" s="291" t="s">
        <v>25</v>
      </c>
      <c r="D519" s="295">
        <v>30614</v>
      </c>
      <c r="E519" s="295">
        <v>30614</v>
      </c>
      <c r="F519" s="295">
        <v>30614</v>
      </c>
      <c r="G519" s="295">
        <v>30614</v>
      </c>
      <c r="H519" s="295">
        <v>30614</v>
      </c>
      <c r="I519" s="295">
        <v>30614</v>
      </c>
      <c r="J519" s="295">
        <v>30614</v>
      </c>
      <c r="K519" s="295">
        <v>30614</v>
      </c>
      <c r="L519" s="295">
        <v>30614</v>
      </c>
      <c r="M519" s="295">
        <v>30614</v>
      </c>
      <c r="N519" s="295">
        <v>12</v>
      </c>
      <c r="O519" s="295">
        <v>0</v>
      </c>
      <c r="P519" s="295">
        <v>0</v>
      </c>
      <c r="Q519" s="295">
        <v>0</v>
      </c>
      <c r="R519" s="295">
        <v>0</v>
      </c>
      <c r="S519" s="295">
        <v>0</v>
      </c>
      <c r="T519" s="295">
        <v>0</v>
      </c>
      <c r="U519" s="295">
        <v>0</v>
      </c>
      <c r="V519" s="295">
        <v>0</v>
      </c>
      <c r="W519" s="295">
        <v>0</v>
      </c>
      <c r="X519" s="295">
        <v>0</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843867</v>
      </c>
      <c r="E561" s="329"/>
      <c r="F561" s="329"/>
      <c r="G561" s="329"/>
      <c r="H561" s="329"/>
      <c r="I561" s="329"/>
      <c r="J561" s="329"/>
      <c r="K561" s="329"/>
      <c r="L561" s="329"/>
      <c r="M561" s="329"/>
      <c r="N561" s="329"/>
      <c r="O561" s="329">
        <f>SUM(O404:O559)</f>
        <v>66</v>
      </c>
      <c r="P561" s="329"/>
      <c r="Q561" s="329"/>
      <c r="R561" s="329"/>
      <c r="S561" s="329"/>
      <c r="T561" s="329"/>
      <c r="U561" s="329"/>
      <c r="V561" s="329"/>
      <c r="W561" s="329"/>
      <c r="X561" s="329"/>
      <c r="Y561" s="329">
        <f>IF(Y402="kWh",SUMPRODUCT(D404:D559,Y404:Y559))</f>
        <v>399427</v>
      </c>
      <c r="Z561" s="329">
        <f>IF(Z402="kWh",SUMPRODUCT(D404:D559,Z404:Z559))</f>
        <v>89204</v>
      </c>
      <c r="AA561" s="329">
        <f>IF(AA402="kw",SUMPRODUCT(N404:N559,O404:O559,AA404:AA559),SUMPRODUCT(D404:D559,AA404:AA559))</f>
        <v>18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511521</v>
      </c>
      <c r="Z562" s="392">
        <f>HLOOKUP(Z218,'2. LRAMVA Threshold'!$B$42:$Q$53,9,FALSE)</f>
        <v>183184</v>
      </c>
      <c r="AA562" s="392">
        <f>HLOOKUP(AA218,'2. LRAMVA Threshold'!$B$42:$Q$53,9,FALSE)</f>
        <v>959</v>
      </c>
      <c r="AB562" s="392">
        <f>HLOOKUP(AB218,'2. LRAMVA Threshold'!$B$42:$Q$53,9,FALSE)</f>
        <v>24</v>
      </c>
      <c r="AC562" s="392">
        <f>HLOOKUP(AC218,'2. LRAMVA Threshold'!$B$42:$Q$53,9,FALSE)</f>
        <v>190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7.0000000000000001E-3</v>
      </c>
      <c r="Z564" s="341">
        <f>HLOOKUP(Z$35,'3.  Distribution Rates'!$C$122:$P$133,9,FALSE)</f>
        <v>8.2000000000000007E-3</v>
      </c>
      <c r="AA564" s="341">
        <f>HLOOKUP(AA$35,'3.  Distribution Rates'!$C$122:$P$133,9,FALSE)</f>
        <v>1.341</v>
      </c>
      <c r="AB564" s="341">
        <f>HLOOKUP(AB$35,'3.  Distribution Rates'!$C$122:$P$133,9,FALSE)</f>
        <v>28.1738</v>
      </c>
      <c r="AC564" s="341">
        <f>HLOOKUP(AC$35,'3.  Distribution Rates'!$C$122:$P$133,9,FALSE)</f>
        <v>8.8999999999999999E-3</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195.13893884332393</v>
      </c>
      <c r="Z565" s="378">
        <f>'4.  2011-2014 LRAM'!Z140*Z564</f>
        <v>7.6078236728987347</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202.74676251622267</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125.40138454970888</v>
      </c>
      <c r="Z566" s="378">
        <f>'4.  2011-2014 LRAM'!Z269*Z564</f>
        <v>98.023983219296042</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223.42536776900494</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414.06241244652199</v>
      </c>
      <c r="Z567" s="378">
        <f>'4.  2011-2014 LRAM'!Z398*Z564</f>
        <v>243.09837693556142</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657.16078938208341</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1414.7010143564105</v>
      </c>
      <c r="Z568" s="378">
        <f>'4.  2011-2014 LRAM'!Z528*Z564</f>
        <v>302.01207497000001</v>
      </c>
      <c r="AA568" s="378">
        <f>'4.  2011-2014 LRAM'!AA528*AA564</f>
        <v>176.95917720540001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1893.6722665318105</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828.07900000000006</v>
      </c>
      <c r="Z569" s="378">
        <f t="shared" si="1700"/>
        <v>216.96380000000002</v>
      </c>
      <c r="AA569" s="378">
        <f t="shared" si="1700"/>
        <v>1.6092000000000002</v>
      </c>
      <c r="AB569" s="378">
        <f>AB209*AB564</f>
        <v>642.36263999999994</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1689.0146400000003</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3564.9810000000002</v>
      </c>
      <c r="Z570" s="378">
        <f>Z392*Z564</f>
        <v>423.81700000000006</v>
      </c>
      <c r="AA570" s="378">
        <f t="shared" ref="AA570:AL570" si="1701">AA392*AA564</f>
        <v>468.27719999999999</v>
      </c>
      <c r="AB570" s="378">
        <f>AB392*AB564</f>
        <v>642.36263999999994</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5099.4378400000005</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2795.989</v>
      </c>
      <c r="Z571" s="378">
        <f t="shared" ref="Z571:AL571" si="1702">Z561*Z564</f>
        <v>731.47280000000001</v>
      </c>
      <c r="AA571" s="378">
        <f t="shared" si="1702"/>
        <v>24.137999999999998</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3551.5998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9338.3527501959652</v>
      </c>
      <c r="Z572" s="346">
        <f>SUM(Z565:Z571)</f>
        <v>2022.9958587977562</v>
      </c>
      <c r="AA572" s="346">
        <f t="shared" ref="AA572:AE572" si="1703">SUM(AA565:AA571)</f>
        <v>670.98357720540002</v>
      </c>
      <c r="AB572" s="346">
        <f t="shared" si="1703"/>
        <v>1284.7252799999999</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13317.057466199123</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3580.6469999999999</v>
      </c>
      <c r="Z573" s="347">
        <f t="shared" ref="Z573:AE573" si="1705">Z562*Z564</f>
        <v>1502.1088000000002</v>
      </c>
      <c r="AA573" s="347">
        <f t="shared" si="1705"/>
        <v>1286.019</v>
      </c>
      <c r="AB573" s="347">
        <f t="shared" si="1705"/>
        <v>676.1712</v>
      </c>
      <c r="AC573" s="347">
        <f t="shared" si="1705"/>
        <v>1.6910000000000001</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7046.6369999999997</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6270.4204661991234</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328307</v>
      </c>
      <c r="Z576" s="291">
        <f>SUMPRODUCT(E404:E559,Z404:Z559)</f>
        <v>89204</v>
      </c>
      <c r="AA576" s="291">
        <f>IF(AA402="kw",SUMPRODUCT($N$404:$N$559,$P$404:$P$559,AA404:AA559),SUMPRODUCT($E$404:$E$559,AA404:AA559))</f>
        <v>18</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328307</v>
      </c>
      <c r="Z577" s="291">
        <f>SUMPRODUCT(F404:F559,Z404:Z559)</f>
        <v>89204</v>
      </c>
      <c r="AA577" s="291">
        <f t="shared" ref="AA577:AL577" si="1708">IF(AA402="kw",SUMPRODUCT($N$404:$N$559,$Q$404:$Q$559,AA404:AA559),SUMPRODUCT($F$404:$F$559,AA404:AA559))</f>
        <v>18</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328307</v>
      </c>
      <c r="Z578" s="326">
        <f>SUMPRODUCT(G404:G559,Z404:Z559)</f>
        <v>89204</v>
      </c>
      <c r="AA578" s="326">
        <f t="shared" ref="AA578:AL578" si="1709">IF(AA402="kw",SUMPRODUCT($N$404:$N$559,$R$404:$R$559,AA404:AA559),SUMPRODUCT($G$404:$G$559,AA404:AA559))</f>
        <v>18</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30" t="s">
        <v>211</v>
      </c>
      <c r="C583" s="832" t="s">
        <v>33</v>
      </c>
      <c r="D583" s="284" t="s">
        <v>421</v>
      </c>
      <c r="E583" s="834" t="s">
        <v>209</v>
      </c>
      <c r="F583" s="835"/>
      <c r="G583" s="835"/>
      <c r="H583" s="835"/>
      <c r="I583" s="835"/>
      <c r="J583" s="835"/>
      <c r="K583" s="835"/>
      <c r="L583" s="835"/>
      <c r="M583" s="836"/>
      <c r="N583" s="837" t="s">
        <v>213</v>
      </c>
      <c r="O583" s="284" t="s">
        <v>422</v>
      </c>
      <c r="P583" s="834" t="s">
        <v>212</v>
      </c>
      <c r="Q583" s="835"/>
      <c r="R583" s="835"/>
      <c r="S583" s="835"/>
      <c r="T583" s="835"/>
      <c r="U583" s="835"/>
      <c r="V583" s="835"/>
      <c r="W583" s="835"/>
      <c r="X583" s="836"/>
      <c r="Y583" s="827" t="s">
        <v>243</v>
      </c>
      <c r="Z583" s="828"/>
      <c r="AA583" s="828"/>
      <c r="AB583" s="828"/>
      <c r="AC583" s="828"/>
      <c r="AD583" s="828"/>
      <c r="AE583" s="828"/>
      <c r="AF583" s="828"/>
      <c r="AG583" s="828"/>
      <c r="AH583" s="828"/>
      <c r="AI583" s="828"/>
      <c r="AJ583" s="828"/>
      <c r="AK583" s="828"/>
      <c r="AL583" s="828"/>
      <c r="AM583" s="829"/>
    </row>
    <row r="584" spans="1:39" ht="68.25" customHeight="1">
      <c r="B584" s="831"/>
      <c r="C584" s="833"/>
      <c r="D584" s="285">
        <v>2018</v>
      </c>
      <c r="E584" s="285">
        <v>2019</v>
      </c>
      <c r="F584" s="285">
        <v>2020</v>
      </c>
      <c r="G584" s="285">
        <v>2021</v>
      </c>
      <c r="H584" s="285">
        <v>2022</v>
      </c>
      <c r="I584" s="285">
        <v>2023</v>
      </c>
      <c r="J584" s="285">
        <v>2024</v>
      </c>
      <c r="K584" s="285">
        <v>2025</v>
      </c>
      <c r="L584" s="285">
        <v>2026</v>
      </c>
      <c r="M584" s="285">
        <v>2027</v>
      </c>
      <c r="N584" s="83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&gt; 50 to 4,999 Kw</v>
      </c>
      <c r="AB584" s="285" t="str">
        <f>'1.  LRAMVA Summary'!G52</f>
        <v>Street Lighting</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665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784</v>
      </c>
      <c r="C654" s="291" t="s">
        <v>25</v>
      </c>
      <c r="D654" s="295">
        <v>147206</v>
      </c>
      <c r="E654" s="295">
        <v>145996</v>
      </c>
      <c r="F654" s="295">
        <v>145996</v>
      </c>
      <c r="G654" s="295"/>
      <c r="H654" s="295"/>
      <c r="I654" s="295"/>
      <c r="J654" s="295"/>
      <c r="K654" s="295"/>
      <c r="L654" s="295"/>
      <c r="M654" s="295"/>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785</v>
      </c>
      <c r="C660" s="291" t="s">
        <v>25</v>
      </c>
      <c r="D660" s="295">
        <v>780</v>
      </c>
      <c r="E660" s="295">
        <v>780</v>
      </c>
      <c r="F660" s="295">
        <v>780</v>
      </c>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8107</v>
      </c>
      <c r="E670" s="295">
        <v>8067</v>
      </c>
      <c r="F670" s="295">
        <v>8067</v>
      </c>
      <c r="G670" s="295"/>
      <c r="H670" s="295"/>
      <c r="I670" s="295"/>
      <c r="J670" s="295"/>
      <c r="K670" s="295"/>
      <c r="L670" s="295"/>
      <c r="M670" s="295"/>
      <c r="N670" s="295">
        <v>12</v>
      </c>
      <c r="O670" s="295"/>
      <c r="P670" s="295"/>
      <c r="Q670" s="295"/>
      <c r="R670" s="295"/>
      <c r="S670" s="295"/>
      <c r="T670" s="295"/>
      <c r="U670" s="295"/>
      <c r="V670" s="295"/>
      <c r="W670" s="295"/>
      <c r="X670" s="295"/>
      <c r="Y670" s="426"/>
      <c r="Z670" s="410">
        <v>0.5</v>
      </c>
      <c r="AA670" s="410">
        <v>0.5</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0.5</v>
      </c>
      <c r="AA671" s="411">
        <f t="shared" ref="AA671" si="1964">AA670</f>
        <v>0.5</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156093</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147986</v>
      </c>
      <c r="Z744" s="329">
        <f>IF(Z585="kWh",SUMPRODUCT(D587:D742,Z587:Z742))</f>
        <v>4053.5</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664000</v>
      </c>
      <c r="Z745" s="392">
        <f>HLOOKUP(Z401,'2. LRAMVA Threshold'!$B$42:$Q$53,10,FALSE)</f>
        <v>164000</v>
      </c>
      <c r="AA745" s="392">
        <f>HLOOKUP(AA401,'2. LRAMVA Threshold'!$B$42:$Q$53,10,FALSE)</f>
        <v>1528</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4.1000000000000003E-3</v>
      </c>
      <c r="Z747" s="341">
        <f>HLOOKUP(Z$35,'3.  Distribution Rates'!$C$122:$P$133,10,FALSE)</f>
        <v>9.5999999999999992E-3</v>
      </c>
      <c r="AA747" s="341">
        <f>HLOOKUP(AA$35,'3.  Distribution Rates'!$C$122:$P$133,10,FALSE)</f>
        <v>1.3166</v>
      </c>
      <c r="AB747" s="341">
        <f>HLOOKUP(AB$35,'3.  Distribution Rates'!$C$122:$P$133,10,FALSE)</f>
        <v>16.7288</v>
      </c>
      <c r="AC747" s="341">
        <f>HLOOKUP(AC$35,'3.  Distribution Rates'!$C$122:$P$133,10,FALSE)</f>
        <v>3.0000000000000001E-3</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113.7954098440066</v>
      </c>
      <c r="Z748" s="378">
        <f>'4.  2011-2014 LRAM'!Z141*Z747</f>
        <v>8.9067203975399796</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122.70213024154658</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49.492390925477004</v>
      </c>
      <c r="Z749" s="378">
        <f>'4.  2011-2014 LRAM'!Z270*Z747</f>
        <v>114.75978523234656</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164.25217615782356</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213.09637022027701</v>
      </c>
      <c r="Z750" s="378">
        <f>'4.  2011-2014 LRAM'!Z399*Z747</f>
        <v>284.60297787577917</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497.69934809605616</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784.91404741823669</v>
      </c>
      <c r="Z751" s="378">
        <f>'4.  2011-2014 LRAM'!Z529*Z747</f>
        <v>353.57511216</v>
      </c>
      <c r="AA751" s="378">
        <f>'4.  2011-2014 LRAM'!AA529*AA747</f>
        <v>173.73933833604002</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1312.2284979142767</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485.01770000000005</v>
      </c>
      <c r="Z752" s="378">
        <f t="shared" si="2276"/>
        <v>250.69439999999997</v>
      </c>
      <c r="AA752" s="378">
        <f t="shared" si="2276"/>
        <v>1.5799200000000002</v>
      </c>
      <c r="AB752" s="378">
        <f t="shared" si="2276"/>
        <v>381.41663999999997</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1118.70866</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2088.0603000000001</v>
      </c>
      <c r="Z753" s="378">
        <f t="shared" si="2277"/>
        <v>492.86399999999998</v>
      </c>
      <c r="AA753" s="378">
        <f t="shared" si="2277"/>
        <v>459.75671999999997</v>
      </c>
      <c r="AB753" s="378">
        <f t="shared" si="2277"/>
        <v>381.41663999999997</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3422.0976599999999</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1346.0587</v>
      </c>
      <c r="Z754" s="378">
        <f t="shared" si="2278"/>
        <v>856.35839999999996</v>
      </c>
      <c r="AA754" s="378">
        <f t="shared" si="2278"/>
        <v>23.698799999999999</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2226.1159000000002</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606.74260000000004</v>
      </c>
      <c r="Z755" s="378">
        <f t="shared" ref="Z755:AL755" si="2279">Z744*Z747</f>
        <v>38.913599999999995</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645.65620000000001</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5687.1775184079979</v>
      </c>
      <c r="Z756" s="346">
        <f>SUM(Z748:Z755)</f>
        <v>2400.6749956656654</v>
      </c>
      <c r="AA756" s="346">
        <f t="shared" ref="AA756:AE756" si="2280">SUM(AA748:AA755)</f>
        <v>658.77477833603996</v>
      </c>
      <c r="AB756" s="346">
        <f t="shared" si="2280"/>
        <v>762.83327999999995</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9509.4605724097037</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2722.4</v>
      </c>
      <c r="Z757" s="347">
        <f t="shared" ref="Z757:AE757" si="2282">Z745*Z747</f>
        <v>1574.3999999999999</v>
      </c>
      <c r="AA757" s="347">
        <f t="shared" si="2282"/>
        <v>2011.7647999999999</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6308.5648000000001</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3200.8957724097036</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146776</v>
      </c>
      <c r="Z760" s="291">
        <f>SUMPRODUCT(E587:E742,Z587:Z742)</f>
        <v>4033.5</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146776</v>
      </c>
      <c r="Z761" s="326">
        <f>SUMPRODUCT(F587:F742,Z587:Z742)</f>
        <v>4033.5</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30" t="s">
        <v>211</v>
      </c>
      <c r="C766" s="832" t="s">
        <v>33</v>
      </c>
      <c r="D766" s="284" t="s">
        <v>421</v>
      </c>
      <c r="E766" s="834" t="s">
        <v>209</v>
      </c>
      <c r="F766" s="835"/>
      <c r="G766" s="835"/>
      <c r="H766" s="835"/>
      <c r="I766" s="835"/>
      <c r="J766" s="835"/>
      <c r="K766" s="835"/>
      <c r="L766" s="835"/>
      <c r="M766" s="836"/>
      <c r="N766" s="837" t="s">
        <v>213</v>
      </c>
      <c r="O766" s="284" t="s">
        <v>422</v>
      </c>
      <c r="P766" s="834" t="s">
        <v>212</v>
      </c>
      <c r="Q766" s="835"/>
      <c r="R766" s="835"/>
      <c r="S766" s="835"/>
      <c r="T766" s="835"/>
      <c r="U766" s="835"/>
      <c r="V766" s="835"/>
      <c r="W766" s="835"/>
      <c r="X766" s="836"/>
      <c r="Y766" s="827" t="s">
        <v>243</v>
      </c>
      <c r="Z766" s="828"/>
      <c r="AA766" s="828"/>
      <c r="AB766" s="828"/>
      <c r="AC766" s="828"/>
      <c r="AD766" s="828"/>
      <c r="AE766" s="828"/>
      <c r="AF766" s="828"/>
      <c r="AG766" s="828"/>
      <c r="AH766" s="828"/>
      <c r="AI766" s="828"/>
      <c r="AJ766" s="828"/>
      <c r="AK766" s="828"/>
      <c r="AL766" s="828"/>
      <c r="AM766" s="829"/>
    </row>
    <row r="767" spans="1:40" ht="65.25" customHeight="1">
      <c r="B767" s="831"/>
      <c r="C767" s="833"/>
      <c r="D767" s="285">
        <v>2019</v>
      </c>
      <c r="E767" s="285">
        <v>2020</v>
      </c>
      <c r="F767" s="285">
        <v>2021</v>
      </c>
      <c r="G767" s="285">
        <v>2022</v>
      </c>
      <c r="H767" s="285">
        <v>2023</v>
      </c>
      <c r="I767" s="285">
        <v>2024</v>
      </c>
      <c r="J767" s="285">
        <v>2025</v>
      </c>
      <c r="K767" s="285">
        <v>2026</v>
      </c>
      <c r="L767" s="285">
        <v>2027</v>
      </c>
      <c r="M767" s="285">
        <v>2028</v>
      </c>
      <c r="N767" s="83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&gt; 50 to 4,999 Kw</v>
      </c>
      <c r="AB767" s="285" t="str">
        <f>'1.  LRAMVA Summary'!G52</f>
        <v>Street Lighting</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665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v>69408</v>
      </c>
      <c r="E853" s="295">
        <v>69408</v>
      </c>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v>0.5</v>
      </c>
      <c r="AA853" s="415">
        <v>0.5</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0.5</v>
      </c>
      <c r="AA854" s="411">
        <f t="shared" ref="AA854" si="2540">AA853</f>
        <v>0.5</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69408</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34704</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664000</v>
      </c>
      <c r="Z928" s="392">
        <f>HLOOKUP(Z584,'2. LRAMVA Threshold'!$B$42:$Q$53,11,FALSE)</f>
        <v>164000</v>
      </c>
      <c r="AA928" s="392">
        <f>HLOOKUP(AA584,'2. LRAMVA Threshold'!$B$42:$Q$53,11,FALSE)</f>
        <v>1528</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1.1000000000000001E-3</v>
      </c>
      <c r="Z930" s="341">
        <f>HLOOKUP(Z$35,'3.  Distribution Rates'!$C$122:$P$133,11,FALSE)</f>
        <v>1.0200000000000001E-2</v>
      </c>
      <c r="AA930" s="341">
        <f>HLOOKUP(AA$35,'3.  Distribution Rates'!$C$122:$P$133,11,FALSE)</f>
        <v>1.3112999999999999</v>
      </c>
      <c r="AB930" s="341">
        <f>HLOOKUP(AB$35,'3.  Distribution Rates'!$C$122:$P$133,11,FALSE)</f>
        <v>10.972099999999999</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38.305370424449798</v>
      </c>
      <c r="Z931" s="378">
        <f>'4.  2011-2014 LRAM'!Z142*Z930</f>
        <v>9.4633904223862313</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47.768760846836031</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13.249474370045514</v>
      </c>
      <c r="Z932" s="378">
        <f>'4.  2011-2014 LRAM'!Z271*Z930</f>
        <v>121.93227180936825</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135.18174617941375</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57.172196888367004</v>
      </c>
      <c r="Z933" s="378">
        <f>'4.  2011-2014 LRAM'!Z400*Z930</f>
        <v>302.39066399301544</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359.56286088138245</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198.90825067891802</v>
      </c>
      <c r="Z934" s="378">
        <f>'4.  2011-2014 LRAM'!Z530*Z930</f>
        <v>375.67355667000004</v>
      </c>
      <c r="AA934" s="378">
        <f>'4.  2011-2014 LRAM'!AA530*AA930</f>
        <v>173.03994710622001</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747.6217544551381</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130.1267</v>
      </c>
      <c r="Z935" s="378">
        <f t="shared" si="2851"/>
        <v>266.36279999999999</v>
      </c>
      <c r="AA935" s="378">
        <f t="shared" si="2851"/>
        <v>1.5735600000000001</v>
      </c>
      <c r="AB935" s="378">
        <f t="shared" si="2851"/>
        <v>250.16387999999995</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648.22694000000001</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560.21130000000005</v>
      </c>
      <c r="Z936" s="378">
        <f t="shared" si="2852"/>
        <v>417.21060000000006</v>
      </c>
      <c r="AA936" s="378">
        <f t="shared" si="2852"/>
        <v>457.90595999999994</v>
      </c>
      <c r="AB936" s="378">
        <f t="shared" si="2852"/>
        <v>250.16387999999995</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1685.4917399999999</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361.1377</v>
      </c>
      <c r="Z937" s="378">
        <f t="shared" si="2853"/>
        <v>909.88080000000002</v>
      </c>
      <c r="AA937" s="378">
        <f t="shared" si="2853"/>
        <v>23.603399999999997</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1294.6219000000001</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161.45360000000002</v>
      </c>
      <c r="Z938" s="378">
        <f t="shared" si="2854"/>
        <v>41.1417</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202.59530000000001</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353.98080000000004</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353.98080000000004</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1520.5645923617806</v>
      </c>
      <c r="Z940" s="346">
        <f t="shared" ref="Z940:AE940" si="2856">SUM(Z931:Z939)</f>
        <v>2798.0365828947706</v>
      </c>
      <c r="AA940" s="346">
        <f t="shared" si="2856"/>
        <v>656.12286710621993</v>
      </c>
      <c r="AB940" s="346">
        <f t="shared" si="2856"/>
        <v>500.3277599999999</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5475.0518023627701</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730.40000000000009</v>
      </c>
      <c r="Z941" s="347">
        <f t="shared" ref="Z941:AE941" si="2858">Z928*Z930</f>
        <v>1672.8000000000002</v>
      </c>
      <c r="AA941" s="347">
        <f t="shared" si="2858"/>
        <v>2003.6663999999998</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4406.8663999999999</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1068.1854023627702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34704</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30" t="s">
        <v>211</v>
      </c>
      <c r="C949" s="832" t="s">
        <v>33</v>
      </c>
      <c r="D949" s="284" t="s">
        <v>421</v>
      </c>
      <c r="E949" s="834" t="s">
        <v>209</v>
      </c>
      <c r="F949" s="835"/>
      <c r="G949" s="835"/>
      <c r="H949" s="835"/>
      <c r="I949" s="835"/>
      <c r="J949" s="835"/>
      <c r="K949" s="835"/>
      <c r="L949" s="835"/>
      <c r="M949" s="836"/>
      <c r="N949" s="837" t="s">
        <v>213</v>
      </c>
      <c r="O949" s="284" t="s">
        <v>422</v>
      </c>
      <c r="P949" s="834" t="s">
        <v>212</v>
      </c>
      <c r="Q949" s="835"/>
      <c r="R949" s="835"/>
      <c r="S949" s="835"/>
      <c r="T949" s="835"/>
      <c r="U949" s="835"/>
      <c r="V949" s="835"/>
      <c r="W949" s="835"/>
      <c r="X949" s="836"/>
      <c r="Y949" s="827" t="s">
        <v>243</v>
      </c>
      <c r="Z949" s="828"/>
      <c r="AA949" s="828"/>
      <c r="AB949" s="828"/>
      <c r="AC949" s="828"/>
      <c r="AD949" s="828"/>
      <c r="AE949" s="828"/>
      <c r="AF949" s="828"/>
      <c r="AG949" s="828"/>
      <c r="AH949" s="828"/>
      <c r="AI949" s="828"/>
      <c r="AJ949" s="828"/>
      <c r="AK949" s="828"/>
      <c r="AL949" s="828"/>
      <c r="AM949" s="829"/>
    </row>
    <row r="950" spans="1:39" ht="65.25" customHeight="1">
      <c r="B950" s="831"/>
      <c r="C950" s="833"/>
      <c r="D950" s="285">
        <v>2020</v>
      </c>
      <c r="E950" s="285">
        <v>2021</v>
      </c>
      <c r="F950" s="285">
        <v>2022</v>
      </c>
      <c r="G950" s="285">
        <v>2023</v>
      </c>
      <c r="H950" s="285">
        <v>2024</v>
      </c>
      <c r="I950" s="285">
        <v>2025</v>
      </c>
      <c r="J950" s="285">
        <v>2026</v>
      </c>
      <c r="K950" s="285">
        <v>2027</v>
      </c>
      <c r="L950" s="285">
        <v>2028</v>
      </c>
      <c r="M950" s="285">
        <v>2029</v>
      </c>
      <c r="N950" s="83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&gt; 50 to 4,999 Kw</v>
      </c>
      <c r="AB950" s="285" t="str">
        <f>'1.  LRAMVA Summary'!G52</f>
        <v>Street Lighting</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665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664000</v>
      </c>
      <c r="Z1111" s="392">
        <f>HLOOKUP(Z767,'2. LRAMVA Threshold'!$B$42:$Q$53,12,FALSE)</f>
        <v>164000</v>
      </c>
      <c r="AA1111" s="392">
        <f>HLOOKUP(AA767,'2. LRAMVA Threshold'!$B$42:$Q$53,12,FALSE)</f>
        <v>1528</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1.03E-2</v>
      </c>
      <c r="AA1113" s="341">
        <f>HLOOKUP(AA$35,'3.  Distribution Rates'!$C$122:$P$133,12,FALSE)</f>
        <v>1.3313999999999999</v>
      </c>
      <c r="AB1113" s="341">
        <f>HLOOKUP(AB$35,'3.  Distribution Rates'!$C$122:$P$133,12,FALSE)</f>
        <v>11.1167</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9.5561687598606042</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9.5561687598606042</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123.12768623887185</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123.12768623887185</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305.35527834588811</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305.35527834588811</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379.35663075500003</v>
      </c>
      <c r="AA1117" s="378">
        <f>'4.  2011-2014 LRAM'!AA531*AA1113</f>
        <v>166.19593843490398</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545.55256918990403</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268.9742</v>
      </c>
      <c r="AA1118" s="378">
        <f t="shared" si="3425"/>
        <v>1.5976800000000002</v>
      </c>
      <c r="AB1118" s="378">
        <f t="shared" si="3425"/>
        <v>253.46075999999996</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524.03264000000001</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26">Z395*Z1113</f>
        <v>421.30090000000001</v>
      </c>
      <c r="AA1119" s="378">
        <f t="shared" si="3426"/>
        <v>464.92487999999997</v>
      </c>
      <c r="AB1119" s="378">
        <f t="shared" si="3426"/>
        <v>253.46075999999996</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1139.6865399999999</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918.80119999999999</v>
      </c>
      <c r="AA1120" s="378">
        <f t="shared" si="3427"/>
        <v>23.965199999999999</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942.76639999999998</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41.545050000000003</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41.545050000000003</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357.45120000000003</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357.45120000000003</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2825.4683140996208</v>
      </c>
      <c r="AA1124" s="346">
        <f t="shared" si="3431"/>
        <v>656.68369843490393</v>
      </c>
      <c r="AB1124" s="346">
        <f t="shared" si="3431"/>
        <v>506.92151999999993</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3989.0735325345245</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1689.2</v>
      </c>
      <c r="AA1125" s="347">
        <f>AA1111*AA1113</f>
        <v>2034.3791999999999</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3723.5792000000001</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265.49433253452435</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2" zoomScaleNormal="100" workbookViewId="0">
      <selection activeCell="H174" sqref="H174:H17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42" t="s">
        <v>652</v>
      </c>
      <c r="D8" s="842"/>
      <c r="E8" s="842"/>
      <c r="F8" s="842"/>
      <c r="G8" s="842"/>
      <c r="H8" s="842"/>
      <c r="I8" s="842"/>
      <c r="J8" s="842"/>
      <c r="K8" s="842"/>
      <c r="L8" s="842"/>
      <c r="M8" s="842"/>
      <c r="N8" s="842"/>
      <c r="O8" s="842"/>
      <c r="P8" s="842"/>
      <c r="Q8" s="842"/>
      <c r="R8" s="842"/>
      <c r="S8" s="842"/>
      <c r="T8" s="105"/>
      <c r="U8" s="105"/>
      <c r="V8" s="105"/>
      <c r="W8" s="105"/>
    </row>
    <row r="9" spans="1:28" s="9" customFormat="1" ht="47.1" customHeight="1">
      <c r="B9" s="55"/>
      <c r="C9" s="805" t="s">
        <v>663</v>
      </c>
      <c r="D9" s="805"/>
      <c r="E9" s="805"/>
      <c r="F9" s="805"/>
      <c r="G9" s="805"/>
      <c r="H9" s="805"/>
      <c r="I9" s="805"/>
      <c r="J9" s="805"/>
      <c r="K9" s="805"/>
      <c r="L9" s="805"/>
      <c r="M9" s="805"/>
      <c r="N9" s="805"/>
      <c r="O9" s="805"/>
      <c r="P9" s="805"/>
      <c r="Q9" s="805"/>
      <c r="R9" s="805"/>
      <c r="S9" s="805"/>
      <c r="T9" s="105"/>
      <c r="U9" s="105"/>
      <c r="V9" s="105"/>
      <c r="W9" s="105"/>
    </row>
    <row r="10" spans="1:28" s="9" customFormat="1" ht="38.1" customHeight="1">
      <c r="B10" s="88"/>
      <c r="C10" s="826" t="s">
        <v>664</v>
      </c>
      <c r="D10" s="805"/>
      <c r="E10" s="805"/>
      <c r="F10" s="805"/>
      <c r="G10" s="805"/>
      <c r="H10" s="805"/>
      <c r="I10" s="805"/>
      <c r="J10" s="805"/>
      <c r="K10" s="805"/>
      <c r="L10" s="805"/>
      <c r="M10" s="805"/>
      <c r="N10" s="805"/>
      <c r="O10" s="805"/>
      <c r="P10" s="805"/>
      <c r="Q10" s="805"/>
      <c r="R10" s="805"/>
      <c r="S10" s="80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1" t="s">
        <v>235</v>
      </c>
      <c r="C12" s="841"/>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&gt; 50 to 4,999 Kw</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6.0203349791666666E-2</v>
      </c>
      <c r="J16" s="211">
        <f>SUM('1.  LRAMVA Summary'!E$54:E$55)*(MONTH($E16)-1)/12*$H16</f>
        <v>4.9496737499999995E-3</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6.515302354166666E-2</v>
      </c>
    </row>
    <row r="17" spans="2:23" s="9" customFormat="1">
      <c r="B17" s="213" t="s">
        <v>46</v>
      </c>
      <c r="C17" s="213">
        <v>1.47E-2</v>
      </c>
      <c r="D17" s="206"/>
      <c r="E17" s="207">
        <v>40603</v>
      </c>
      <c r="F17" s="208">
        <v>2011</v>
      </c>
      <c r="G17" s="209" t="s">
        <v>65</v>
      </c>
      <c r="H17" s="210">
        <f>C$15/12</f>
        <v>1.225E-3</v>
      </c>
      <c r="I17" s="211">
        <f>SUM('1.  LRAMVA Summary'!D$54:D$55)*(MONTH($E17)-1)/12*$H17</f>
        <v>0.12040669958333333</v>
      </c>
      <c r="J17" s="211">
        <f>SUM('1.  LRAMVA Summary'!E$54:E$55)*(MONTH($E17)-1)/12*$H17</f>
        <v>9.8993474999999991E-3</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0.13030604708333332</v>
      </c>
    </row>
    <row r="18" spans="2:23" s="9" customFormat="1">
      <c r="B18" s="213" t="s">
        <v>47</v>
      </c>
      <c r="C18" s="213">
        <v>1.47E-2</v>
      </c>
      <c r="D18" s="206"/>
      <c r="E18" s="214">
        <v>40634</v>
      </c>
      <c r="F18" s="208">
        <v>2011</v>
      </c>
      <c r="G18" s="215" t="s">
        <v>66</v>
      </c>
      <c r="H18" s="210">
        <f>C$16/12</f>
        <v>1.225E-3</v>
      </c>
      <c r="I18" s="211">
        <f>SUM('1.  LRAMVA Summary'!D$54:D$55)*(MONTH($E18)-1)/12*$H18</f>
        <v>0.180610049375</v>
      </c>
      <c r="J18" s="211">
        <f>SUM('1.  LRAMVA Summary'!E$54:E$55)*(MONTH($E18)-1)/12*$H18</f>
        <v>1.4849021249999997E-2</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0.19545907062500001</v>
      </c>
    </row>
    <row r="19" spans="2:23" s="9" customFormat="1">
      <c r="B19" s="213" t="s">
        <v>48</v>
      </c>
      <c r="C19" s="213">
        <v>1.47E-2</v>
      </c>
      <c r="D19" s="206"/>
      <c r="E19" s="214">
        <v>40664</v>
      </c>
      <c r="F19" s="208">
        <v>2011</v>
      </c>
      <c r="G19" s="215" t="s">
        <v>66</v>
      </c>
      <c r="H19" s="210">
        <f>C$16/12</f>
        <v>1.225E-3</v>
      </c>
      <c r="I19" s="211">
        <f>SUM('1.  LRAMVA Summary'!D$54:D$55)*(MONTH($E19)-1)/12*$H19</f>
        <v>0.24081339916666666</v>
      </c>
      <c r="J19" s="211">
        <f>SUM('1.  LRAMVA Summary'!E$54:E$55)*(MONTH($E19)-1)/12*$H19</f>
        <v>1.9798694999999998E-2</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0.26061209416666664</v>
      </c>
    </row>
    <row r="20" spans="2:23" s="9" customFormat="1">
      <c r="B20" s="213" t="s">
        <v>49</v>
      </c>
      <c r="C20" s="213">
        <v>1.47E-2</v>
      </c>
      <c r="D20" s="206"/>
      <c r="E20" s="214">
        <v>40695</v>
      </c>
      <c r="F20" s="208">
        <v>2011</v>
      </c>
      <c r="G20" s="215" t="s">
        <v>66</v>
      </c>
      <c r="H20" s="210">
        <f>C$16/12</f>
        <v>1.225E-3</v>
      </c>
      <c r="I20" s="211">
        <f>SUM('1.  LRAMVA Summary'!D$54:D$55)*(MONTH($E20)-1)/12*$H20</f>
        <v>0.30101674895833336</v>
      </c>
      <c r="J20" s="211">
        <f>SUM('1.  LRAMVA Summary'!E$54:E$55)*(MONTH($E20)-1)/12*$H20</f>
        <v>2.4748368749999996E-2</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0.32576511770833333</v>
      </c>
    </row>
    <row r="21" spans="2:23" s="9" customFormat="1">
      <c r="B21" s="213" t="s">
        <v>50</v>
      </c>
      <c r="C21" s="213">
        <v>1.47E-2</v>
      </c>
      <c r="D21" s="206"/>
      <c r="E21" s="214">
        <v>40725</v>
      </c>
      <c r="F21" s="208">
        <v>2011</v>
      </c>
      <c r="G21" s="215" t="s">
        <v>68</v>
      </c>
      <c r="H21" s="210">
        <f>C$17/12</f>
        <v>1.225E-3</v>
      </c>
      <c r="I21" s="211">
        <f>SUM('1.  LRAMVA Summary'!D$54:D$55)*(MONTH($E21)-1)/12*$H21</f>
        <v>0.36122009875</v>
      </c>
      <c r="J21" s="211">
        <f>SUM('1.  LRAMVA Summary'!E$54:E$55)*(MONTH($E21)-1)/12*$H21</f>
        <v>2.9698042499999994E-2</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0.39091814125000002</v>
      </c>
    </row>
    <row r="22" spans="2:23" s="9" customFormat="1">
      <c r="B22" s="213" t="s">
        <v>51</v>
      </c>
      <c r="C22" s="213">
        <v>1.47E-2</v>
      </c>
      <c r="D22" s="206"/>
      <c r="E22" s="214">
        <v>40756</v>
      </c>
      <c r="F22" s="208">
        <v>2011</v>
      </c>
      <c r="G22" s="215" t="s">
        <v>68</v>
      </c>
      <c r="H22" s="210">
        <f>C$17/12</f>
        <v>1.225E-3</v>
      </c>
      <c r="I22" s="211">
        <f>SUM('1.  LRAMVA Summary'!D$54:D$55)*(MONTH($E22)-1)/12*$H22</f>
        <v>0.42142344854166663</v>
      </c>
      <c r="J22" s="211">
        <f>SUM('1.  LRAMVA Summary'!E$54:E$55)*(MONTH($E22)-1)/12*$H22</f>
        <v>3.4647716249999995E-2</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0.45607116479166665</v>
      </c>
    </row>
    <row r="23" spans="2:23" s="9" customFormat="1">
      <c r="B23" s="213" t="s">
        <v>52</v>
      </c>
      <c r="C23" s="213">
        <v>1.47E-2</v>
      </c>
      <c r="D23" s="206"/>
      <c r="E23" s="214">
        <v>40787</v>
      </c>
      <c r="F23" s="208">
        <v>2011</v>
      </c>
      <c r="G23" s="215" t="s">
        <v>68</v>
      </c>
      <c r="H23" s="210">
        <f>C$17/12</f>
        <v>1.225E-3</v>
      </c>
      <c r="I23" s="211">
        <f>SUM('1.  LRAMVA Summary'!D$54:D$55)*(MONTH($E23)-1)/12*$H23</f>
        <v>0.48162679833333333</v>
      </c>
      <c r="J23" s="211">
        <f>SUM('1.  LRAMVA Summary'!E$54:E$55)*(MONTH($E23)-1)/12*$H23</f>
        <v>3.9597389999999996E-2</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0.52122418833333328</v>
      </c>
    </row>
    <row r="24" spans="2:23" s="9" customFormat="1">
      <c r="B24" s="213" t="s">
        <v>53</v>
      </c>
      <c r="C24" s="213">
        <v>1.47E-2</v>
      </c>
      <c r="D24" s="206"/>
      <c r="E24" s="214">
        <v>40817</v>
      </c>
      <c r="F24" s="208">
        <v>2011</v>
      </c>
      <c r="G24" s="215" t="s">
        <v>69</v>
      </c>
      <c r="H24" s="210">
        <f>C$18/12</f>
        <v>1.225E-3</v>
      </c>
      <c r="I24" s="211">
        <f>SUM('1.  LRAMVA Summary'!D$54:D$55)*(MONTH($E24)-1)/12*$H24</f>
        <v>0.54183014812500008</v>
      </c>
      <c r="J24" s="211">
        <f>SUM('1.  LRAMVA Summary'!E$54:E$55)*(MONTH($E24)-1)/12*$H24</f>
        <v>4.4547063749999997E-2</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0.58637721187500003</v>
      </c>
    </row>
    <row r="25" spans="2:23" s="9" customFormat="1">
      <c r="B25" s="213" t="s">
        <v>54</v>
      </c>
      <c r="C25" s="213">
        <v>1.47E-2</v>
      </c>
      <c r="D25" s="206"/>
      <c r="E25" s="214">
        <v>40848</v>
      </c>
      <c r="F25" s="208">
        <v>2011</v>
      </c>
      <c r="G25" s="215" t="s">
        <v>69</v>
      </c>
      <c r="H25" s="210">
        <f>C$18/12</f>
        <v>1.225E-3</v>
      </c>
      <c r="I25" s="211">
        <f>SUM('1.  LRAMVA Summary'!D$54:D$55)*(MONTH($E25)-1)/12*$H25</f>
        <v>0.60203349791666672</v>
      </c>
      <c r="J25" s="211">
        <f>SUM('1.  LRAMVA Summary'!E$54:E$55)*(MONTH($E25)-1)/12*$H25</f>
        <v>4.9496737499999992E-2</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0.65153023541666666</v>
      </c>
    </row>
    <row r="26" spans="2:23" s="9" customFormat="1">
      <c r="B26" s="213" t="s">
        <v>55</v>
      </c>
      <c r="C26" s="213">
        <v>1.47E-2</v>
      </c>
      <c r="D26" s="206"/>
      <c r="E26" s="214">
        <v>40878</v>
      </c>
      <c r="F26" s="208">
        <v>2011</v>
      </c>
      <c r="G26" s="215" t="s">
        <v>69</v>
      </c>
      <c r="H26" s="210">
        <f>C$18/12</f>
        <v>1.225E-3</v>
      </c>
      <c r="I26" s="211">
        <f>SUM('1.  LRAMVA Summary'!D$54:D$55)*(MONTH($E26)-1)/12*$H26</f>
        <v>0.66223684770833324</v>
      </c>
      <c r="J26" s="211">
        <f>SUM('1.  LRAMVA Summary'!E$54:E$55)*(MONTH($E26)-1)/12*$H26</f>
        <v>5.4446411249999986E-2</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0.71668325895833318</v>
      </c>
    </row>
    <row r="27" spans="2:23" s="9" customFormat="1" ht="15.75" thickBot="1">
      <c r="B27" s="213" t="s">
        <v>56</v>
      </c>
      <c r="C27" s="213">
        <v>1.47E-2</v>
      </c>
      <c r="D27" s="206"/>
      <c r="E27" s="216" t="s">
        <v>460</v>
      </c>
      <c r="F27" s="216"/>
      <c r="G27" s="217"/>
      <c r="H27" s="218"/>
      <c r="I27" s="219">
        <f>SUM(I15:I26)</f>
        <v>3.9734210862499997</v>
      </c>
      <c r="J27" s="219">
        <f t="shared" ref="J27:O27" si="1">SUM(J15:J26)</f>
        <v>0.32667846749999996</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4.30009955375</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3.9734210862499997</v>
      </c>
      <c r="J29" s="228">
        <f t="shared" ref="J29:M29" si="3">J27+J28</f>
        <v>0.32667846749999996</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4.30009955375</v>
      </c>
    </row>
    <row r="30" spans="2:23" s="9" customFormat="1">
      <c r="B30" s="213" t="s">
        <v>59</v>
      </c>
      <c r="C30" s="213">
        <v>1.47E-2</v>
      </c>
      <c r="D30" s="206"/>
      <c r="E30" s="214">
        <v>40909</v>
      </c>
      <c r="F30" s="214" t="s">
        <v>178</v>
      </c>
      <c r="G30" s="215" t="s">
        <v>65</v>
      </c>
      <c r="H30" s="229">
        <f>C$19/12</f>
        <v>1.225E-3</v>
      </c>
      <c r="I30" s="230">
        <f>(SUM('1.  LRAMVA Summary'!D$54:D$56)+SUM('1.  LRAMVA Summary'!D$57:D$58)*(MONTH($E30)-1)/12)*$H30</f>
        <v>-3.5524999999438475E-6</v>
      </c>
      <c r="J30" s="230">
        <f>(SUM('1.  LRAMVA Summary'!E$54:E$56)+SUM('1.  LRAMVA Summary'!E$57:E$58)*(MONTH($E30)-1)/12)*$H30</f>
        <v>-4.1650000000077012E-6</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-7.7174999999515482E-6</v>
      </c>
    </row>
    <row r="31" spans="2:23" s="9" customFormat="1">
      <c r="B31" s="213" t="s">
        <v>60</v>
      </c>
      <c r="C31" s="213">
        <v>1.47E-2</v>
      </c>
      <c r="D31" s="206"/>
      <c r="E31" s="214">
        <v>40940</v>
      </c>
      <c r="F31" s="214" t="s">
        <v>178</v>
      </c>
      <c r="G31" s="215" t="s">
        <v>65</v>
      </c>
      <c r="H31" s="229">
        <f>C$19/12</f>
        <v>1.225E-3</v>
      </c>
      <c r="I31" s="230">
        <f>(SUM('1.  LRAMVA Summary'!D$54:D$56)+SUM('1.  LRAMVA Summary'!D$57:D$58)*(MONTH($E31)-1)/12)*$H31</f>
        <v>9.7605731876276344E-2</v>
      </c>
      <c r="J31" s="230">
        <f>(SUM('1.  LRAMVA Summary'!E$54:E$56)+SUM('1.  LRAMVA Summary'!E$57:E$58)*(MONTH($E31)-1)/12)*$H31</f>
        <v>4.8068169640796604E-2</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0.14567390151707293</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0.19521501625255264</v>
      </c>
      <c r="J32" s="230">
        <f>(SUM('1.  LRAMVA Summary'!E$54:E$56)+SUM('1.  LRAMVA Summary'!E$57:E$58)*(MONTH($E32)-1)/12)*$H32</f>
        <v>9.6140504281593209E-2</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0.29135552053414582</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0.29282430062882897</v>
      </c>
      <c r="J33" s="230">
        <f>(SUM('1.  LRAMVA Summary'!E$54:E$56)+SUM('1.  LRAMVA Summary'!E$57:E$58)*(MONTH($E33)-1)/12)*$H33</f>
        <v>0.14421283892238984</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0.43703713955121881</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0.39043358500510522</v>
      </c>
      <c r="J34" s="230">
        <f>(SUM('1.  LRAMVA Summary'!E$54:E$56)+SUM('1.  LRAMVA Summary'!E$57:E$58)*(MONTH($E34)-1)/12)*$H34</f>
        <v>0.19228517356318645</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0.58271875856829169</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0.48804286938138153</v>
      </c>
      <c r="J35" s="230">
        <f>(SUM('1.  LRAMVA Summary'!E$54:E$56)+SUM('1.  LRAMVA Summary'!E$57:E$58)*(MONTH($E35)-1)/12)*$H35</f>
        <v>0.24035750820398308</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0.72840037758536458</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0.58565215375765789</v>
      </c>
      <c r="J36" s="230">
        <f>(SUM('1.  LRAMVA Summary'!E$54:E$56)+SUM('1.  LRAMVA Summary'!E$57:E$58)*(MONTH($E36)-1)/12)*$H36</f>
        <v>0.28842984284477968</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0.87408199660243757</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0.68326143813393414</v>
      </c>
      <c r="J37" s="230">
        <f>(SUM('1.  LRAMVA Summary'!E$54:E$56)+SUM('1.  LRAMVA Summary'!E$57:E$58)*(MONTH($E37)-1)/12)*$H37</f>
        <v>0.33650217748557637</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1.0197636156195105</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0.78087072251021039</v>
      </c>
      <c r="J38" s="230">
        <f>(SUM('1.  LRAMVA Summary'!E$54:E$56)+SUM('1.  LRAMVA Summary'!E$57:E$58)*(MONTH($E38)-1)/12)*$H38</f>
        <v>0.38457451212637289</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1.1654452346365833</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0.87848000688648675</v>
      </c>
      <c r="J39" s="230">
        <f>(SUM('1.  LRAMVA Summary'!E$54:E$56)+SUM('1.  LRAMVA Summary'!E$57:E$58)*(MONTH($E39)-1)/12)*$H39</f>
        <v>0.43264684676716952</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1.3111268536536562</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0.976089291262763</v>
      </c>
      <c r="J40" s="230">
        <f>(SUM('1.  LRAMVA Summary'!E$54:E$56)+SUM('1.  LRAMVA Summary'!E$57:E$58)*(MONTH($E40)-1)/12)*$H40</f>
        <v>0.48071918140796616</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1.4568084726707291</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1.0736985756390394</v>
      </c>
      <c r="J41" s="230">
        <f>(SUM('1.  LRAMVA Summary'!E$54:E$56)+SUM('1.  LRAMVA Summary'!E$57:E$58)*(MONTH($E41)-1)/12)*$H41</f>
        <v>0.52879151604876284</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1.6024900916878022</v>
      </c>
    </row>
    <row r="42" spans="2:23" s="9" customFormat="1" ht="15.75" thickBot="1">
      <c r="B42" s="213" t="s">
        <v>80</v>
      </c>
      <c r="C42" s="730">
        <v>1.4999999999999999E-2</v>
      </c>
      <c r="D42" s="206"/>
      <c r="E42" s="216" t="s">
        <v>461</v>
      </c>
      <c r="F42" s="216"/>
      <c r="G42" s="217"/>
      <c r="H42" s="234"/>
      <c r="I42" s="219">
        <f>SUM(I29:I41)</f>
        <v>10.415591225084235</v>
      </c>
      <c r="J42" s="219">
        <f t="shared" ref="J42:O42" si="6">SUM(J29:J41)</f>
        <v>3.4994025737925765</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13.914993798876813</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10.415591225084235</v>
      </c>
      <c r="J44" s="228">
        <f t="shared" si="8"/>
        <v>3.4994025737925765</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13.914993798876813</v>
      </c>
    </row>
    <row r="45" spans="2:23" s="9" customFormat="1">
      <c r="B45" s="213" t="s">
        <v>83</v>
      </c>
      <c r="C45" s="730">
        <v>1.89E-2</v>
      </c>
      <c r="D45" s="206"/>
      <c r="E45" s="214">
        <v>41275</v>
      </c>
      <c r="F45" s="214" t="s">
        <v>179</v>
      </c>
      <c r="G45" s="215" t="s">
        <v>65</v>
      </c>
      <c r="H45" s="232">
        <f>C$23/12</f>
        <v>1.225E-3</v>
      </c>
      <c r="I45" s="230">
        <f>(SUM('1.  LRAMVA Summary'!D$54:D$59)+SUM('1.  LRAMVA Summary'!D$60:D$61)*(MONTH($E45)-1)/12)*$H45</f>
        <v>-3.8998468433248944E-7</v>
      </c>
      <c r="J45" s="230">
        <f>(SUM('1.  LRAMVA Summary'!E$54:E$59)+SUM('1.  LRAMVA Summary'!E$60:E$61)*(MONTH($E45)-1)/12)*$H45</f>
        <v>-8.9931044060307378E-7</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-1.2892951249355633E-6</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-0.37731740484976084</v>
      </c>
      <c r="J46" s="230">
        <f>(SUM('1.  LRAMVA Summary'!E$54:E$59)+SUM('1.  LRAMVA Summary'!E$60:E$61)*(MONTH($E46)-1)/12)*$H46</f>
        <v>4.0914038191585768E-2</v>
      </c>
      <c r="K46" s="230">
        <f>(SUM('1.  LRAMVA Summary'!F$54:F$59)+SUM('1.  LRAMVA Summary'!F$60:F$61)*(MONTH($E46)-1)/12)*$H46</f>
        <v>-0.13294537083333335</v>
      </c>
      <c r="L46" s="230">
        <f>(SUM('1.  LRAMVA Summary'!G$54:G$59)+SUM('1.  LRAMVA Summary'!G$60:G$61)*(MONTH($E46)-1)/12)*$H46</f>
        <v>-6.2383859999999999E-2</v>
      </c>
      <c r="M46" s="230">
        <f>(SUM('1.  LRAMVA Summary'!H$54:H$59)+SUM('1.  LRAMVA Summary'!H$60:H$61)*(MONTH($E46)-1)/12)*$H46</f>
        <v>-1.6292499999999996E-4</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-0.5318955224915084</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-0.75463441971483736</v>
      </c>
      <c r="J47" s="230">
        <f>(SUM('1.  LRAMVA Summary'!E$54:E$59)+SUM('1.  LRAMVA Summary'!E$60:E$61)*(MONTH($E47)-1)/12)*$H47</f>
        <v>8.1828975693612138E-2</v>
      </c>
      <c r="K47" s="230">
        <f>(SUM('1.  LRAMVA Summary'!F$54:F$59)+SUM('1.  LRAMVA Summary'!F$60:F$61)*(MONTH($E47)-1)/12)*$H47</f>
        <v>-0.26589074166666671</v>
      </c>
      <c r="L47" s="230">
        <f>(SUM('1.  LRAMVA Summary'!G$54:G$59)+SUM('1.  LRAMVA Summary'!G$60:G$61)*(MONTH($E47)-1)/12)*$H47</f>
        <v>-0.12476772</v>
      </c>
      <c r="M47" s="230">
        <f>(SUM('1.  LRAMVA Summary'!H$54:H$59)+SUM('1.  LRAMVA Summary'!H$60:H$61)*(MONTH($E47)-1)/12)*$H47</f>
        <v>-3.2584999999999992E-4</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-1.0637897556878919</v>
      </c>
    </row>
    <row r="48" spans="2:23" s="9" customFormat="1">
      <c r="B48" s="213" t="s">
        <v>86</v>
      </c>
      <c r="C48" s="746">
        <v>2.18E-2</v>
      </c>
      <c r="D48" s="206"/>
      <c r="E48" s="214">
        <v>41365</v>
      </c>
      <c r="F48" s="214" t="s">
        <v>179</v>
      </c>
      <c r="G48" s="215" t="s">
        <v>66</v>
      </c>
      <c r="H48" s="232">
        <f>C$24/12</f>
        <v>1.225E-3</v>
      </c>
      <c r="I48" s="230">
        <f>(SUM('1.  LRAMVA Summary'!D$54:D$59)+SUM('1.  LRAMVA Summary'!D$60:D$61)*(MONTH($E48)-1)/12)*$H48</f>
        <v>-1.1319514345799138</v>
      </c>
      <c r="J48" s="230">
        <f>(SUM('1.  LRAMVA Summary'!E$54:E$59)+SUM('1.  LRAMVA Summary'!E$60:E$61)*(MONTH($E48)-1)/12)*$H48</f>
        <v>0.12274391319563853</v>
      </c>
      <c r="K48" s="230">
        <f>(SUM('1.  LRAMVA Summary'!F$54:F$59)+SUM('1.  LRAMVA Summary'!F$60:F$61)*(MONTH($E48)-1)/12)*$H48</f>
        <v>-0.39883611250000001</v>
      </c>
      <c r="L48" s="230">
        <f>(SUM('1.  LRAMVA Summary'!G$54:G$59)+SUM('1.  LRAMVA Summary'!G$60:G$61)*(MONTH($E48)-1)/12)*$H48</f>
        <v>-0.18715158000000001</v>
      </c>
      <c r="M48" s="230">
        <f>(SUM('1.  LRAMVA Summary'!H$54:H$59)+SUM('1.  LRAMVA Summary'!H$60:H$61)*(MONTH($E48)-1)/12)*$H48</f>
        <v>-4.88775E-4</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-1.5956839888842753</v>
      </c>
    </row>
    <row r="49" spans="1:23" s="9" customFormat="1">
      <c r="B49" s="213" t="s">
        <v>87</v>
      </c>
      <c r="C49" s="746">
        <v>2.18E-2</v>
      </c>
      <c r="D49" s="206"/>
      <c r="E49" s="214">
        <v>41395</v>
      </c>
      <c r="F49" s="214" t="s">
        <v>179</v>
      </c>
      <c r="G49" s="215" t="s">
        <v>66</v>
      </c>
      <c r="H49" s="229">
        <f>C$24/12</f>
        <v>1.225E-3</v>
      </c>
      <c r="I49" s="230">
        <f>(SUM('1.  LRAMVA Summary'!D$54:D$59)+SUM('1.  LRAMVA Summary'!D$60:D$61)*(MONTH($E49)-1)/12)*$H49</f>
        <v>-1.5092684494449904</v>
      </c>
      <c r="J49" s="230">
        <f>(SUM('1.  LRAMVA Summary'!E$54:E$59)+SUM('1.  LRAMVA Summary'!E$60:E$61)*(MONTH($E49)-1)/12)*$H49</f>
        <v>0.16365885069766489</v>
      </c>
      <c r="K49" s="230">
        <f>(SUM('1.  LRAMVA Summary'!F$54:F$59)+SUM('1.  LRAMVA Summary'!F$60:F$61)*(MONTH($E49)-1)/12)*$H49</f>
        <v>-0.53178148333333342</v>
      </c>
      <c r="L49" s="230">
        <f>(SUM('1.  LRAMVA Summary'!G$54:G$59)+SUM('1.  LRAMVA Summary'!G$60:G$61)*(MONTH($E49)-1)/12)*$H49</f>
        <v>-0.24953544</v>
      </c>
      <c r="M49" s="230">
        <f>(SUM('1.  LRAMVA Summary'!H$54:H$59)+SUM('1.  LRAMVA Summary'!H$60:H$61)*(MONTH($E49)-1)/12)*$H49</f>
        <v>-6.5169999999999985E-4</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-2.1275782220806589</v>
      </c>
    </row>
    <row r="50" spans="1:23" s="9" customFormat="1">
      <c r="B50" s="213" t="s">
        <v>88</v>
      </c>
      <c r="C50" s="746">
        <v>2.18E-2</v>
      </c>
      <c r="D50" s="206"/>
      <c r="E50" s="214">
        <v>41426</v>
      </c>
      <c r="F50" s="214" t="s">
        <v>179</v>
      </c>
      <c r="G50" s="215" t="s">
        <v>66</v>
      </c>
      <c r="H50" s="229">
        <f>C$24/12</f>
        <v>1.225E-3</v>
      </c>
      <c r="I50" s="230">
        <f>(SUM('1.  LRAMVA Summary'!D$54:D$59)+SUM('1.  LRAMVA Summary'!D$60:D$61)*(MONTH($E50)-1)/12)*$H50</f>
        <v>-1.8865854643100668</v>
      </c>
      <c r="J50" s="230">
        <f>(SUM('1.  LRAMVA Summary'!E$54:E$59)+SUM('1.  LRAMVA Summary'!E$60:E$61)*(MONTH($E50)-1)/12)*$H50</f>
        <v>0.2045737881996913</v>
      </c>
      <c r="K50" s="230">
        <f>(SUM('1.  LRAMVA Summary'!F$54:F$59)+SUM('1.  LRAMVA Summary'!F$60:F$61)*(MONTH($E50)-1)/12)*$H50</f>
        <v>-0.66472685416666666</v>
      </c>
      <c r="L50" s="230">
        <f>(SUM('1.  LRAMVA Summary'!G$54:G$59)+SUM('1.  LRAMVA Summary'!G$60:G$61)*(MONTH($E50)-1)/12)*$H50</f>
        <v>-0.31191930000000001</v>
      </c>
      <c r="M50" s="230">
        <f>(SUM('1.  LRAMVA Summary'!H$54:H$59)+SUM('1.  LRAMVA Summary'!H$60:H$61)*(MONTH($E50)-1)/12)*$H50</f>
        <v>-8.1462499999999992E-4</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-2.6594724552770419</v>
      </c>
    </row>
    <row r="51" spans="1:23" s="9" customFormat="1">
      <c r="B51" s="213" t="s">
        <v>89</v>
      </c>
      <c r="C51" s="746">
        <v>2.18E-2</v>
      </c>
      <c r="D51" s="206"/>
      <c r="E51" s="214">
        <v>41456</v>
      </c>
      <c r="F51" s="214" t="s">
        <v>179</v>
      </c>
      <c r="G51" s="215" t="s">
        <v>68</v>
      </c>
      <c r="H51" s="232">
        <f>C$25/12</f>
        <v>1.225E-3</v>
      </c>
      <c r="I51" s="230">
        <f>(SUM('1.  LRAMVA Summary'!D$54:D$59)+SUM('1.  LRAMVA Summary'!D$60:D$61)*(MONTH($E51)-1)/12)*$H51</f>
        <v>-2.263902479175143</v>
      </c>
      <c r="J51" s="230">
        <f>(SUM('1.  LRAMVA Summary'!E$54:E$59)+SUM('1.  LRAMVA Summary'!E$60:E$61)*(MONTH($E51)-1)/12)*$H51</f>
        <v>0.24548872570171765</v>
      </c>
      <c r="K51" s="230">
        <f>(SUM('1.  LRAMVA Summary'!F$54:F$59)+SUM('1.  LRAMVA Summary'!F$60:F$61)*(MONTH($E51)-1)/12)*$H51</f>
        <v>-0.79767222500000001</v>
      </c>
      <c r="L51" s="230">
        <f>(SUM('1.  LRAMVA Summary'!G$54:G$59)+SUM('1.  LRAMVA Summary'!G$60:G$61)*(MONTH($E51)-1)/12)*$H51</f>
        <v>-0.37430316000000002</v>
      </c>
      <c r="M51" s="230">
        <f>(SUM('1.  LRAMVA Summary'!H$54:H$59)+SUM('1.  LRAMVA Summary'!H$60:H$61)*(MONTH($E51)-1)/12)*$H51</f>
        <v>-9.7754999999999999E-4</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-3.1913666884734253</v>
      </c>
    </row>
    <row r="52" spans="1:23" s="9" customFormat="1">
      <c r="B52" s="213" t="s">
        <v>91</v>
      </c>
      <c r="C52" s="746">
        <v>2.18E-2</v>
      </c>
      <c r="D52" s="206"/>
      <c r="E52" s="214">
        <v>41487</v>
      </c>
      <c r="F52" s="214" t="s">
        <v>179</v>
      </c>
      <c r="G52" s="215" t="s">
        <v>68</v>
      </c>
      <c r="H52" s="229">
        <f>C$25/12</f>
        <v>1.225E-3</v>
      </c>
      <c r="I52" s="230">
        <f>(SUM('1.  LRAMVA Summary'!D$54:D$59)+SUM('1.  LRAMVA Summary'!D$60:D$61)*(MONTH($E52)-1)/12)*$H52</f>
        <v>-2.6412194940402194</v>
      </c>
      <c r="J52" s="230">
        <f>(SUM('1.  LRAMVA Summary'!E$54:E$59)+SUM('1.  LRAMVA Summary'!E$60:E$61)*(MONTH($E52)-1)/12)*$H52</f>
        <v>0.286403663203744</v>
      </c>
      <c r="K52" s="230">
        <f>(SUM('1.  LRAMVA Summary'!F$54:F$59)+SUM('1.  LRAMVA Summary'!F$60:F$61)*(MONTH($E52)-1)/12)*$H52</f>
        <v>-0.93061759583333337</v>
      </c>
      <c r="L52" s="230">
        <f>(SUM('1.  LRAMVA Summary'!G$54:G$59)+SUM('1.  LRAMVA Summary'!G$60:G$61)*(MONTH($E52)-1)/12)*$H52</f>
        <v>-0.43668701999999998</v>
      </c>
      <c r="M52" s="230">
        <f>(SUM('1.  LRAMVA Summary'!H$54:H$59)+SUM('1.  LRAMVA Summary'!H$60:H$61)*(MONTH($E52)-1)/12)*$H52</f>
        <v>-1.140475E-3</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-3.7232609216698092</v>
      </c>
    </row>
    <row r="53" spans="1:23" s="9" customFormat="1">
      <c r="B53" s="213" t="s">
        <v>90</v>
      </c>
      <c r="C53" s="746">
        <v>5.7000000000000002E-3</v>
      </c>
      <c r="D53" s="206"/>
      <c r="E53" s="214">
        <v>41518</v>
      </c>
      <c r="F53" s="214" t="s">
        <v>179</v>
      </c>
      <c r="G53" s="215" t="s">
        <v>68</v>
      </c>
      <c r="H53" s="229">
        <f>C$25/12</f>
        <v>1.225E-3</v>
      </c>
      <c r="I53" s="230">
        <f>(SUM('1.  LRAMVA Summary'!D$54:D$59)+SUM('1.  LRAMVA Summary'!D$60:D$61)*(MONTH($E53)-1)/12)*$H53</f>
        <v>-3.0185365089052962</v>
      </c>
      <c r="J53" s="230">
        <f>(SUM('1.  LRAMVA Summary'!E$54:E$59)+SUM('1.  LRAMVA Summary'!E$60:E$61)*(MONTH($E53)-1)/12)*$H53</f>
        <v>0.3273186007057704</v>
      </c>
      <c r="K53" s="230">
        <f>(SUM('1.  LRAMVA Summary'!F$54:F$59)+SUM('1.  LRAMVA Summary'!F$60:F$61)*(MONTH($E53)-1)/12)*$H53</f>
        <v>-1.0635629666666668</v>
      </c>
      <c r="L53" s="230">
        <f>(SUM('1.  LRAMVA Summary'!G$54:G$59)+SUM('1.  LRAMVA Summary'!G$60:G$61)*(MONTH($E53)-1)/12)*$H53</f>
        <v>-0.49907087999999999</v>
      </c>
      <c r="M53" s="230">
        <f>(SUM('1.  LRAMVA Summary'!H$54:H$59)+SUM('1.  LRAMVA Summary'!H$60:H$61)*(MONTH($E53)-1)/12)*$H53</f>
        <v>-1.3033999999999997E-3</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-4.255155154866193</v>
      </c>
    </row>
    <row r="54" spans="1:23" s="9" customFormat="1">
      <c r="B54" s="235" t="s">
        <v>92</v>
      </c>
      <c r="C54" s="746">
        <v>5.7000000000000002E-3</v>
      </c>
      <c r="D54" s="206"/>
      <c r="E54" s="214">
        <v>41548</v>
      </c>
      <c r="F54" s="214" t="s">
        <v>179</v>
      </c>
      <c r="G54" s="215" t="s">
        <v>69</v>
      </c>
      <c r="H54" s="232">
        <f>C$26/12</f>
        <v>1.225E-3</v>
      </c>
      <c r="I54" s="230">
        <f>(SUM('1.  LRAMVA Summary'!D$54:D$59)+SUM('1.  LRAMVA Summary'!D$60:D$61)*(MONTH($E54)-1)/12)*$H54</f>
        <v>-3.3958535237703718</v>
      </c>
      <c r="J54" s="230">
        <f>(SUM('1.  LRAMVA Summary'!E$54:E$59)+SUM('1.  LRAMVA Summary'!E$60:E$61)*(MONTH($E54)-1)/12)*$H54</f>
        <v>0.36823353820779675</v>
      </c>
      <c r="K54" s="230">
        <f>(SUM('1.  LRAMVA Summary'!F$54:F$59)+SUM('1.  LRAMVA Summary'!F$60:F$61)*(MONTH($E54)-1)/12)*$H54</f>
        <v>-1.1965083375000001</v>
      </c>
      <c r="L54" s="230">
        <f>(SUM('1.  LRAMVA Summary'!G$54:G$59)+SUM('1.  LRAMVA Summary'!G$60:G$61)*(MONTH($E54)-1)/12)*$H54</f>
        <v>-0.56145474000000006</v>
      </c>
      <c r="M54" s="230">
        <f>(SUM('1.  LRAMVA Summary'!H$54:H$59)+SUM('1.  LRAMVA Summary'!H$60:H$61)*(MONTH($E54)-1)/12)*$H54</f>
        <v>-1.4663249999999997E-3</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-4.7870493880625755</v>
      </c>
    </row>
    <row r="55" spans="1:23" s="9" customFormat="1">
      <c r="B55" s="213" t="s">
        <v>707</v>
      </c>
      <c r="C55" s="746">
        <v>5.7000000000000002E-3</v>
      </c>
      <c r="D55" s="206"/>
      <c r="E55" s="214">
        <v>41579</v>
      </c>
      <c r="F55" s="214" t="s">
        <v>179</v>
      </c>
      <c r="G55" s="215" t="s">
        <v>69</v>
      </c>
      <c r="H55" s="229">
        <f>C$26/12</f>
        <v>1.225E-3</v>
      </c>
      <c r="I55" s="230">
        <f>(SUM('1.  LRAMVA Summary'!D$54:D$59)+SUM('1.  LRAMVA Summary'!D$60:D$61)*(MONTH($E55)-1)/12)*$H55</f>
        <v>-3.7731705386354486</v>
      </c>
      <c r="J55" s="230">
        <f>(SUM('1.  LRAMVA Summary'!E$54:E$59)+SUM('1.  LRAMVA Summary'!E$60:E$61)*(MONTH($E55)-1)/12)*$H55</f>
        <v>0.40914847570982316</v>
      </c>
      <c r="K55" s="230">
        <f>(SUM('1.  LRAMVA Summary'!F$54:F$59)+SUM('1.  LRAMVA Summary'!F$60:F$61)*(MONTH($E55)-1)/12)*$H55</f>
        <v>-1.3294537083333333</v>
      </c>
      <c r="L55" s="230">
        <f>(SUM('1.  LRAMVA Summary'!G$54:G$59)+SUM('1.  LRAMVA Summary'!G$60:G$61)*(MONTH($E55)-1)/12)*$H55</f>
        <v>-0.62383860000000002</v>
      </c>
      <c r="M55" s="230">
        <f>(SUM('1.  LRAMVA Summary'!H$54:H$59)+SUM('1.  LRAMVA Summary'!H$60:H$61)*(MONTH($E55)-1)/12)*$H55</f>
        <v>-1.6292499999999998E-3</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-5.318943621258958</v>
      </c>
    </row>
    <row r="56" spans="1:23" s="9" customFormat="1">
      <c r="B56" s="213" t="s">
        <v>708</v>
      </c>
      <c r="C56" s="746">
        <v>5.7000000000000002E-3</v>
      </c>
      <c r="D56" s="206"/>
      <c r="E56" s="214">
        <v>41609</v>
      </c>
      <c r="F56" s="214" t="s">
        <v>179</v>
      </c>
      <c r="G56" s="215" t="s">
        <v>69</v>
      </c>
      <c r="H56" s="229">
        <f>C$26/12</f>
        <v>1.225E-3</v>
      </c>
      <c r="I56" s="230">
        <f>(SUM('1.  LRAMVA Summary'!D$54:D$59)+SUM('1.  LRAMVA Summary'!D$60:D$61)*(MONTH($E56)-1)/12)*$H56</f>
        <v>-4.1504875535005255</v>
      </c>
      <c r="J56" s="230">
        <f>(SUM('1.  LRAMVA Summary'!E$54:E$59)+SUM('1.  LRAMVA Summary'!E$60:E$61)*(MONTH($E56)-1)/12)*$H56</f>
        <v>0.45006341321184951</v>
      </c>
      <c r="K56" s="230">
        <f>(SUM('1.  LRAMVA Summary'!F$54:F$59)+SUM('1.  LRAMVA Summary'!F$60:F$61)*(MONTH($E56)-1)/12)*$H56</f>
        <v>-1.4623990791666668</v>
      </c>
      <c r="L56" s="230">
        <f>(SUM('1.  LRAMVA Summary'!G$54:G$59)+SUM('1.  LRAMVA Summary'!G$60:G$61)*(MONTH($E56)-1)/12)*$H56</f>
        <v>-0.68622245999999998</v>
      </c>
      <c r="M56" s="230">
        <f>(SUM('1.  LRAMVA Summary'!H$54:H$59)+SUM('1.  LRAMVA Summary'!H$60:H$61)*(MONTH($E56)-1)/12)*$H56</f>
        <v>-1.7921749999999998E-3</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-5.8508378544553423</v>
      </c>
    </row>
    <row r="57" spans="1:23" s="9" customFormat="1" ht="15.75" thickBot="1">
      <c r="B57" s="213" t="s">
        <v>709</v>
      </c>
      <c r="C57" s="233">
        <v>5.7000000000000002E-3</v>
      </c>
      <c r="D57" s="206"/>
      <c r="E57" s="216" t="s">
        <v>462</v>
      </c>
      <c r="F57" s="216"/>
      <c r="G57" s="217"/>
      <c r="H57" s="218"/>
      <c r="I57" s="219">
        <f>SUM(I44:I56)</f>
        <v>-14.487336435827025</v>
      </c>
      <c r="J57" s="219">
        <f t="shared" ref="J57:O57" si="11">SUM(J44:J56)</f>
        <v>6.1997776572010297</v>
      </c>
      <c r="K57" s="219">
        <f t="shared" si="11"/>
        <v>-8.7743944750000011</v>
      </c>
      <c r="L57" s="219">
        <f t="shared" si="11"/>
        <v>-4.1173347599999994</v>
      </c>
      <c r="M57" s="219">
        <f t="shared" si="11"/>
        <v>-1.075305E-2</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-21.190041063625994</v>
      </c>
    </row>
    <row r="58" spans="1:23" s="9" customFormat="1" ht="15.75" thickTop="1">
      <c r="B58" s="235" t="s">
        <v>710</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711</v>
      </c>
      <c r="C59" s="233"/>
      <c r="D59" s="206"/>
      <c r="E59" s="225" t="s">
        <v>426</v>
      </c>
      <c r="F59" s="225"/>
      <c r="G59" s="226"/>
      <c r="H59" s="227"/>
      <c r="I59" s="228">
        <f t="shared" ref="I59:W59" si="13">I57+I58</f>
        <v>-14.487336435827025</v>
      </c>
      <c r="J59" s="228">
        <f t="shared" si="13"/>
        <v>6.1997776572010297</v>
      </c>
      <c r="K59" s="228">
        <f t="shared" si="13"/>
        <v>-8.7743944750000011</v>
      </c>
      <c r="L59" s="228">
        <f t="shared" si="13"/>
        <v>-4.1173347599999994</v>
      </c>
      <c r="M59" s="228">
        <f t="shared" si="13"/>
        <v>-1.075305E-2</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-21.190041063625994</v>
      </c>
    </row>
    <row r="60" spans="1:23" s="9" customFormat="1">
      <c r="B60" s="213" t="s">
        <v>712</v>
      </c>
      <c r="C60" s="233"/>
      <c r="D60" s="206"/>
      <c r="E60" s="214">
        <v>41640</v>
      </c>
      <c r="F60" s="214" t="s">
        <v>180</v>
      </c>
      <c r="G60" s="215" t="s">
        <v>65</v>
      </c>
      <c r="H60" s="232">
        <f>C$27/12</f>
        <v>1.225E-3</v>
      </c>
      <c r="I60" s="230">
        <f>(SUM('1.  LRAMVA Summary'!D$54:D$62)+SUM('1.  LRAMVA Summary'!D$63:D$64)*(MONTH($E60)-1)/12)*$H60</f>
        <v>-8.5683656022638393E-6</v>
      </c>
      <c r="J60" s="230">
        <f>(SUM('1.  LRAMVA Summary'!E$54:E$62)+SUM('1.  LRAMVA Summary'!E$63:E$64)*(MONTH($E60)-1)/12)*$H60</f>
        <v>-1.6492861241616197E-6</v>
      </c>
      <c r="K60" s="230">
        <f>(SUM('1.  LRAMVA Summary'!F$54:F$62)+SUM('1.  LRAMVA Summary'!F$63:F$64)*(MONTH($E60)-1)/12)*$H60</f>
        <v>-2.4500000002205977E-6</v>
      </c>
      <c r="L60" s="230">
        <f>(SUM('1.  LRAMVA Summary'!G$54:G$62)+SUM('1.  LRAMVA Summary'!G$63:G$64)*(MONTH($E60)-1)/12)*$H60</f>
        <v>3.4299999999745977E-6</v>
      </c>
      <c r="M60" s="230">
        <f>(SUM('1.  LRAMVA Summary'!H$54:H$62)+SUM('1.  LRAMVA Summary'!H$63:H$64)*(MONTH($E60)-1)/12)*$H60</f>
        <v>4.9000000000002758E-6</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-4.3376517266711842E-6</v>
      </c>
    </row>
    <row r="61" spans="1:23" s="9" customFormat="1">
      <c r="A61" s="28"/>
      <c r="B61" s="213" t="s">
        <v>713</v>
      </c>
      <c r="C61" s="233"/>
      <c r="E61" s="214">
        <v>41671</v>
      </c>
      <c r="F61" s="214" t="s">
        <v>180</v>
      </c>
      <c r="G61" s="215" t="s">
        <v>65</v>
      </c>
      <c r="H61" s="229">
        <f>C$27/12</f>
        <v>1.225E-3</v>
      </c>
      <c r="I61" s="230">
        <f>(SUM('1.  LRAMVA Summary'!D$54:D$62)+SUM('1.  LRAMVA Summary'!D$63:D$64)*(MONTH($E61)-1)/12)*$H61</f>
        <v>-0.12796040984039403</v>
      </c>
      <c r="J61" s="230">
        <f>(SUM('1.  LRAMVA Summary'!E$54:E$62)+SUM('1.  LRAMVA Summary'!E$63:E$64)*(MONTH($E61)-1)/12)*$H61</f>
        <v>8.2572152676741256E-2</v>
      </c>
      <c r="K61" s="230">
        <f>(SUM('1.  LRAMVA Summary'!F$54:F$62)+SUM('1.  LRAMVA Summary'!F$63:F$64)*(MONTH($E61)-1)/12)*$H61</f>
        <v>-0.10922037729166689</v>
      </c>
      <c r="L61" s="230">
        <f>(SUM('1.  LRAMVA Summary'!G$54:G$62)+SUM('1.  LRAMVA Summary'!G$63:G$64)*(MONTH($E61)-1)/12)*$H61</f>
        <v>-6.4030750000000025E-2</v>
      </c>
      <c r="M61" s="230">
        <f>(SUM('1.  LRAMVA Summary'!H$54:H$62)+SUM('1.  LRAMVA Summary'!H$63:H$64)*(MONTH($E61)-1)/12)*$H61</f>
        <v>-1.599645833333331E-4</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-0.21879934903865303</v>
      </c>
    </row>
    <row r="62" spans="1:23" s="9" customFormat="1">
      <c r="B62" s="235" t="s">
        <v>714</v>
      </c>
      <c r="C62" s="236"/>
      <c r="E62" s="214">
        <v>41699</v>
      </c>
      <c r="F62" s="214" t="s">
        <v>180</v>
      </c>
      <c r="G62" s="215" t="s">
        <v>65</v>
      </c>
      <c r="H62" s="229">
        <f>C$27/12</f>
        <v>1.225E-3</v>
      </c>
      <c r="I62" s="230">
        <f>(SUM('1.  LRAMVA Summary'!D$54:D$62)+SUM('1.  LRAMVA Summary'!D$63:D$64)*(MONTH($E62)-1)/12)*$H62</f>
        <v>-0.2559122513151858</v>
      </c>
      <c r="J62" s="230">
        <f>(SUM('1.  LRAMVA Summary'!E$54:E$62)+SUM('1.  LRAMVA Summary'!E$63:E$64)*(MONTH($E62)-1)/12)*$H62</f>
        <v>0.16514595463960666</v>
      </c>
      <c r="K62" s="230">
        <f>(SUM('1.  LRAMVA Summary'!F$54:F$62)+SUM('1.  LRAMVA Summary'!F$63:F$64)*(MONTH($E62)-1)/12)*$H62</f>
        <v>-0.21843830458333355</v>
      </c>
      <c r="L62" s="230">
        <f>(SUM('1.  LRAMVA Summary'!G$54:G$62)+SUM('1.  LRAMVA Summary'!G$63:G$64)*(MONTH($E62)-1)/12)*$H62</f>
        <v>-0.12806493000000002</v>
      </c>
      <c r="M62" s="230">
        <f>(SUM('1.  LRAMVA Summary'!H$54:H$62)+SUM('1.  LRAMVA Summary'!H$63:H$64)*(MONTH($E62)-1)/12)*$H62</f>
        <v>-3.2482916666666642E-4</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-0.43759436042557937</v>
      </c>
    </row>
    <row r="63" spans="1:23" s="9" customFormat="1">
      <c r="B63" s="213" t="s">
        <v>725</v>
      </c>
      <c r="C63" s="233"/>
      <c r="E63" s="214">
        <v>41730</v>
      </c>
      <c r="F63" s="214" t="s">
        <v>180</v>
      </c>
      <c r="G63" s="215" t="s">
        <v>66</v>
      </c>
      <c r="H63" s="232">
        <f>C$28/12</f>
        <v>1.225E-3</v>
      </c>
      <c r="I63" s="230">
        <f>(SUM('1.  LRAMVA Summary'!D$54:D$62)+SUM('1.  LRAMVA Summary'!D$63:D$64)*(MONTH($E63)-1)/12)*$H63</f>
        <v>-0.38386409278997757</v>
      </c>
      <c r="J63" s="230">
        <f>(SUM('1.  LRAMVA Summary'!E$54:E$62)+SUM('1.  LRAMVA Summary'!E$63:E$64)*(MONTH($E63)-1)/12)*$H63</f>
        <v>0.24771975660247209</v>
      </c>
      <c r="K63" s="230">
        <f>(SUM('1.  LRAMVA Summary'!F$54:F$62)+SUM('1.  LRAMVA Summary'!F$63:F$64)*(MONTH($E63)-1)/12)*$H63</f>
        <v>-0.32765623187500026</v>
      </c>
      <c r="L63" s="230">
        <f>(SUM('1.  LRAMVA Summary'!G$54:G$62)+SUM('1.  LRAMVA Summary'!G$63:G$64)*(MONTH($E63)-1)/12)*$H63</f>
        <v>-0.19209911000000002</v>
      </c>
      <c r="M63" s="230">
        <f>(SUM('1.  LRAMVA Summary'!H$54:H$62)+SUM('1.  LRAMVA Summary'!H$63:H$64)*(MONTH($E63)-1)/12)*$H63</f>
        <v>-4.8969374999999974E-4</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-0.65638937181250567</v>
      </c>
    </row>
    <row r="64" spans="1:23" s="9" customFormat="1">
      <c r="B64" s="213" t="s">
        <v>726</v>
      </c>
      <c r="C64" s="233"/>
      <c r="E64" s="214">
        <v>41760</v>
      </c>
      <c r="F64" s="214" t="s">
        <v>180</v>
      </c>
      <c r="G64" s="215" t="s">
        <v>66</v>
      </c>
      <c r="H64" s="229">
        <f>C$28/12</f>
        <v>1.225E-3</v>
      </c>
      <c r="I64" s="230">
        <f>(SUM('1.  LRAMVA Summary'!D$54:D$62)+SUM('1.  LRAMVA Summary'!D$63:D$64)*(MONTH($E64)-1)/12)*$H64</f>
        <v>-0.51181593426476935</v>
      </c>
      <c r="J64" s="230">
        <f>(SUM('1.  LRAMVA Summary'!E$54:E$62)+SUM('1.  LRAMVA Summary'!E$63:E$64)*(MONTH($E64)-1)/12)*$H64</f>
        <v>0.33029355856533749</v>
      </c>
      <c r="K64" s="230">
        <f>(SUM('1.  LRAMVA Summary'!F$54:F$62)+SUM('1.  LRAMVA Summary'!F$63:F$64)*(MONTH($E64)-1)/12)*$H64</f>
        <v>-0.43687415916666689</v>
      </c>
      <c r="L64" s="230">
        <f>(SUM('1.  LRAMVA Summary'!G$54:G$62)+SUM('1.  LRAMVA Summary'!G$63:G$64)*(MONTH($E64)-1)/12)*$H64</f>
        <v>-0.25613329000000001</v>
      </c>
      <c r="M64" s="230">
        <f>(SUM('1.  LRAMVA Summary'!H$54:H$62)+SUM('1.  LRAMVA Summary'!H$63:H$64)*(MONTH($E64)-1)/12)*$H64</f>
        <v>-6.5455833333333312E-4</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-0.87518438319943204</v>
      </c>
    </row>
    <row r="65" spans="2:23" s="9" customFormat="1">
      <c r="B65" s="213" t="s">
        <v>727</v>
      </c>
      <c r="C65" s="233"/>
      <c r="E65" s="214">
        <v>41791</v>
      </c>
      <c r="F65" s="214" t="s">
        <v>180</v>
      </c>
      <c r="G65" s="215" t="s">
        <v>66</v>
      </c>
      <c r="H65" s="229">
        <f>C$28/12</f>
        <v>1.225E-3</v>
      </c>
      <c r="I65" s="230">
        <f>(SUM('1.  LRAMVA Summary'!D$54:D$62)+SUM('1.  LRAMVA Summary'!D$63:D$64)*(MONTH($E65)-1)/12)*$H65</f>
        <v>-0.63976777573956112</v>
      </c>
      <c r="J65" s="230">
        <f>(SUM('1.  LRAMVA Summary'!E$54:E$62)+SUM('1.  LRAMVA Summary'!E$63:E$64)*(MONTH($E65)-1)/12)*$H65</f>
        <v>0.41286736052820289</v>
      </c>
      <c r="K65" s="230">
        <f>(SUM('1.  LRAMVA Summary'!F$54:F$62)+SUM('1.  LRAMVA Summary'!F$63:F$64)*(MONTH($E65)-1)/12)*$H65</f>
        <v>-0.54609208645833363</v>
      </c>
      <c r="L65" s="230">
        <f>(SUM('1.  LRAMVA Summary'!G$54:G$62)+SUM('1.  LRAMVA Summary'!G$63:G$64)*(MONTH($E65)-1)/12)*$H65</f>
        <v>-0.32016747000000001</v>
      </c>
      <c r="M65" s="230">
        <f>(SUM('1.  LRAMVA Summary'!H$54:H$62)+SUM('1.  LRAMVA Summary'!H$63:H$64)*(MONTH($E65)-1)/12)*$H65</f>
        <v>-8.1942291666666639E-4</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-1.0939793945863585</v>
      </c>
    </row>
    <row r="66" spans="2:23" s="9" customFormat="1">
      <c r="B66" s="235" t="s">
        <v>728</v>
      </c>
      <c r="C66" s="236"/>
      <c r="E66" s="214">
        <v>41821</v>
      </c>
      <c r="F66" s="214" t="s">
        <v>180</v>
      </c>
      <c r="G66" s="215" t="s">
        <v>68</v>
      </c>
      <c r="H66" s="232">
        <f>C$29/12</f>
        <v>1.225E-3</v>
      </c>
      <c r="I66" s="230">
        <f>(SUM('1.  LRAMVA Summary'!D$54:D$62)+SUM('1.  LRAMVA Summary'!D$63:D$64)*(MONTH($E66)-1)/12)*$H66</f>
        <v>-0.76771961721435289</v>
      </c>
      <c r="J66" s="230">
        <f>(SUM('1.  LRAMVA Summary'!E$54:E$62)+SUM('1.  LRAMVA Summary'!E$63:E$64)*(MONTH($E66)-1)/12)*$H66</f>
        <v>0.49544116249106829</v>
      </c>
      <c r="K66" s="230">
        <f>(SUM('1.  LRAMVA Summary'!F$54:F$62)+SUM('1.  LRAMVA Summary'!F$63:F$64)*(MONTH($E66)-1)/12)*$H66</f>
        <v>-0.65531001375000031</v>
      </c>
      <c r="L66" s="230">
        <f>(SUM('1.  LRAMVA Summary'!G$54:G$62)+SUM('1.  LRAMVA Summary'!G$63:G$64)*(MONTH($E66)-1)/12)*$H66</f>
        <v>-0.38420165000000001</v>
      </c>
      <c r="M66" s="230">
        <f>(SUM('1.  LRAMVA Summary'!H$54:H$62)+SUM('1.  LRAMVA Summary'!H$63:H$64)*(MONTH($E66)-1)/12)*$H66</f>
        <v>-9.8428749999999988E-4</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-1.3127744059732849</v>
      </c>
    </row>
    <row r="67" spans="2:23" s="9" customFormat="1">
      <c r="B67" s="213" t="s">
        <v>730</v>
      </c>
      <c r="C67" s="233"/>
      <c r="E67" s="214">
        <v>41852</v>
      </c>
      <c r="F67" s="214" t="s">
        <v>180</v>
      </c>
      <c r="G67" s="215" t="s">
        <v>68</v>
      </c>
      <c r="H67" s="229">
        <f>C$29/12</f>
        <v>1.225E-3</v>
      </c>
      <c r="I67" s="230">
        <f>(SUM('1.  LRAMVA Summary'!D$54:D$62)+SUM('1.  LRAMVA Summary'!D$63:D$64)*(MONTH($E67)-1)/12)*$H67</f>
        <v>-0.89567145868914477</v>
      </c>
      <c r="J67" s="230">
        <f>(SUM('1.  LRAMVA Summary'!E$54:E$62)+SUM('1.  LRAMVA Summary'!E$63:E$64)*(MONTH($E67)-1)/12)*$H67</f>
        <v>0.57801496445393363</v>
      </c>
      <c r="K67" s="230">
        <f>(SUM('1.  LRAMVA Summary'!F$54:F$62)+SUM('1.  LRAMVA Summary'!F$63:F$64)*(MONTH($E67)-1)/12)*$H67</f>
        <v>-0.76452794104166699</v>
      </c>
      <c r="L67" s="230">
        <f>(SUM('1.  LRAMVA Summary'!G$54:G$62)+SUM('1.  LRAMVA Summary'!G$63:G$64)*(MONTH($E67)-1)/12)*$H67</f>
        <v>-0.44823582999999995</v>
      </c>
      <c r="M67" s="230">
        <f>(SUM('1.  LRAMVA Summary'!H$54:H$62)+SUM('1.  LRAMVA Summary'!H$63:H$64)*(MONTH($E67)-1)/12)*$H67</f>
        <v>-1.1491520833333331E-3</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-1.5315694173602115</v>
      </c>
    </row>
    <row r="68" spans="2:23" s="9" customFormat="1">
      <c r="B68" s="213" t="s">
        <v>731</v>
      </c>
      <c r="C68" s="233"/>
      <c r="E68" s="214">
        <v>41883</v>
      </c>
      <c r="F68" s="214" t="s">
        <v>180</v>
      </c>
      <c r="G68" s="215" t="s">
        <v>68</v>
      </c>
      <c r="H68" s="229">
        <f>C$29/12</f>
        <v>1.225E-3</v>
      </c>
      <c r="I68" s="230">
        <f>(SUM('1.  LRAMVA Summary'!D$54:D$62)+SUM('1.  LRAMVA Summary'!D$63:D$64)*(MONTH($E68)-1)/12)*$H68</f>
        <v>-1.0236233001639365</v>
      </c>
      <c r="J68" s="230">
        <f>(SUM('1.  LRAMVA Summary'!E$54:E$62)+SUM('1.  LRAMVA Summary'!E$63:E$64)*(MONTH($E68)-1)/12)*$H68</f>
        <v>0.6605887664167992</v>
      </c>
      <c r="K68" s="230">
        <f>(SUM('1.  LRAMVA Summary'!F$54:F$62)+SUM('1.  LRAMVA Summary'!F$63:F$64)*(MONTH($E68)-1)/12)*$H68</f>
        <v>-0.87374586833333356</v>
      </c>
      <c r="L68" s="230">
        <f>(SUM('1.  LRAMVA Summary'!G$54:G$62)+SUM('1.  LRAMVA Summary'!G$63:G$64)*(MONTH($E68)-1)/12)*$H68</f>
        <v>-0.51227000999999994</v>
      </c>
      <c r="M68" s="230">
        <f>(SUM('1.  LRAMVA Summary'!H$54:H$62)+SUM('1.  LRAMVA Summary'!H$63:H$64)*(MONTH($E68)-1)/12)*$H68</f>
        <v>-1.3140166666666666E-3</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-1.7503644287471376</v>
      </c>
    </row>
    <row r="69" spans="2:23" s="9" customFormat="1">
      <c r="B69" s="213" t="s">
        <v>732</v>
      </c>
      <c r="C69" s="233"/>
      <c r="E69" s="214">
        <v>41913</v>
      </c>
      <c r="F69" s="214" t="s">
        <v>180</v>
      </c>
      <c r="G69" s="215" t="s">
        <v>69</v>
      </c>
      <c r="H69" s="232">
        <f>C$30/12</f>
        <v>1.225E-3</v>
      </c>
      <c r="I69" s="230">
        <f>(SUM('1.  LRAMVA Summary'!D$54:D$62)+SUM('1.  LRAMVA Summary'!D$63:D$64)*(MONTH($E69)-1)/12)*$H69</f>
        <v>-1.1515751416387281</v>
      </c>
      <c r="J69" s="230">
        <f>(SUM('1.  LRAMVA Summary'!E$54:E$62)+SUM('1.  LRAMVA Summary'!E$63:E$64)*(MONTH($E69)-1)/12)*$H69</f>
        <v>0.74316256837966443</v>
      </c>
      <c r="K69" s="230">
        <f>(SUM('1.  LRAMVA Summary'!F$54:F$62)+SUM('1.  LRAMVA Summary'!F$63:F$64)*(MONTH($E69)-1)/12)*$H69</f>
        <v>-0.98296379562500036</v>
      </c>
      <c r="L69" s="230">
        <f>(SUM('1.  LRAMVA Summary'!G$54:G$62)+SUM('1.  LRAMVA Summary'!G$63:G$64)*(MONTH($E69)-1)/12)*$H69</f>
        <v>-0.5763041900000001</v>
      </c>
      <c r="M69" s="230">
        <f>(SUM('1.  LRAMVA Summary'!H$54:H$62)+SUM('1.  LRAMVA Summary'!H$63:H$64)*(MONTH($E69)-1)/12)*$H69</f>
        <v>-1.4788812499999999E-3</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-1.969159440134064</v>
      </c>
    </row>
    <row r="70" spans="2:23" s="9" customFormat="1">
      <c r="B70" s="235" t="s">
        <v>733</v>
      </c>
      <c r="C70" s="236"/>
      <c r="E70" s="214">
        <v>41944</v>
      </c>
      <c r="F70" s="214" t="s">
        <v>180</v>
      </c>
      <c r="G70" s="215" t="s">
        <v>69</v>
      </c>
      <c r="H70" s="229">
        <f>C$30/12</f>
        <v>1.225E-3</v>
      </c>
      <c r="I70" s="230">
        <f>(SUM('1.  LRAMVA Summary'!D$54:D$62)+SUM('1.  LRAMVA Summary'!D$63:D$64)*(MONTH($E70)-1)/12)*$H70</f>
        <v>-1.2795269831135201</v>
      </c>
      <c r="J70" s="230">
        <f>(SUM('1.  LRAMVA Summary'!E$54:E$62)+SUM('1.  LRAMVA Summary'!E$63:E$64)*(MONTH($E70)-1)/12)*$H70</f>
        <v>0.82573637034253</v>
      </c>
      <c r="K70" s="230">
        <f>(SUM('1.  LRAMVA Summary'!F$54:F$62)+SUM('1.  LRAMVA Summary'!F$63:F$64)*(MONTH($E70)-1)/12)*$H70</f>
        <v>-1.092181722916667</v>
      </c>
      <c r="L70" s="230">
        <f>(SUM('1.  LRAMVA Summary'!G$54:G$62)+SUM('1.  LRAMVA Summary'!G$63:G$64)*(MONTH($E70)-1)/12)*$H70</f>
        <v>-0.64033836999999993</v>
      </c>
      <c r="M70" s="230">
        <f>(SUM('1.  LRAMVA Summary'!H$54:H$62)+SUM('1.  LRAMVA Summary'!H$63:H$64)*(MONTH($E70)-1)/12)*$H70</f>
        <v>-1.6437458333333332E-3</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-2.1879544515209903</v>
      </c>
    </row>
    <row r="71" spans="2:23" s="9" customFormat="1">
      <c r="B71" s="213" t="s">
        <v>734</v>
      </c>
      <c r="C71" s="233"/>
      <c r="E71" s="214">
        <v>41974</v>
      </c>
      <c r="F71" s="214" t="s">
        <v>180</v>
      </c>
      <c r="G71" s="215" t="s">
        <v>69</v>
      </c>
      <c r="H71" s="229">
        <f>C$30/12</f>
        <v>1.225E-3</v>
      </c>
      <c r="I71" s="230">
        <f>(SUM('1.  LRAMVA Summary'!D$54:D$62)+SUM('1.  LRAMVA Summary'!D$63:D$64)*(MONTH($E71)-1)/12)*$H71</f>
        <v>-1.4074788245883119</v>
      </c>
      <c r="J71" s="230">
        <f>(SUM('1.  LRAMVA Summary'!E$54:E$62)+SUM('1.  LRAMVA Summary'!E$63:E$64)*(MONTH($E71)-1)/12)*$H71</f>
        <v>0.90831017230539535</v>
      </c>
      <c r="K71" s="230">
        <f>(SUM('1.  LRAMVA Summary'!F$54:F$62)+SUM('1.  LRAMVA Summary'!F$63:F$64)*(MONTH($E71)-1)/12)*$H71</f>
        <v>-1.2013996502083335</v>
      </c>
      <c r="L71" s="230">
        <f>(SUM('1.  LRAMVA Summary'!G$54:G$62)+SUM('1.  LRAMVA Summary'!G$63:G$64)*(MONTH($E71)-1)/12)*$H71</f>
        <v>-0.70437254999999988</v>
      </c>
      <c r="M71" s="230">
        <f>(SUM('1.  LRAMVA Summary'!H$54:H$62)+SUM('1.  LRAMVA Summary'!H$63:H$64)*(MONTH($E71)-1)/12)*$H71</f>
        <v>-1.8086104166666664E-3</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-2.4067494629079165</v>
      </c>
    </row>
    <row r="72" spans="2:23" s="9" customFormat="1" ht="15.75" thickBot="1">
      <c r="B72" s="213" t="s">
        <v>735</v>
      </c>
      <c r="C72" s="233"/>
      <c r="E72" s="216" t="s">
        <v>463</v>
      </c>
      <c r="F72" s="216"/>
      <c r="G72" s="217"/>
      <c r="H72" s="218"/>
      <c r="I72" s="219">
        <f>SUM(I59:I71)</f>
        <v>-22.932260793550512</v>
      </c>
      <c r="J72" s="219">
        <f t="shared" ref="J72:V72" si="16">SUM(J59:J71)</f>
        <v>11.649628795316655</v>
      </c>
      <c r="K72" s="219">
        <f t="shared" si="16"/>
        <v>-15.982807076250005</v>
      </c>
      <c r="L72" s="219">
        <f t="shared" si="16"/>
        <v>-8.3435494800000001</v>
      </c>
      <c r="M72" s="219">
        <f t="shared" si="16"/>
        <v>-2.1575312499999996E-2</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-35.630563866983856</v>
      </c>
    </row>
    <row r="73" spans="2:23" s="9" customFormat="1" ht="15.75" thickTop="1">
      <c r="B73" s="213" t="s">
        <v>736</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737</v>
      </c>
      <c r="C74" s="236"/>
      <c r="E74" s="225" t="s">
        <v>427</v>
      </c>
      <c r="F74" s="225"/>
      <c r="G74" s="226"/>
      <c r="H74" s="227"/>
      <c r="I74" s="228">
        <f t="shared" ref="I74:O74" si="17">I72+I73</f>
        <v>-22.932260793550512</v>
      </c>
      <c r="J74" s="228">
        <f t="shared" si="17"/>
        <v>11.649628795316655</v>
      </c>
      <c r="K74" s="228">
        <f t="shared" si="17"/>
        <v>-15.982807076250005</v>
      </c>
      <c r="L74" s="228">
        <f t="shared" si="17"/>
        <v>-8.3435494800000001</v>
      </c>
      <c r="M74" s="228">
        <f t="shared" si="17"/>
        <v>-2.1575312499999996E-2</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-35.630563866983856</v>
      </c>
    </row>
    <row r="75" spans="2:23" s="9" customFormat="1">
      <c r="B75" s="66"/>
      <c r="E75" s="214">
        <v>42005</v>
      </c>
      <c r="F75" s="214" t="s">
        <v>181</v>
      </c>
      <c r="G75" s="215" t="s">
        <v>65</v>
      </c>
      <c r="H75" s="229">
        <f>C$31/12</f>
        <v>1.225E-3</v>
      </c>
      <c r="I75" s="230">
        <f>(SUM('1.  LRAMVA Summary'!D$54:D$65)+SUM('1.  LRAMVA Summary'!D$66:D$67)*(MONTH($E75)-1)/12)*$H75</f>
        <v>-3.4160631034353625E-6</v>
      </c>
      <c r="J75" s="230">
        <f>(SUM('1.  LRAMVA Summary'!E$54:E$65)+SUM('1.  LRAMVA Summary'!E$66:E$67)*(MONTH($E75)-1)/12)*$H75</f>
        <v>-6.2757317393817399E-6</v>
      </c>
      <c r="K75" s="230">
        <f>(SUM('1.  LRAMVA Summary'!F$54:F$65)+SUM('1.  LRAMVA Summary'!F$66:F$67)*(MONTH($E75)-1)/12)*$H75</f>
        <v>-2.3275000002513479E-6</v>
      </c>
      <c r="L75" s="230">
        <f>(SUM('1.  LRAMVA Summary'!G$54:G$65)+SUM('1.  LRAMVA Summary'!G$66:G$67)*(MONTH($E75)-1)/12)*$H75</f>
        <v>-9.8000000003253256E-7</v>
      </c>
      <c r="M75" s="230">
        <f>(SUM('1.  LRAMVA Summary'!H$54:H$65)+SUM('1.  LRAMVA Summary'!H$66:H$67)*(MONTH($E75)-1)/12)*$H75</f>
        <v>1.1025000000000146E-5</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-1.9742948431008366E-6</v>
      </c>
    </row>
    <row r="76" spans="2:23" s="238" customFormat="1">
      <c r="B76" s="237"/>
      <c r="E76" s="214">
        <v>42036</v>
      </c>
      <c r="F76" s="214" t="s">
        <v>181</v>
      </c>
      <c r="G76" s="215" t="s">
        <v>65</v>
      </c>
      <c r="H76" s="229">
        <f t="shared" ref="H76:H77" si="19">C$31/12</f>
        <v>1.225E-3</v>
      </c>
      <c r="I76" s="230">
        <f>(SUM('1.  LRAMVA Summary'!D$54:D$65)+SUM('1.  LRAMVA Summary'!D$66:D$67)*(MONTH($E76)-1)/12)*$H76</f>
        <v>-1.8080851858318932E-2</v>
      </c>
      <c r="J76" s="230">
        <f>(SUM('1.  LRAMVA Summary'!E$54:E$65)+SUM('1.  LRAMVA Summary'!E$66:E$67)*(MONTH($E76)-1)/12)*$H76</f>
        <v>8.2342570081830116E-2</v>
      </c>
      <c r="K76" s="230">
        <f>(SUM('1.  LRAMVA Summary'!F$54:F$65)+SUM('1.  LRAMVA Summary'!F$66:F$67)*(MONTH($E76)-1)/12)*$H76</f>
        <v>-0.10639199736440301</v>
      </c>
      <c r="L76" s="230">
        <f>(SUM('1.  LRAMVA Summary'!G$54:G$65)+SUM('1.  LRAMVA Summary'!G$66:G$67)*(MONTH($E76)-1)/12)*$H76</f>
        <v>1.2024516699999999</v>
      </c>
      <c r="M76" s="230">
        <f>(SUM('1.  LRAMVA Summary'!H$54:H$65)+SUM('1.  LRAMVA Summary'!H$66:H$67)*(MONTH($E76)-1)/12)*$H76</f>
        <v>-1.5577916666666651E-4</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1.1601656116924415</v>
      </c>
    </row>
    <row r="77" spans="2:23" s="9" customFormat="1" ht="15.75">
      <c r="B77" s="183" t="s">
        <v>182</v>
      </c>
      <c r="E77" s="214">
        <v>42064</v>
      </c>
      <c r="F77" s="214" t="s">
        <v>181</v>
      </c>
      <c r="G77" s="215" t="s">
        <v>65</v>
      </c>
      <c r="H77" s="229">
        <f t="shared" si="19"/>
        <v>1.225E-3</v>
      </c>
      <c r="I77" s="230">
        <f>(SUM('1.  LRAMVA Summary'!D$54:D$65)+SUM('1.  LRAMVA Summary'!D$66:D$67)*(MONTH($E77)-1)/12)*$H77</f>
        <v>-3.6158287653534432E-2</v>
      </c>
      <c r="J77" s="230">
        <f>(SUM('1.  LRAMVA Summary'!E$54:E$65)+SUM('1.  LRAMVA Summary'!E$66:E$67)*(MONTH($E77)-1)/12)*$H77</f>
        <v>0.16469141589539962</v>
      </c>
      <c r="K77" s="230">
        <f>(SUM('1.  LRAMVA Summary'!F$54:F$65)+SUM('1.  LRAMVA Summary'!F$66:F$67)*(MONTH($E77)-1)/12)*$H77</f>
        <v>-0.21278166722880576</v>
      </c>
      <c r="L77" s="230">
        <f>(SUM('1.  LRAMVA Summary'!G$54:G$65)+SUM('1.  LRAMVA Summary'!G$66:G$67)*(MONTH($E77)-1)/12)*$H77</f>
        <v>2.4049043199999995</v>
      </c>
      <c r="M77" s="230">
        <f>(SUM('1.  LRAMVA Summary'!H$54:H$65)+SUM('1.  LRAMVA Summary'!H$66:H$67)*(MONTH($E77)-1)/12)*$H77</f>
        <v>-3.2258333333333314E-4</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2.3203331976797257</v>
      </c>
    </row>
    <row r="78" spans="2:23" s="9" customFormat="1">
      <c r="B78" s="66"/>
      <c r="E78" s="214">
        <v>42095</v>
      </c>
      <c r="F78" s="214" t="s">
        <v>181</v>
      </c>
      <c r="G78" s="215" t="s">
        <v>66</v>
      </c>
      <c r="H78" s="229">
        <f>C$32/12</f>
        <v>9.1666666666666665E-4</v>
      </c>
      <c r="I78" s="230">
        <f>(SUM('1.  LRAMVA Summary'!D$54:D$65)+SUM('1.  LRAMVA Summary'!D$66:D$67)*(MONTH($E78)-1)/12)*$H78</f>
        <v>-4.0584554961649602E-2</v>
      </c>
      <c r="J78" s="230">
        <f>(SUM('1.  LRAMVA Summary'!E$54:E$65)+SUM('1.  LRAMVA Summary'!E$66:E$67)*(MONTH($E78)-1)/12)*$H78</f>
        <v>0.18486005978222184</v>
      </c>
      <c r="K78" s="230">
        <f>(SUM('1.  LRAMVA Summary'!F$54:F$65)+SUM('1.  LRAMVA Summary'!F$66:F$67)*(MONTH($E78)-1)/12)*$H78</f>
        <v>-0.23883569442348937</v>
      </c>
      <c r="L78" s="230">
        <f>(SUM('1.  LRAMVA Summary'!G$54:G$65)+SUM('1.  LRAMVA Summary'!G$66:G$67)*(MONTH($E78)-1)/12)*$H78</f>
        <v>2.6993827666666661</v>
      </c>
      <c r="M78" s="230">
        <f>(SUM('1.  LRAMVA Summary'!H$54:H$65)+SUM('1.  LRAMVA Summary'!H$66:H$67)*(MONTH($E78)-1)/12)*$H78</f>
        <v>-3.6620833333333313E-4</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2.6044563687304154</v>
      </c>
    </row>
    <row r="79" spans="2:23" s="9" customFormat="1">
      <c r="B79" s="66"/>
      <c r="E79" s="214">
        <v>42125</v>
      </c>
      <c r="F79" s="214" t="s">
        <v>181</v>
      </c>
      <c r="G79" s="215" t="s">
        <v>66</v>
      </c>
      <c r="H79" s="229">
        <f t="shared" ref="H79:H80" si="21">C$32/12</f>
        <v>9.1666666666666665E-4</v>
      </c>
      <c r="I79" s="230">
        <f>(SUM('1.  LRAMVA Summary'!D$54:D$65)+SUM('1.  LRAMVA Summary'!D$66:D$67)*(MONTH($E79)-1)/12)*$H79</f>
        <v>-5.4111887869633994E-2</v>
      </c>
      <c r="J79" s="230">
        <f>(SUM('1.  LRAMVA Summary'!E$54:E$65)+SUM('1.  LRAMVA Summary'!E$66:E$67)*(MONTH($E79)-1)/12)*$H79</f>
        <v>0.24648164508489287</v>
      </c>
      <c r="K79" s="230">
        <f>(SUM('1.  LRAMVA Summary'!F$54:F$65)+SUM('1.  LRAMVA Summary'!F$66:F$67)*(MONTH($E79)-1)/12)*$H79</f>
        <v>-0.31844701200909686</v>
      </c>
      <c r="L79" s="230">
        <f>(SUM('1.  LRAMVA Summary'!G$54:G$65)+SUM('1.  LRAMVA Summary'!G$66:G$67)*(MONTH($E79)-1)/12)*$H79</f>
        <v>3.5991772666666662</v>
      </c>
      <c r="M79" s="230">
        <f>(SUM('1.  LRAMVA Summary'!H$54:H$65)+SUM('1.  LRAMVA Summary'!H$66:H$67)*(MONTH($E79)-1)/12)*$H79</f>
        <v>-4.9102777777777762E-4</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3.4726089840950505</v>
      </c>
    </row>
    <row r="80" spans="2:23" s="9" customFormat="1">
      <c r="B80" s="66"/>
      <c r="E80" s="214">
        <v>42156</v>
      </c>
      <c r="F80" s="214" t="s">
        <v>181</v>
      </c>
      <c r="G80" s="215" t="s">
        <v>66</v>
      </c>
      <c r="H80" s="229">
        <f t="shared" si="21"/>
        <v>9.1666666666666665E-4</v>
      </c>
      <c r="I80" s="230">
        <f>(SUM('1.  LRAMVA Summary'!D$54:D$65)+SUM('1.  LRAMVA Summary'!D$66:D$67)*(MONTH($E80)-1)/12)*$H80</f>
        <v>-6.7639220777618386E-2</v>
      </c>
      <c r="J80" s="230">
        <f>(SUM('1.  LRAMVA Summary'!E$54:E$65)+SUM('1.  LRAMVA Summary'!E$66:E$67)*(MONTH($E80)-1)/12)*$H80</f>
        <v>0.30810323038756388</v>
      </c>
      <c r="K80" s="230">
        <f>(SUM('1.  LRAMVA Summary'!F$54:F$65)+SUM('1.  LRAMVA Summary'!F$66:F$67)*(MONTH($E80)-1)/12)*$H80</f>
        <v>-0.39805832959470439</v>
      </c>
      <c r="L80" s="230">
        <f>(SUM('1.  LRAMVA Summary'!G$54:G$65)+SUM('1.  LRAMVA Summary'!G$66:G$67)*(MONTH($E80)-1)/12)*$H80</f>
        <v>4.4989717666666662</v>
      </c>
      <c r="M80" s="230">
        <f>(SUM('1.  LRAMVA Summary'!H$54:H$65)+SUM('1.  LRAMVA Summary'!H$66:H$67)*(MONTH($E80)-1)/12)*$H80</f>
        <v>-6.1584722222222206E-4</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4.3407615994596851</v>
      </c>
    </row>
    <row r="81" spans="2:23" s="9" customFormat="1">
      <c r="B81" s="66"/>
      <c r="E81" s="214">
        <v>42186</v>
      </c>
      <c r="F81" s="214" t="s">
        <v>181</v>
      </c>
      <c r="G81" s="215" t="s">
        <v>68</v>
      </c>
      <c r="H81" s="229">
        <f>C$33/12</f>
        <v>9.1666666666666665E-4</v>
      </c>
      <c r="I81" s="230">
        <f>(SUM('1.  LRAMVA Summary'!D$54:D$65)+SUM('1.  LRAMVA Summary'!D$66:D$67)*(MONTH($E81)-1)/12)*$H81</f>
        <v>-8.1166553685602758E-2</v>
      </c>
      <c r="J81" s="230">
        <f>(SUM('1.  LRAMVA Summary'!E$54:E$65)+SUM('1.  LRAMVA Summary'!E$66:E$67)*(MONTH($E81)-1)/12)*$H81</f>
        <v>0.36972481569023508</v>
      </c>
      <c r="K81" s="230">
        <f>(SUM('1.  LRAMVA Summary'!F$54:F$65)+SUM('1.  LRAMVA Summary'!F$66:F$67)*(MONTH($E81)-1)/12)*$H81</f>
        <v>-0.47766964718031191</v>
      </c>
      <c r="L81" s="230">
        <f>(SUM('1.  LRAMVA Summary'!G$54:G$65)+SUM('1.  LRAMVA Summary'!G$66:G$67)*(MONTH($E81)-1)/12)*$H81</f>
        <v>5.3987662666666658</v>
      </c>
      <c r="M81" s="230">
        <f>(SUM('1.  LRAMVA Summary'!H$54:H$65)+SUM('1.  LRAMVA Summary'!H$66:H$67)*(MONTH($E81)-1)/12)*$H81</f>
        <v>-7.4066666666666638E-4</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5.2089142148243202</v>
      </c>
    </row>
    <row r="82" spans="2:23" s="9" customFormat="1">
      <c r="B82" s="66"/>
      <c r="E82" s="214">
        <v>42217</v>
      </c>
      <c r="F82" s="214" t="s">
        <v>181</v>
      </c>
      <c r="G82" s="215" t="s">
        <v>68</v>
      </c>
      <c r="H82" s="229">
        <f t="shared" ref="H82:H83" si="22">C$33/12</f>
        <v>9.1666666666666665E-4</v>
      </c>
      <c r="I82" s="230">
        <f>(SUM('1.  LRAMVA Summary'!D$54:D$65)+SUM('1.  LRAMVA Summary'!D$66:D$67)*(MONTH($E82)-1)/12)*$H82</f>
        <v>-9.4693886593587143E-2</v>
      </c>
      <c r="J82" s="230">
        <f>(SUM('1.  LRAMVA Summary'!E$54:E$65)+SUM('1.  LRAMVA Summary'!E$66:E$67)*(MONTH($E82)-1)/12)*$H82</f>
        <v>0.43134640099290611</v>
      </c>
      <c r="K82" s="230">
        <f>(SUM('1.  LRAMVA Summary'!F$54:F$65)+SUM('1.  LRAMVA Summary'!F$66:F$67)*(MONTH($E82)-1)/12)*$H82</f>
        <v>-0.55728096476591937</v>
      </c>
      <c r="L82" s="230">
        <f>(SUM('1.  LRAMVA Summary'!G$54:G$65)+SUM('1.  LRAMVA Summary'!G$66:G$67)*(MONTH($E82)-1)/12)*$H82</f>
        <v>6.2985607666666663</v>
      </c>
      <c r="M82" s="230">
        <f>(SUM('1.  LRAMVA Summary'!H$54:H$65)+SUM('1.  LRAMVA Summary'!H$66:H$67)*(MONTH($E82)-1)/12)*$H82</f>
        <v>-8.6548611111111093E-4</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6.0770668301889543</v>
      </c>
    </row>
    <row r="83" spans="2:23" s="9" customFormat="1">
      <c r="B83" s="66"/>
      <c r="E83" s="214">
        <v>42248</v>
      </c>
      <c r="F83" s="214" t="s">
        <v>181</v>
      </c>
      <c r="G83" s="215" t="s">
        <v>68</v>
      </c>
      <c r="H83" s="229">
        <f t="shared" si="22"/>
        <v>9.1666666666666665E-4</v>
      </c>
      <c r="I83" s="230">
        <f>(SUM('1.  LRAMVA Summary'!D$54:D$65)+SUM('1.  LRAMVA Summary'!D$66:D$67)*(MONTH($E83)-1)/12)*$H83</f>
        <v>-0.10822121950157154</v>
      </c>
      <c r="J83" s="230">
        <f>(SUM('1.  LRAMVA Summary'!E$54:E$65)+SUM('1.  LRAMVA Summary'!E$66:E$67)*(MONTH($E83)-1)/12)*$H83</f>
        <v>0.49296798629557709</v>
      </c>
      <c r="K83" s="230">
        <f>(SUM('1.  LRAMVA Summary'!F$54:F$65)+SUM('1.  LRAMVA Summary'!F$66:F$67)*(MONTH($E83)-1)/12)*$H83</f>
        <v>-0.63689228235152695</v>
      </c>
      <c r="L83" s="230">
        <f>(SUM('1.  LRAMVA Summary'!G$54:G$65)+SUM('1.  LRAMVA Summary'!G$66:G$67)*(MONTH($E83)-1)/12)*$H83</f>
        <v>7.1983552666666659</v>
      </c>
      <c r="M83" s="230">
        <f>(SUM('1.  LRAMVA Summary'!H$54:H$65)+SUM('1.  LRAMVA Summary'!H$66:H$67)*(MONTH($E83)-1)/12)*$H83</f>
        <v>-9.9030555555555547E-4</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6.9452194455535885</v>
      </c>
    </row>
    <row r="84" spans="2:23" s="9" customFormat="1">
      <c r="B84" s="66"/>
      <c r="E84" s="214">
        <v>42278</v>
      </c>
      <c r="F84" s="214" t="s">
        <v>181</v>
      </c>
      <c r="G84" s="215" t="s">
        <v>69</v>
      </c>
      <c r="H84" s="229">
        <f>C$34/12</f>
        <v>9.1666666666666665E-4</v>
      </c>
      <c r="I84" s="230">
        <f>(SUM('1.  LRAMVA Summary'!D$54:D$65)+SUM('1.  LRAMVA Summary'!D$66:D$67)*(MONTH($E84)-1)/12)*$H84</f>
        <v>-0.12174855240955593</v>
      </c>
      <c r="J84" s="230">
        <f>(SUM('1.  LRAMVA Summary'!E$54:E$65)+SUM('1.  LRAMVA Summary'!E$66:E$67)*(MONTH($E84)-1)/12)*$H84</f>
        <v>0.55458957159824818</v>
      </c>
      <c r="K84" s="230">
        <f>(SUM('1.  LRAMVA Summary'!F$54:F$65)+SUM('1.  LRAMVA Summary'!F$66:F$67)*(MONTH($E84)-1)/12)*$H84</f>
        <v>-0.71650359993713442</v>
      </c>
      <c r="L84" s="230">
        <f>(SUM('1.  LRAMVA Summary'!G$54:G$65)+SUM('1.  LRAMVA Summary'!G$66:G$67)*(MONTH($E84)-1)/12)*$H84</f>
        <v>8.0981497666666655</v>
      </c>
      <c r="M84" s="230">
        <f>(SUM('1.  LRAMVA Summary'!H$54:H$65)+SUM('1.  LRAMVA Summary'!H$66:H$67)*(MONTH($E84)-1)/12)*$H84</f>
        <v>-1.1151249999999998E-3</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7.8133720609182236</v>
      </c>
    </row>
    <row r="85" spans="2:23" s="9" customFormat="1">
      <c r="B85" s="66"/>
      <c r="E85" s="214">
        <v>42309</v>
      </c>
      <c r="F85" s="214" t="s">
        <v>181</v>
      </c>
      <c r="G85" s="215" t="s">
        <v>69</v>
      </c>
      <c r="H85" s="229">
        <f t="shared" ref="H85:H86" si="23">C$34/12</f>
        <v>9.1666666666666665E-4</v>
      </c>
      <c r="I85" s="230">
        <f>(SUM('1.  LRAMVA Summary'!D$54:D$65)+SUM('1.  LRAMVA Summary'!D$66:D$67)*(MONTH($E85)-1)/12)*$H85</f>
        <v>-0.13527588531754031</v>
      </c>
      <c r="J85" s="230">
        <f>(SUM('1.  LRAMVA Summary'!E$54:E$65)+SUM('1.  LRAMVA Summary'!E$66:E$67)*(MONTH($E85)-1)/12)*$H85</f>
        <v>0.61621115690091921</v>
      </c>
      <c r="K85" s="230">
        <f>(SUM('1.  LRAMVA Summary'!F$54:F$65)+SUM('1.  LRAMVA Summary'!F$66:F$67)*(MONTH($E85)-1)/12)*$H85</f>
        <v>-0.79611491752274188</v>
      </c>
      <c r="L85" s="230">
        <f>(SUM('1.  LRAMVA Summary'!G$54:G$65)+SUM('1.  LRAMVA Summary'!G$66:G$67)*(MONTH($E85)-1)/12)*$H85</f>
        <v>8.997944266666666</v>
      </c>
      <c r="M85" s="230">
        <f>(SUM('1.  LRAMVA Summary'!H$54:H$65)+SUM('1.  LRAMVA Summary'!H$66:H$67)*(MONTH($E85)-1)/12)*$H85</f>
        <v>-1.2399444444444443E-3</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8.6815246762828586</v>
      </c>
    </row>
    <row r="86" spans="2:23" s="9" customFormat="1">
      <c r="B86" s="66"/>
      <c r="E86" s="214">
        <v>42339</v>
      </c>
      <c r="F86" s="214" t="s">
        <v>181</v>
      </c>
      <c r="G86" s="215" t="s">
        <v>69</v>
      </c>
      <c r="H86" s="229">
        <f t="shared" si="23"/>
        <v>9.1666666666666665E-4</v>
      </c>
      <c r="I86" s="230">
        <f>(SUM('1.  LRAMVA Summary'!D$54:D$65)+SUM('1.  LRAMVA Summary'!D$66:D$67)*(MONTH($E86)-1)/12)*$H86</f>
        <v>-0.14880321822552467</v>
      </c>
      <c r="J86" s="230">
        <f>(SUM('1.  LRAMVA Summary'!E$54:E$65)+SUM('1.  LRAMVA Summary'!E$66:E$67)*(MONTH($E86)-1)/12)*$H86</f>
        <v>0.67783274220359035</v>
      </c>
      <c r="K86" s="230">
        <f>(SUM('1.  LRAMVA Summary'!F$54:F$65)+SUM('1.  LRAMVA Summary'!F$66:F$67)*(MONTH($E86)-1)/12)*$H86</f>
        <v>-0.87572623510834946</v>
      </c>
      <c r="L86" s="230">
        <f>(SUM('1.  LRAMVA Summary'!G$54:G$65)+SUM('1.  LRAMVA Summary'!G$66:G$67)*(MONTH($E86)-1)/12)*$H86</f>
        <v>9.8977387666666647</v>
      </c>
      <c r="M86" s="230">
        <f>(SUM('1.  LRAMVA Summary'!H$54:H$65)+SUM('1.  LRAMVA Summary'!H$66:H$67)*(MONTH($E86)-1)/12)*$H86</f>
        <v>-1.3647638888888887E-3</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9.5496772916474928</v>
      </c>
    </row>
    <row r="87" spans="2:23" s="9" customFormat="1" ht="15.75" thickBot="1">
      <c r="B87" s="66"/>
      <c r="E87" s="216" t="s">
        <v>464</v>
      </c>
      <c r="F87" s="216"/>
      <c r="G87" s="217"/>
      <c r="H87" s="218"/>
      <c r="I87" s="219">
        <f>SUM(I74:I86)</f>
        <v>-23.838748328467751</v>
      </c>
      <c r="J87" s="219">
        <f>SUM(J74:J86)</f>
        <v>15.778774114498299</v>
      </c>
      <c r="K87" s="219">
        <f t="shared" ref="K87:O87" si="24">SUM(K74:K86)</f>
        <v>-21.317511751236495</v>
      </c>
      <c r="L87" s="219">
        <f t="shared" si="24"/>
        <v>51.950852429999991</v>
      </c>
      <c r="M87" s="219">
        <f t="shared" si="24"/>
        <v>-2.9832024999999991E-2</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22.543534439794058</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-23.838748328467751</v>
      </c>
      <c r="J89" s="228">
        <f t="shared" ref="J89" si="26">J87+J88</f>
        <v>15.778774114498299</v>
      </c>
      <c r="K89" s="228">
        <f t="shared" ref="K89" si="27">K87+K88</f>
        <v>-21.317511751236495</v>
      </c>
      <c r="L89" s="228">
        <f t="shared" ref="L89" si="28">L87+L88</f>
        <v>51.950852429999991</v>
      </c>
      <c r="M89" s="228">
        <f t="shared" ref="M89" si="29">M87+M88</f>
        <v>-2.9832024999999991E-2</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22.543534439794058</v>
      </c>
    </row>
    <row r="90" spans="2:23" s="9" customFormat="1">
      <c r="B90" s="66"/>
      <c r="E90" s="214">
        <v>42370</v>
      </c>
      <c r="F90" s="214" t="s">
        <v>183</v>
      </c>
      <c r="G90" s="215" t="s">
        <v>65</v>
      </c>
      <c r="H90" s="229">
        <f>$C$35/12</f>
        <v>9.1666666666666665E-4</v>
      </c>
      <c r="I90" s="230">
        <f>(SUM('1.  LRAMVA Summary'!D$54:D$68)+SUM('1.  LRAMVA Summary'!D$69:D$70)*(MONTH($E90)-1)/12)*$H90</f>
        <v>5.9255282199824032E-2</v>
      </c>
      <c r="J90" s="230">
        <f>(SUM('1.  LRAMVA Summary'!E$54:E$68)+SUM('1.  LRAMVA Summary'!E$69:E$70)*(MONTH($E90)-1)/12)*$H90</f>
        <v>-5.3416505827071886E-2</v>
      </c>
      <c r="K90" s="230">
        <f>(SUM('1.  LRAMVA Summary'!F$54:F$68)+SUM('1.  LRAMVA Summary'!F$69:F$70)*(MONTH($E90)-1)/12)*$H90</f>
        <v>6.3014947306043137E-2</v>
      </c>
      <c r="L90" s="230">
        <f>(SUM('1.  LRAMVA Summary'!G$54:G$68)+SUM('1.  LRAMVA Summary'!G$69:G$70)*(MONTH($E90)-1)/12)*$H90</f>
        <v>-2.5852566666667524E-2</v>
      </c>
      <c r="M90" s="230">
        <f>(SUM('1.  LRAMVA Summary'!H$54:H$68)+SUM('1.  LRAMVA Summary'!H$69:H$70)*(MONTH($E90)-1)/12)*$H90</f>
        <v>8.7083333333333517E-5</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4.308824034546109E-2</v>
      </c>
    </row>
    <row r="91" spans="2:23" s="9" customFormat="1">
      <c r="B91" s="66"/>
      <c r="E91" s="214">
        <v>42401</v>
      </c>
      <c r="F91" s="214" t="s">
        <v>183</v>
      </c>
      <c r="G91" s="215" t="s">
        <v>65</v>
      </c>
      <c r="H91" s="229">
        <f t="shared" ref="H91:H92" si="34">$C$35/12</f>
        <v>9.1666666666666665E-4</v>
      </c>
      <c r="I91" s="230">
        <f>(SUM('1.  LRAMVA Summary'!D$54:D$68)+SUM('1.  LRAMVA Summary'!D$69:D$70)*(MONTH($E91)-1)/12)*$H91</f>
        <v>0.39849139664595867</v>
      </c>
      <c r="J91" s="230">
        <f>(SUM('1.  LRAMVA Summary'!E$54:E$68)+SUM('1.  LRAMVA Summary'!E$69:E$70)*(MONTH($E91)-1)/12)*$H91</f>
        <v>1.1669842476133905E-3</v>
      </c>
      <c r="K91" s="230">
        <f>(SUM('1.  LRAMVA Summary'!F$54:F$68)+SUM('1.  LRAMVA Summary'!F$69:F$70)*(MONTH($E91)-1)/12)*$H91</f>
        <v>1.498657771198022E-2</v>
      </c>
      <c r="L91" s="230">
        <f>(SUM('1.  LRAMVA Summary'!G$54:G$68)+SUM('1.  LRAMVA Summary'!G$69:G$70)*(MONTH($E91)-1)/12)*$H91</f>
        <v>1.9872563333332462E-2</v>
      </c>
      <c r="M91" s="230">
        <f>(SUM('1.  LRAMVA Summary'!H$54:H$68)+SUM('1.  LRAMVA Summary'!H$69:H$70)*(MONTH($E91)-1)/12)*$H91</f>
        <v>-3.9187499999999807E-5</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0.43447833443888478</v>
      </c>
    </row>
    <row r="92" spans="2:23" s="9" customFormat="1" ht="14.25" customHeight="1">
      <c r="B92" s="66"/>
      <c r="E92" s="214">
        <v>42430</v>
      </c>
      <c r="F92" s="214" t="s">
        <v>183</v>
      </c>
      <c r="G92" s="215" t="s">
        <v>65</v>
      </c>
      <c r="H92" s="229">
        <f t="shared" si="34"/>
        <v>9.1666666666666665E-4</v>
      </c>
      <c r="I92" s="230">
        <f>(SUM('1.  LRAMVA Summary'!D$54:D$68)+SUM('1.  LRAMVA Summary'!D$69:D$70)*(MONTH($E92)-1)/12)*$H92</f>
        <v>0.73772751109209345</v>
      </c>
      <c r="J92" s="230">
        <f>(SUM('1.  LRAMVA Summary'!E$54:E$68)+SUM('1.  LRAMVA Summary'!E$69:E$70)*(MONTH($E92)-1)/12)*$H92</f>
        <v>5.5750474322298668E-2</v>
      </c>
      <c r="K92" s="230">
        <f>(SUM('1.  LRAMVA Summary'!F$54:F$68)+SUM('1.  LRAMVA Summary'!F$69:F$70)*(MONTH($E92)-1)/12)*$H92</f>
        <v>-3.3041791882082693E-2</v>
      </c>
      <c r="L92" s="230">
        <f>(SUM('1.  LRAMVA Summary'!G$54:G$68)+SUM('1.  LRAMVA Summary'!G$69:G$70)*(MONTH($E92)-1)/12)*$H92</f>
        <v>6.5597693333332444E-2</v>
      </c>
      <c r="M92" s="230">
        <f>(SUM('1.  LRAMVA Summary'!H$54:H$68)+SUM('1.  LRAMVA Summary'!H$69:H$70)*(MONTH($E92)-1)/12)*$H92</f>
        <v>-1.6545833333333313E-4</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0.82586842853230846</v>
      </c>
    </row>
    <row r="93" spans="2:23" s="8" customFormat="1">
      <c r="B93" s="239"/>
      <c r="D93" s="9"/>
      <c r="E93" s="214">
        <v>42461</v>
      </c>
      <c r="F93" s="214" t="s">
        <v>183</v>
      </c>
      <c r="G93" s="215" t="s">
        <v>66</v>
      </c>
      <c r="H93" s="229">
        <f>$C$36/12</f>
        <v>9.1666666666666665E-4</v>
      </c>
      <c r="I93" s="230">
        <f>(SUM('1.  LRAMVA Summary'!D$54:D$68)+SUM('1.  LRAMVA Summary'!D$69:D$70)*(MONTH($E93)-1)/12)*$H93</f>
        <v>1.0769636255382282</v>
      </c>
      <c r="J93" s="230">
        <f>(SUM('1.  LRAMVA Summary'!E$54:E$68)+SUM('1.  LRAMVA Summary'!E$69:E$70)*(MONTH($E93)-1)/12)*$H93</f>
        <v>0.11033396439698394</v>
      </c>
      <c r="K93" s="230">
        <f>(SUM('1.  LRAMVA Summary'!F$54:F$68)+SUM('1.  LRAMVA Summary'!F$69:F$70)*(MONTH($E93)-1)/12)*$H93</f>
        <v>-8.1070161476145597E-2</v>
      </c>
      <c r="L93" s="230">
        <f>(SUM('1.  LRAMVA Summary'!G$54:G$68)+SUM('1.  LRAMVA Summary'!G$69:G$70)*(MONTH($E93)-1)/12)*$H93</f>
        <v>0.11132282333333243</v>
      </c>
      <c r="M93" s="230">
        <f>(SUM('1.  LRAMVA Summary'!H$54:H$68)+SUM('1.  LRAMVA Summary'!H$69:H$70)*(MONTH($E93)-1)/12)*$H93</f>
        <v>-2.9172916666666643E-4</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1.2172585226257324</v>
      </c>
    </row>
    <row r="94" spans="2:23" s="9" customFormat="1">
      <c r="B94" s="66"/>
      <c r="E94" s="214">
        <v>42491</v>
      </c>
      <c r="F94" s="214" t="s">
        <v>183</v>
      </c>
      <c r="G94" s="215" t="s">
        <v>66</v>
      </c>
      <c r="H94" s="229">
        <f t="shared" ref="H94:H95" si="36">$C$36/12</f>
        <v>9.1666666666666665E-4</v>
      </c>
      <c r="I94" s="230">
        <f>(SUM('1.  LRAMVA Summary'!D$54:D$68)+SUM('1.  LRAMVA Summary'!D$69:D$70)*(MONTH($E94)-1)/12)*$H94</f>
        <v>1.4161997399843627</v>
      </c>
      <c r="J94" s="230">
        <f>(SUM('1.  LRAMVA Summary'!E$54:E$68)+SUM('1.  LRAMVA Summary'!E$69:E$70)*(MONTH($E94)-1)/12)*$H94</f>
        <v>0.16491745447166922</v>
      </c>
      <c r="K94" s="230">
        <f>(SUM('1.  LRAMVA Summary'!F$54:F$68)+SUM('1.  LRAMVA Summary'!F$69:F$70)*(MONTH($E94)-1)/12)*$H94</f>
        <v>-0.12909853107020852</v>
      </c>
      <c r="L94" s="230">
        <f>(SUM('1.  LRAMVA Summary'!G$54:G$68)+SUM('1.  LRAMVA Summary'!G$69:G$70)*(MONTH($E94)-1)/12)*$H94</f>
        <v>0.15704795333333241</v>
      </c>
      <c r="M94" s="230">
        <f>(SUM('1.  LRAMVA Summary'!H$54:H$68)+SUM('1.  LRAMVA Summary'!H$69:H$70)*(MONTH($E94)-1)/12)*$H94</f>
        <v>-4.1799999999999975E-4</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1.6086486167191558</v>
      </c>
    </row>
    <row r="95" spans="2:23" s="238" customFormat="1">
      <c r="B95" s="237"/>
      <c r="D95" s="9"/>
      <c r="E95" s="214">
        <v>42522</v>
      </c>
      <c r="F95" s="214" t="s">
        <v>183</v>
      </c>
      <c r="G95" s="215" t="s">
        <v>66</v>
      </c>
      <c r="H95" s="229">
        <f t="shared" si="36"/>
        <v>9.1666666666666665E-4</v>
      </c>
      <c r="I95" s="230">
        <f>(SUM('1.  LRAMVA Summary'!D$54:D$68)+SUM('1.  LRAMVA Summary'!D$69:D$70)*(MONTH($E95)-1)/12)*$H95</f>
        <v>1.7554358544304973</v>
      </c>
      <c r="J95" s="230">
        <f>(SUM('1.  LRAMVA Summary'!E$54:E$68)+SUM('1.  LRAMVA Summary'!E$69:E$70)*(MONTH($E95)-1)/12)*$H95</f>
        <v>0.21950094454635449</v>
      </c>
      <c r="K95" s="230">
        <f>(SUM('1.  LRAMVA Summary'!F$54:F$68)+SUM('1.  LRAMVA Summary'!F$69:F$70)*(MONTH($E95)-1)/12)*$H95</f>
        <v>-0.17712690066427139</v>
      </c>
      <c r="L95" s="230">
        <f>(SUM('1.  LRAMVA Summary'!G$54:G$68)+SUM('1.  LRAMVA Summary'!G$69:G$70)*(MONTH($E95)-1)/12)*$H95</f>
        <v>0.20277308333333238</v>
      </c>
      <c r="M95" s="230">
        <f>(SUM('1.  LRAMVA Summary'!H$54:H$68)+SUM('1.  LRAMVA Summary'!H$69:H$70)*(MONTH($E95)-1)/12)*$H95</f>
        <v>-5.4427083333333302E-4</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2.0000387108125794</v>
      </c>
    </row>
    <row r="96" spans="2:23" s="9" customFormat="1">
      <c r="B96" s="66"/>
      <c r="E96" s="214">
        <v>42552</v>
      </c>
      <c r="F96" s="214" t="s">
        <v>183</v>
      </c>
      <c r="G96" s="215" t="s">
        <v>68</v>
      </c>
      <c r="H96" s="229">
        <f>$C$37/12</f>
        <v>9.1666666666666665E-4</v>
      </c>
      <c r="I96" s="230">
        <f>(SUM('1.  LRAMVA Summary'!D$54:D$68)+SUM('1.  LRAMVA Summary'!D$69:D$70)*(MONTH($E96)-1)/12)*$H96</f>
        <v>2.0946719688766322</v>
      </c>
      <c r="J96" s="230">
        <f>(SUM('1.  LRAMVA Summary'!E$54:E$68)+SUM('1.  LRAMVA Summary'!E$69:E$70)*(MONTH($E96)-1)/12)*$H96</f>
        <v>0.27408443462103976</v>
      </c>
      <c r="K96" s="230">
        <f>(SUM('1.  LRAMVA Summary'!F$54:F$68)+SUM('1.  LRAMVA Summary'!F$69:F$70)*(MONTH($E96)-1)/12)*$H96</f>
        <v>-0.22515527025833434</v>
      </c>
      <c r="L96" s="230">
        <f>(SUM('1.  LRAMVA Summary'!G$54:G$68)+SUM('1.  LRAMVA Summary'!G$69:G$70)*(MONTH($E96)-1)/12)*$H96</f>
        <v>0.24849821333333239</v>
      </c>
      <c r="M96" s="230">
        <f>(SUM('1.  LRAMVA Summary'!H$54:H$68)+SUM('1.  LRAMVA Summary'!H$69:H$70)*(MONTH($E96)-1)/12)*$H96</f>
        <v>-6.705416666666664E-4</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2.3914288049060035</v>
      </c>
    </row>
    <row r="97" spans="2:23" s="9" customFormat="1">
      <c r="B97" s="66"/>
      <c r="E97" s="214">
        <v>42583</v>
      </c>
      <c r="F97" s="214" t="s">
        <v>183</v>
      </c>
      <c r="G97" s="215" t="s">
        <v>68</v>
      </c>
      <c r="H97" s="229">
        <f t="shared" ref="H97:H98" si="37">$C$37/12</f>
        <v>9.1666666666666665E-4</v>
      </c>
      <c r="I97" s="230">
        <f>(SUM('1.  LRAMVA Summary'!D$54:D$68)+SUM('1.  LRAMVA Summary'!D$69:D$70)*(MONTH($E97)-1)/12)*$H97</f>
        <v>2.4339080833227666</v>
      </c>
      <c r="J97" s="230">
        <f>(SUM('1.  LRAMVA Summary'!E$54:E$68)+SUM('1.  LRAMVA Summary'!E$69:E$70)*(MONTH($E97)-1)/12)*$H97</f>
        <v>0.32866792469572503</v>
      </c>
      <c r="K97" s="230">
        <f>(SUM('1.  LRAMVA Summary'!F$54:F$68)+SUM('1.  LRAMVA Summary'!F$69:F$70)*(MONTH($E97)-1)/12)*$H97</f>
        <v>-0.2731836398523973</v>
      </c>
      <c r="L97" s="230">
        <f>(SUM('1.  LRAMVA Summary'!G$54:G$68)+SUM('1.  LRAMVA Summary'!G$69:G$70)*(MONTH($E97)-1)/12)*$H97</f>
        <v>0.29422334333333233</v>
      </c>
      <c r="M97" s="230">
        <f>(SUM('1.  LRAMVA Summary'!H$54:H$68)+SUM('1.  LRAMVA Summary'!H$69:H$70)*(MONTH($E97)-1)/12)*$H97</f>
        <v>-7.9681249999999967E-4</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2.7828188989994267</v>
      </c>
    </row>
    <row r="98" spans="2:23" s="9" customFormat="1">
      <c r="B98" s="66"/>
      <c r="E98" s="214">
        <v>42614</v>
      </c>
      <c r="F98" s="214" t="s">
        <v>183</v>
      </c>
      <c r="G98" s="215" t="s">
        <v>68</v>
      </c>
      <c r="H98" s="229">
        <f t="shared" si="37"/>
        <v>9.1666666666666665E-4</v>
      </c>
      <c r="I98" s="230">
        <f>(SUM('1.  LRAMVA Summary'!D$54:D$68)+SUM('1.  LRAMVA Summary'!D$69:D$70)*(MONTH($E98)-1)/12)*$H98</f>
        <v>2.7731441977689015</v>
      </c>
      <c r="J98" s="230">
        <f>(SUM('1.  LRAMVA Summary'!E$54:E$68)+SUM('1.  LRAMVA Summary'!E$69:E$70)*(MONTH($E98)-1)/12)*$H98</f>
        <v>0.3832514147704103</v>
      </c>
      <c r="K98" s="230">
        <f>(SUM('1.  LRAMVA Summary'!F$54:F$68)+SUM('1.  LRAMVA Summary'!F$69:F$70)*(MONTH($E98)-1)/12)*$H98</f>
        <v>-0.32121200944646017</v>
      </c>
      <c r="L98" s="230">
        <f>(SUM('1.  LRAMVA Summary'!G$54:G$68)+SUM('1.  LRAMVA Summary'!G$69:G$70)*(MONTH($E98)-1)/12)*$H98</f>
        <v>0.33994847333333233</v>
      </c>
      <c r="M98" s="230">
        <f>(SUM('1.  LRAMVA Summary'!H$54:H$68)+SUM('1.  LRAMVA Summary'!H$69:H$70)*(MONTH($E98)-1)/12)*$H98</f>
        <v>-9.2308333333333305E-4</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3.1742089930928508</v>
      </c>
    </row>
    <row r="99" spans="2:23" s="9" customFormat="1">
      <c r="B99" s="66"/>
      <c r="E99" s="214">
        <v>42644</v>
      </c>
      <c r="F99" s="214" t="s">
        <v>183</v>
      </c>
      <c r="G99" s="215" t="s">
        <v>69</v>
      </c>
      <c r="H99" s="210">
        <f>$C$38/12</f>
        <v>9.1666666666666665E-4</v>
      </c>
      <c r="I99" s="230">
        <f>(SUM('1.  LRAMVA Summary'!D$54:D$68)+SUM('1.  LRAMVA Summary'!D$69:D$70)*(MONTH($E99)-1)/12)*$H99</f>
        <v>3.1123803122150364</v>
      </c>
      <c r="J99" s="230">
        <f>(SUM('1.  LRAMVA Summary'!E$54:E$68)+SUM('1.  LRAMVA Summary'!E$69:E$70)*(MONTH($E99)-1)/12)*$H99</f>
        <v>0.43783490484509557</v>
      </c>
      <c r="K99" s="230">
        <f>(SUM('1.  LRAMVA Summary'!F$54:F$68)+SUM('1.  LRAMVA Summary'!F$69:F$70)*(MONTH($E99)-1)/12)*$H99</f>
        <v>-0.36924037904052304</v>
      </c>
      <c r="L99" s="230">
        <f>(SUM('1.  LRAMVA Summary'!G$54:G$68)+SUM('1.  LRAMVA Summary'!G$69:G$70)*(MONTH($E99)-1)/12)*$H99</f>
        <v>0.38567360333333234</v>
      </c>
      <c r="M99" s="230">
        <f>(SUM('1.  LRAMVA Summary'!H$54:H$68)+SUM('1.  LRAMVA Summary'!H$69:H$70)*(MONTH($E99)-1)/12)*$H99</f>
        <v>-1.0493541666666663E-3</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3.5655990871862748</v>
      </c>
    </row>
    <row r="100" spans="2:23" s="9" customFormat="1">
      <c r="B100" s="66"/>
      <c r="E100" s="214">
        <v>42675</v>
      </c>
      <c r="F100" s="214" t="s">
        <v>183</v>
      </c>
      <c r="G100" s="215" t="s">
        <v>69</v>
      </c>
      <c r="H100" s="210">
        <f t="shared" ref="H100:H101" si="38">$C$38/12</f>
        <v>9.1666666666666665E-4</v>
      </c>
      <c r="I100" s="230">
        <f>(SUM('1.  LRAMVA Summary'!D$54:D$68)+SUM('1.  LRAMVA Summary'!D$69:D$70)*(MONTH($E100)-1)/12)*$H100</f>
        <v>3.4516164266611709</v>
      </c>
      <c r="J100" s="230">
        <f>(SUM('1.  LRAMVA Summary'!E$54:E$68)+SUM('1.  LRAMVA Summary'!E$69:E$70)*(MONTH($E100)-1)/12)*$H100</f>
        <v>0.4924183949197809</v>
      </c>
      <c r="K100" s="230">
        <f>(SUM('1.  LRAMVA Summary'!F$54:F$68)+SUM('1.  LRAMVA Summary'!F$69:F$70)*(MONTH($E100)-1)/12)*$H100</f>
        <v>-0.41726874863458591</v>
      </c>
      <c r="L100" s="230">
        <f>(SUM('1.  LRAMVA Summary'!G$54:G$68)+SUM('1.  LRAMVA Summary'!G$69:G$70)*(MONTH($E100)-1)/12)*$H100</f>
        <v>0.43139873333333228</v>
      </c>
      <c r="M100" s="230">
        <f>(SUM('1.  LRAMVA Summary'!H$54:H$68)+SUM('1.  LRAMVA Summary'!H$69:H$70)*(MONTH($E100)-1)/12)*$H100</f>
        <v>-1.1756249999999996E-3</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3.9569891812796985</v>
      </c>
    </row>
    <row r="101" spans="2:23" s="9" customFormat="1">
      <c r="B101" s="66"/>
      <c r="E101" s="214">
        <v>42705</v>
      </c>
      <c r="F101" s="214" t="s">
        <v>183</v>
      </c>
      <c r="G101" s="215" t="s">
        <v>69</v>
      </c>
      <c r="H101" s="210">
        <f t="shared" si="38"/>
        <v>9.1666666666666665E-4</v>
      </c>
      <c r="I101" s="230">
        <f>(SUM('1.  LRAMVA Summary'!D$54:D$68)+SUM('1.  LRAMVA Summary'!D$69:D$70)*(MONTH($E101)-1)/12)*$H101</f>
        <v>3.7908525411073053</v>
      </c>
      <c r="J101" s="230">
        <f>(SUM('1.  LRAMVA Summary'!E$54:E$68)+SUM('1.  LRAMVA Summary'!E$69:E$70)*(MONTH($E101)-1)/12)*$H101</f>
        <v>0.54700188499446611</v>
      </c>
      <c r="K101" s="230">
        <f>(SUM('1.  LRAMVA Summary'!F$54:F$68)+SUM('1.  LRAMVA Summary'!F$69:F$70)*(MONTH($E101)-1)/12)*$H101</f>
        <v>-0.46529711822864889</v>
      </c>
      <c r="L101" s="230">
        <f>(SUM('1.  LRAMVA Summary'!G$54:G$68)+SUM('1.  LRAMVA Summary'!G$69:G$70)*(MONTH($E101)-1)/12)*$H101</f>
        <v>0.47712386333333234</v>
      </c>
      <c r="M101" s="230">
        <f>(SUM('1.  LRAMVA Summary'!H$54:H$68)+SUM('1.  LRAMVA Summary'!H$69:H$70)*(MONTH($E101)-1)/12)*$H101</f>
        <v>-1.3018958333333329E-3</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4.3483792753731221</v>
      </c>
    </row>
    <row r="102" spans="2:23" s="9" customFormat="1" ht="15.75" thickBot="1">
      <c r="B102" s="66"/>
      <c r="E102" s="216" t="s">
        <v>465</v>
      </c>
      <c r="F102" s="216"/>
      <c r="G102" s="217"/>
      <c r="H102" s="218"/>
      <c r="I102" s="219">
        <f>SUM(I89:I101)</f>
        <v>-0.73810138862497388</v>
      </c>
      <c r="J102" s="219">
        <f>SUM(J89:J101)</f>
        <v>18.740286389502664</v>
      </c>
      <c r="K102" s="219">
        <f t="shared" ref="K102:O102" si="39">SUM(K89:K101)</f>
        <v>-23.731204776772127</v>
      </c>
      <c r="L102" s="219">
        <f t="shared" si="39"/>
        <v>54.658480209999979</v>
      </c>
      <c r="M102" s="219">
        <f t="shared" si="39"/>
        <v>-3.7120899999999984E-2</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48.892339534105545</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-0.73810138862497388</v>
      </c>
      <c r="J104" s="228">
        <f t="shared" ref="J104" si="41">J102+J103</f>
        <v>18.740286389502664</v>
      </c>
      <c r="K104" s="228">
        <f t="shared" ref="K104" si="42">K102+K103</f>
        <v>-23.731204776772127</v>
      </c>
      <c r="L104" s="228">
        <f t="shared" ref="L104" si="43">L102+L103</f>
        <v>54.658480209999979</v>
      </c>
      <c r="M104" s="228">
        <f t="shared" ref="M104" si="44">M102+M103</f>
        <v>-3.7120899999999984E-2</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48.892339534105545</v>
      </c>
    </row>
    <row r="105" spans="2:23" s="9" customFormat="1">
      <c r="B105" s="66"/>
      <c r="E105" s="214">
        <v>42736</v>
      </c>
      <c r="F105" s="214" t="s">
        <v>184</v>
      </c>
      <c r="G105" s="215" t="s">
        <v>65</v>
      </c>
      <c r="H105" s="240">
        <f>$C$39/12</f>
        <v>9.1666666666666665E-4</v>
      </c>
      <c r="I105" s="230">
        <f>(SUM('1.  LRAMVA Summary'!D$54:D$71)+SUM('1.  LRAMVA Summary'!D$72:D$73)*(MONTH($E105)-1)/12)*$H105</f>
        <v>4.1300886555534397</v>
      </c>
      <c r="J105" s="230">
        <f>(SUM('1.  LRAMVA Summary'!E$54:E$71)+SUM('1.  LRAMVA Summary'!E$72:E$73)*(MONTH($E105)-1)/12)*$H105</f>
        <v>0.60158537506915144</v>
      </c>
      <c r="K105" s="230">
        <f>(SUM('1.  LRAMVA Summary'!F$54:F$71)+SUM('1.  LRAMVA Summary'!F$72:F$73)*(MONTH($E105)-1)/12)*$H105</f>
        <v>-0.51332548782271181</v>
      </c>
      <c r="L105" s="230">
        <f>(SUM('1.  LRAMVA Summary'!G$54:G$71)+SUM('1.  LRAMVA Summary'!G$72:G$73)*(MONTH($E105)-1)/12)*$H105</f>
        <v>0.52284899333333223</v>
      </c>
      <c r="M105" s="230">
        <f>(SUM('1.  LRAMVA Summary'!H$54:H$71)+SUM('1.  LRAMVA Summary'!H$72:H$73)*(MONTH($E105)-1)/12)*$H105</f>
        <v>-1.4281666666666663E-3</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4.7397693694665453</v>
      </c>
    </row>
    <row r="106" spans="2:23" s="9" customFormat="1">
      <c r="B106" s="66"/>
      <c r="E106" s="214">
        <v>42767</v>
      </c>
      <c r="F106" s="214" t="s">
        <v>184</v>
      </c>
      <c r="G106" s="215" t="s">
        <v>65</v>
      </c>
      <c r="H106" s="240">
        <f t="shared" ref="H106:H107" si="48">$C$39/12</f>
        <v>9.1666666666666665E-4</v>
      </c>
      <c r="I106" s="230">
        <f>(SUM('1.  LRAMVA Summary'!D$54:D$71)+SUM('1.  LRAMVA Summary'!D$72:D$73)*(MONTH($E106)-1)/12)*$H106</f>
        <v>4.5699134003600763</v>
      </c>
      <c r="J106" s="230">
        <f>(SUM('1.  LRAMVA Summary'!E$54:E$71)+SUM('1.  LRAMVA Summary'!E$72:E$73)*(MONTH($E106)-1)/12)*$H106</f>
        <v>0.64137535872731333</v>
      </c>
      <c r="K106" s="230">
        <f>(SUM('1.  LRAMVA Summary'!F$54:F$71)+SUM('1.  LRAMVA Summary'!F$72:F$73)*(MONTH($E106)-1)/12)*$H106</f>
        <v>-0.56030736039729934</v>
      </c>
      <c r="L106" s="230">
        <f>(SUM('1.  LRAMVA Summary'!G$54:G$71)+SUM('1.  LRAMVA Summary'!G$72:G$73)*(MONTH($E106)-1)/12)*$H106</f>
        <v>0.56933576333333236</v>
      </c>
      <c r="M106" s="230">
        <f>(SUM('1.  LRAMVA Summary'!H$54:H$71)+SUM('1.  LRAMVA Summary'!H$72:H$73)*(MONTH($E106)-1)/12)*$H106</f>
        <v>-1.5573402777777773E-3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5.2187598217456452</v>
      </c>
    </row>
    <row r="107" spans="2:23" s="9" customFormat="1">
      <c r="B107" s="66"/>
      <c r="E107" s="214">
        <v>42795</v>
      </c>
      <c r="F107" s="214" t="s">
        <v>184</v>
      </c>
      <c r="G107" s="215" t="s">
        <v>65</v>
      </c>
      <c r="H107" s="240">
        <f t="shared" si="48"/>
        <v>9.1666666666666665E-4</v>
      </c>
      <c r="I107" s="230">
        <f>(SUM('1.  LRAMVA Summary'!D$54:D$71)+SUM('1.  LRAMVA Summary'!D$72:D$73)*(MONTH($E107)-1)/12)*$H107</f>
        <v>5.009738145166712</v>
      </c>
      <c r="J107" s="230">
        <f>(SUM('1.  LRAMVA Summary'!E$54:E$71)+SUM('1.  LRAMVA Summary'!E$72:E$73)*(MONTH($E107)-1)/12)*$H107</f>
        <v>0.68116534238547521</v>
      </c>
      <c r="K107" s="230">
        <f>(SUM('1.  LRAMVA Summary'!F$54:F$71)+SUM('1.  LRAMVA Summary'!F$72:F$73)*(MONTH($E107)-1)/12)*$H107</f>
        <v>-0.60728923297188675</v>
      </c>
      <c r="L107" s="230">
        <f>(SUM('1.  LRAMVA Summary'!G$54:G$71)+SUM('1.  LRAMVA Summary'!G$72:G$73)*(MONTH($E107)-1)/12)*$H107</f>
        <v>0.61582253333333226</v>
      </c>
      <c r="M107" s="230">
        <f>(SUM('1.  LRAMVA Summary'!H$54:H$71)+SUM('1.  LRAMVA Summary'!H$72:H$73)*(MONTH($E107)-1)/12)*$H107</f>
        <v>-1.6865138888888884E-3</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5.6977502740247443</v>
      </c>
    </row>
    <row r="108" spans="2:23" s="8" customFormat="1">
      <c r="B108" s="239"/>
      <c r="E108" s="214">
        <v>42826</v>
      </c>
      <c r="F108" s="214" t="s">
        <v>184</v>
      </c>
      <c r="G108" s="215" t="s">
        <v>66</v>
      </c>
      <c r="H108" s="240">
        <f>$C$40/12</f>
        <v>9.1666666666666665E-4</v>
      </c>
      <c r="I108" s="230">
        <f>(SUM('1.  LRAMVA Summary'!D$54:D$71)+SUM('1.  LRAMVA Summary'!D$72:D$73)*(MONTH($E108)-1)/12)*$H108</f>
        <v>5.4495628899733486</v>
      </c>
      <c r="J108" s="230">
        <f>(SUM('1.  LRAMVA Summary'!E$54:E$71)+SUM('1.  LRAMVA Summary'!E$72:E$73)*(MONTH($E108)-1)/12)*$H108</f>
        <v>0.72095532604363721</v>
      </c>
      <c r="K108" s="230">
        <f>(SUM('1.  LRAMVA Summary'!F$54:F$71)+SUM('1.  LRAMVA Summary'!F$72:F$73)*(MONTH($E108)-1)/12)*$H108</f>
        <v>-0.65427110554647427</v>
      </c>
      <c r="L108" s="230">
        <f>(SUM('1.  LRAMVA Summary'!G$54:G$71)+SUM('1.  LRAMVA Summary'!G$72:G$73)*(MONTH($E108)-1)/12)*$H108</f>
        <v>0.66230930333333227</v>
      </c>
      <c r="M108" s="230">
        <f>(SUM('1.  LRAMVA Summary'!H$54:H$71)+SUM('1.  LRAMVA Summary'!H$72:H$73)*(MONTH($E108)-1)/12)*$H108</f>
        <v>-1.8156874999999996E-3</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6.1767407263038443</v>
      </c>
    </row>
    <row r="109" spans="2:23" s="9" customFormat="1">
      <c r="B109" s="66"/>
      <c r="E109" s="214">
        <v>42856</v>
      </c>
      <c r="F109" s="214" t="s">
        <v>184</v>
      </c>
      <c r="G109" s="215" t="s">
        <v>66</v>
      </c>
      <c r="H109" s="240">
        <f t="shared" ref="H109:H110" si="50">$C$40/12</f>
        <v>9.1666666666666665E-4</v>
      </c>
      <c r="I109" s="230">
        <f>(SUM('1.  LRAMVA Summary'!D$54:D$71)+SUM('1.  LRAMVA Summary'!D$72:D$73)*(MONTH($E109)-1)/12)*$H109</f>
        <v>5.8893876347799843</v>
      </c>
      <c r="J109" s="230">
        <f>(SUM('1.  LRAMVA Summary'!E$54:E$71)+SUM('1.  LRAMVA Summary'!E$72:E$73)*(MONTH($E109)-1)/12)*$H109</f>
        <v>0.7607453097017991</v>
      </c>
      <c r="K109" s="230">
        <f>(SUM('1.  LRAMVA Summary'!F$54:F$71)+SUM('1.  LRAMVA Summary'!F$72:F$73)*(MONTH($E109)-1)/12)*$H109</f>
        <v>-0.7012529781210618</v>
      </c>
      <c r="L109" s="230">
        <f>(SUM('1.  LRAMVA Summary'!G$54:G$71)+SUM('1.  LRAMVA Summary'!G$72:G$73)*(MONTH($E109)-1)/12)*$H109</f>
        <v>0.70879607333333228</v>
      </c>
      <c r="M109" s="230">
        <f>(SUM('1.  LRAMVA Summary'!H$54:H$71)+SUM('1.  LRAMVA Summary'!H$72:H$73)*(MONTH($E109)-1)/12)*$H109</f>
        <v>-1.9448611111111105E-3</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6.6557311785829434</v>
      </c>
    </row>
    <row r="110" spans="2:23" s="238" customFormat="1">
      <c r="B110" s="237"/>
      <c r="E110" s="214">
        <v>42887</v>
      </c>
      <c r="F110" s="214" t="s">
        <v>184</v>
      </c>
      <c r="G110" s="215" t="s">
        <v>66</v>
      </c>
      <c r="H110" s="240">
        <f t="shared" si="50"/>
        <v>9.1666666666666665E-4</v>
      </c>
      <c r="I110" s="230">
        <f>(SUM('1.  LRAMVA Summary'!D$54:D$71)+SUM('1.  LRAMVA Summary'!D$72:D$73)*(MONTH($E110)-1)/12)*$H110</f>
        <v>6.3292123795866218</v>
      </c>
      <c r="J110" s="230">
        <f>(SUM('1.  LRAMVA Summary'!E$54:E$71)+SUM('1.  LRAMVA Summary'!E$72:E$73)*(MONTH($E110)-1)/12)*$H110</f>
        <v>0.80053529335996099</v>
      </c>
      <c r="K110" s="230">
        <f>(SUM('1.  LRAMVA Summary'!F$54:F$71)+SUM('1.  LRAMVA Summary'!F$72:F$73)*(MONTH($E110)-1)/12)*$H110</f>
        <v>-0.74823485069564932</v>
      </c>
      <c r="L110" s="230">
        <f>(SUM('1.  LRAMVA Summary'!G$54:G$71)+SUM('1.  LRAMVA Summary'!G$72:G$73)*(MONTH($E110)-1)/12)*$H110</f>
        <v>0.75528284333333218</v>
      </c>
      <c r="M110" s="230">
        <f>(SUM('1.  LRAMVA Summary'!H$54:H$71)+SUM('1.  LRAMVA Summary'!H$72:H$73)*(MONTH($E110)-1)/12)*$H110</f>
        <v>-2.0740347222222215E-3</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7.1347216308620443</v>
      </c>
    </row>
    <row r="111" spans="2:23" s="9" customFormat="1">
      <c r="B111" s="66"/>
      <c r="E111" s="214">
        <v>42917</v>
      </c>
      <c r="F111" s="214" t="s">
        <v>184</v>
      </c>
      <c r="G111" s="215" t="s">
        <v>68</v>
      </c>
      <c r="H111" s="240">
        <f>$C$41/12</f>
        <v>9.1666666666666665E-4</v>
      </c>
      <c r="I111" s="230">
        <f>(SUM('1.  LRAMVA Summary'!D$54:D$71)+SUM('1.  LRAMVA Summary'!D$72:D$73)*(MONTH($E111)-1)/12)*$H111</f>
        <v>6.7690371243932574</v>
      </c>
      <c r="J111" s="230">
        <f>(SUM('1.  LRAMVA Summary'!E$54:E$71)+SUM('1.  LRAMVA Summary'!E$72:E$73)*(MONTH($E111)-1)/12)*$H111</f>
        <v>0.84032527701812287</v>
      </c>
      <c r="K111" s="230">
        <f>(SUM('1.  LRAMVA Summary'!F$54:F$71)+SUM('1.  LRAMVA Summary'!F$72:F$73)*(MONTH($E111)-1)/12)*$H111</f>
        <v>-0.79521672327023674</v>
      </c>
      <c r="L111" s="230">
        <f>(SUM('1.  LRAMVA Summary'!G$54:G$71)+SUM('1.  LRAMVA Summary'!G$72:G$73)*(MONTH($E111)-1)/12)*$H111</f>
        <v>0.80176961333333219</v>
      </c>
      <c r="M111" s="230">
        <f>(SUM('1.  LRAMVA Summary'!H$54:H$71)+SUM('1.  LRAMVA Summary'!H$72:H$73)*(MONTH($E111)-1)/12)*$H111</f>
        <v>-2.2032083333333331E-3</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7.6137120831411425</v>
      </c>
    </row>
    <row r="112" spans="2:23" s="9" customFormat="1">
      <c r="B112" s="66"/>
      <c r="E112" s="214">
        <v>42948</v>
      </c>
      <c r="F112" s="214" t="s">
        <v>184</v>
      </c>
      <c r="G112" s="215" t="s">
        <v>68</v>
      </c>
      <c r="H112" s="240">
        <f t="shared" ref="H112:H113" si="51">$C$41/12</f>
        <v>9.1666666666666665E-4</v>
      </c>
      <c r="I112" s="230">
        <f>(SUM('1.  LRAMVA Summary'!D$54:D$71)+SUM('1.  LRAMVA Summary'!D$72:D$73)*(MONTH($E112)-1)/12)*$H112</f>
        <v>7.208861869199894</v>
      </c>
      <c r="J112" s="230">
        <f>(SUM('1.  LRAMVA Summary'!E$54:E$71)+SUM('1.  LRAMVA Summary'!E$72:E$73)*(MONTH($E112)-1)/12)*$H112</f>
        <v>0.88011526067628487</v>
      </c>
      <c r="K112" s="230">
        <f>(SUM('1.  LRAMVA Summary'!F$54:F$71)+SUM('1.  LRAMVA Summary'!F$72:F$73)*(MONTH($E112)-1)/12)*$H112</f>
        <v>-0.84219859584482426</v>
      </c>
      <c r="L112" s="230">
        <f>(SUM('1.  LRAMVA Summary'!G$54:G$71)+SUM('1.  LRAMVA Summary'!G$72:G$73)*(MONTH($E112)-1)/12)*$H112</f>
        <v>0.8482563833333322</v>
      </c>
      <c r="M112" s="230">
        <f>(SUM('1.  LRAMVA Summary'!H$54:H$71)+SUM('1.  LRAMVA Summary'!H$72:H$73)*(MONTH($E112)-1)/12)*$H112</f>
        <v>-2.3323819444444442E-3</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8.0927025354202424</v>
      </c>
    </row>
    <row r="113" spans="2:23" s="9" customFormat="1">
      <c r="B113" s="66"/>
      <c r="E113" s="214">
        <v>42979</v>
      </c>
      <c r="F113" s="214" t="s">
        <v>184</v>
      </c>
      <c r="G113" s="215" t="s">
        <v>68</v>
      </c>
      <c r="H113" s="240">
        <f t="shared" si="51"/>
        <v>9.1666666666666665E-4</v>
      </c>
      <c r="I113" s="230">
        <f>(SUM('1.  LRAMVA Summary'!D$54:D$71)+SUM('1.  LRAMVA Summary'!D$72:D$73)*(MONTH($E113)-1)/12)*$H113</f>
        <v>7.6486866140065297</v>
      </c>
      <c r="J113" s="230">
        <f>(SUM('1.  LRAMVA Summary'!E$54:E$71)+SUM('1.  LRAMVA Summary'!E$72:E$73)*(MONTH($E113)-1)/12)*$H113</f>
        <v>0.91990524433444687</v>
      </c>
      <c r="K113" s="230">
        <f>(SUM('1.  LRAMVA Summary'!F$54:F$71)+SUM('1.  LRAMVA Summary'!F$72:F$73)*(MONTH($E113)-1)/12)*$H113</f>
        <v>-0.88918046841941178</v>
      </c>
      <c r="L113" s="230">
        <f>(SUM('1.  LRAMVA Summary'!G$54:G$71)+SUM('1.  LRAMVA Summary'!G$72:G$73)*(MONTH($E113)-1)/12)*$H113</f>
        <v>0.89474315333333221</v>
      </c>
      <c r="M113" s="230">
        <f>(SUM('1.  LRAMVA Summary'!H$54:H$71)+SUM('1.  LRAMVA Summary'!H$72:H$73)*(MONTH($E113)-1)/12)*$H113</f>
        <v>-2.4615555555555549E-3</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8.5716929876993415</v>
      </c>
    </row>
    <row r="114" spans="2:23" s="9" customFormat="1">
      <c r="B114" s="66"/>
      <c r="E114" s="214">
        <v>43009</v>
      </c>
      <c r="F114" s="214" t="s">
        <v>184</v>
      </c>
      <c r="G114" s="215" t="s">
        <v>69</v>
      </c>
      <c r="H114" s="240">
        <f>$C$42/12</f>
        <v>1.25E-3</v>
      </c>
      <c r="I114" s="230">
        <f>(SUM('1.  LRAMVA Summary'!D$54:D$71)+SUM('1.  LRAMVA Summary'!D$72:D$73)*(MONTH($E114)-1)/12)*$H114</f>
        <v>11.029788216563409</v>
      </c>
      <c r="J114" s="230">
        <f>(SUM('1.  LRAMVA Summary'!E$54:E$71)+SUM('1.  LRAMVA Summary'!E$72:E$73)*(MONTH($E114)-1)/12)*$H114</f>
        <v>1.3086753108990119</v>
      </c>
      <c r="K114" s="230">
        <f>(SUM('1.  LRAMVA Summary'!F$54:F$71)+SUM('1.  LRAMVA Summary'!F$72:F$73)*(MONTH($E114)-1)/12)*$H114</f>
        <v>-1.2765850104463627</v>
      </c>
      <c r="L114" s="230">
        <f>(SUM('1.  LRAMVA Summary'!G$54:G$71)+SUM('1.  LRAMVA Summary'!G$72:G$73)*(MONTH($E114)-1)/12)*$H114</f>
        <v>1.2834953499999984</v>
      </c>
      <c r="M114" s="230">
        <f>(SUM('1.  LRAMVA Summary'!H$54:H$71)+SUM('1.  LRAMVA Summary'!H$72:H$73)*(MONTH($E114)-1)/12)*$H114</f>
        <v>-3.5328124999999999E-3</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12.341841054516058</v>
      </c>
    </row>
    <row r="115" spans="2:23" s="9" customFormat="1">
      <c r="B115" s="66"/>
      <c r="E115" s="214">
        <v>43040</v>
      </c>
      <c r="F115" s="214" t="s">
        <v>184</v>
      </c>
      <c r="G115" s="215" t="s">
        <v>69</v>
      </c>
      <c r="H115" s="240">
        <f t="shared" ref="H115:H116" si="52">$C$42/12</f>
        <v>1.25E-3</v>
      </c>
      <c r="I115" s="230">
        <f>(SUM('1.  LRAMVA Summary'!D$54:D$71)+SUM('1.  LRAMVA Summary'!D$72:D$73)*(MONTH($E115)-1)/12)*$H115</f>
        <v>11.629549232208822</v>
      </c>
      <c r="J115" s="230">
        <f>(SUM('1.  LRAMVA Summary'!E$54:E$71)+SUM('1.  LRAMVA Summary'!E$72:E$73)*(MONTH($E115)-1)/12)*$H115</f>
        <v>1.3629343795237783</v>
      </c>
      <c r="K115" s="230">
        <f>(SUM('1.  LRAMVA Summary'!F$54:F$71)+SUM('1.  LRAMVA Summary'!F$72:F$73)*(MONTH($E115)-1)/12)*$H115</f>
        <v>-1.3406512003208002</v>
      </c>
      <c r="L115" s="230">
        <f>(SUM('1.  LRAMVA Summary'!G$54:G$71)+SUM('1.  LRAMVA Summary'!G$72:G$73)*(MONTH($E115)-1)/12)*$H115</f>
        <v>1.3468863999999985</v>
      </c>
      <c r="M115" s="230">
        <f>(SUM('1.  LRAMVA Summary'!H$54:H$71)+SUM('1.  LRAMVA Summary'!H$72:H$73)*(MONTH($E115)-1)/12)*$H115</f>
        <v>-3.7089583333333332E-3</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12.995009853078464</v>
      </c>
    </row>
    <row r="116" spans="2:23" s="9" customFormat="1">
      <c r="B116" s="66"/>
      <c r="E116" s="214">
        <v>43070</v>
      </c>
      <c r="F116" s="214" t="s">
        <v>184</v>
      </c>
      <c r="G116" s="215" t="s">
        <v>69</v>
      </c>
      <c r="H116" s="240">
        <f t="shared" si="52"/>
        <v>1.25E-3</v>
      </c>
      <c r="I116" s="230">
        <f>(SUM('1.  LRAMVA Summary'!D$54:D$71)+SUM('1.  LRAMVA Summary'!D$72:D$73)*(MONTH($E116)-1)/12)*$H116</f>
        <v>12.229310247854235</v>
      </c>
      <c r="J116" s="230">
        <f>(SUM('1.  LRAMVA Summary'!E$54:E$71)+SUM('1.  LRAMVA Summary'!E$72:E$73)*(MONTH($E116)-1)/12)*$H116</f>
        <v>1.4171934481485442</v>
      </c>
      <c r="K116" s="230">
        <f>(SUM('1.  LRAMVA Summary'!F$54:F$71)+SUM('1.  LRAMVA Summary'!F$72:F$73)*(MONTH($E116)-1)/12)*$H116</f>
        <v>-1.4047173901952377</v>
      </c>
      <c r="L116" s="230">
        <f>(SUM('1.  LRAMVA Summary'!G$54:G$71)+SUM('1.  LRAMVA Summary'!G$72:G$73)*(MONTH($E116)-1)/12)*$H116</f>
        <v>1.4102774499999984</v>
      </c>
      <c r="M116" s="230">
        <f>(SUM('1.  LRAMVA Summary'!H$54:H$71)+SUM('1.  LRAMVA Summary'!H$72:H$73)*(MONTH($E116)-1)/12)*$H116</f>
        <v>-3.8851041666666665E-3</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13.648178651640873</v>
      </c>
    </row>
    <row r="117" spans="2:23" s="9" customFormat="1" ht="15.75" thickBot="1">
      <c r="B117" s="66"/>
      <c r="E117" s="216" t="s">
        <v>466</v>
      </c>
      <c r="F117" s="216"/>
      <c r="G117" s="217"/>
      <c r="H117" s="218"/>
      <c r="I117" s="219">
        <f>SUM(I104:I116)</f>
        <v>87.155035021021348</v>
      </c>
      <c r="J117" s="219">
        <f>SUM(J104:J116)</f>
        <v>29.675797315390195</v>
      </c>
      <c r="K117" s="219">
        <f t="shared" ref="K117:O117" si="53">SUM(K104:K116)</f>
        <v>-34.064435180824084</v>
      </c>
      <c r="L117" s="219">
        <f t="shared" si="53"/>
        <v>65.078304069999959</v>
      </c>
      <c r="M117" s="219">
        <f t="shared" si="53"/>
        <v>-6.5751524999999977E-2</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147.77894970058742</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87.155035021021348</v>
      </c>
      <c r="J119" s="228">
        <f t="shared" ref="J119" si="55">J117+J118</f>
        <v>29.675797315390195</v>
      </c>
      <c r="K119" s="228">
        <f t="shared" ref="K119" si="56">K117+K118</f>
        <v>-34.064435180824084</v>
      </c>
      <c r="L119" s="228">
        <f t="shared" ref="L119" si="57">L117+L118</f>
        <v>65.078304069999959</v>
      </c>
      <c r="M119" s="228">
        <f t="shared" ref="M119" si="58">M117+M118</f>
        <v>-6.5751524999999977E-2</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147.77894970058742</v>
      </c>
    </row>
    <row r="120" spans="2:23" s="9" customFormat="1">
      <c r="B120" s="66"/>
      <c r="E120" s="214">
        <v>43101</v>
      </c>
      <c r="F120" s="214" t="s">
        <v>185</v>
      </c>
      <c r="G120" s="215" t="s">
        <v>65</v>
      </c>
      <c r="H120" s="240">
        <f>$C$43/12</f>
        <v>1.25E-3</v>
      </c>
      <c r="I120" s="230">
        <f>(SUM('1.  LRAMVA Summary'!D$54:D$74)+SUM('1.  LRAMVA Summary'!D$75:D$76)*(MONTH($E120)-1)/12)*$H120</f>
        <v>12.829071263499646</v>
      </c>
      <c r="J120" s="230">
        <f>(SUM('1.  LRAMVA Summary'!E$54:E$74)+SUM('1.  LRAMVA Summary'!E$75:E$76)*(MONTH($E120)-1)/12)*$H120</f>
        <v>1.4714525167733106</v>
      </c>
      <c r="K120" s="230">
        <f>(SUM('1.  LRAMVA Summary'!F$54:F$74)+SUM('1.  LRAMVA Summary'!F$75:F$76)*(MONTH($E120)-1)/12)*$H120</f>
        <v>-1.4687835800696751</v>
      </c>
      <c r="L120" s="230">
        <f>(SUM('1.  LRAMVA Summary'!G$54:G$74)+SUM('1.  LRAMVA Summary'!G$75:G$76)*(MONTH($E120)-1)/12)*$H120</f>
        <v>1.4736684999999985</v>
      </c>
      <c r="M120" s="230">
        <f>(SUM('1.  LRAMVA Summary'!H$54:H$74)+SUM('1.  LRAMVA Summary'!H$75:H$76)*(MONTH($E120)-1)/12)*$H120</f>
        <v>-4.0612499999999998E-3</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14.301347450203281</v>
      </c>
    </row>
    <row r="121" spans="2:23" s="9" customFormat="1">
      <c r="B121" s="66"/>
      <c r="E121" s="214">
        <v>43132</v>
      </c>
      <c r="F121" s="214" t="s">
        <v>185</v>
      </c>
      <c r="G121" s="215" t="s">
        <v>65</v>
      </c>
      <c r="H121" s="240">
        <f t="shared" ref="H121:H122" si="62">$C$43/12</f>
        <v>1.25E-3</v>
      </c>
      <c r="I121" s="230">
        <f>(SUM('1.  LRAMVA Summary'!D$54:D$74)+SUM('1.  LRAMVA Summary'!D$75:D$76)*(MONTH($E121)-1)/12)*$H121</f>
        <v>13.13790225500048</v>
      </c>
      <c r="J121" s="230">
        <f>(SUM('1.  LRAMVA Summary'!E$54:E$74)+SUM('1.  LRAMVA Summary'!E$75:E$76)*(MONTH($E121)-1)/12)*$H121</f>
        <v>1.5575228288218173</v>
      </c>
      <c r="K121" s="230">
        <f>(SUM('1.  LRAMVA Summary'!F$54:F$74)+SUM('1.  LRAMVA Summary'!F$75:F$76)*(MONTH($E121)-1)/12)*$H121</f>
        <v>-1.609720040659671</v>
      </c>
      <c r="L121" s="230">
        <f>(SUM('1.  LRAMVA Summary'!G$54:G$74)+SUM('1.  LRAMVA Summary'!G$75:G$76)*(MONTH($E121)-1)/12)*$H121</f>
        <v>1.5531302999999985</v>
      </c>
      <c r="M121" s="230">
        <f>(SUM('1.  LRAMVA Summary'!H$54:H$74)+SUM('1.  LRAMVA Summary'!H$75:H$76)*(MONTH($E121)-1)/12)*$H121</f>
        <v>-4.0612499999999998E-3</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14.634774093162626</v>
      </c>
    </row>
    <row r="122" spans="2:23" s="9" customFormat="1">
      <c r="B122" s="66"/>
      <c r="E122" s="214">
        <v>43160</v>
      </c>
      <c r="F122" s="214" t="s">
        <v>185</v>
      </c>
      <c r="G122" s="215" t="s">
        <v>65</v>
      </c>
      <c r="H122" s="240">
        <f t="shared" si="62"/>
        <v>1.25E-3</v>
      </c>
      <c r="I122" s="230">
        <f>(SUM('1.  LRAMVA Summary'!D$54:D$74)+SUM('1.  LRAMVA Summary'!D$75:D$76)*(MONTH($E122)-1)/12)*$H122</f>
        <v>13.446733246501312</v>
      </c>
      <c r="J122" s="230">
        <f>(SUM('1.  LRAMVA Summary'!E$54:E$74)+SUM('1.  LRAMVA Summary'!E$75:E$76)*(MONTH($E122)-1)/12)*$H122</f>
        <v>1.6435931408703244</v>
      </c>
      <c r="K122" s="230">
        <f>(SUM('1.  LRAMVA Summary'!F$54:F$74)+SUM('1.  LRAMVA Summary'!F$75:F$76)*(MONTH($E122)-1)/12)*$H122</f>
        <v>-1.7506565012496669</v>
      </c>
      <c r="L122" s="230">
        <f>(SUM('1.  LRAMVA Summary'!G$54:G$74)+SUM('1.  LRAMVA Summary'!G$75:G$76)*(MONTH($E122)-1)/12)*$H122</f>
        <v>1.6325920999999985</v>
      </c>
      <c r="M122" s="230">
        <f>(SUM('1.  LRAMVA Summary'!H$54:H$74)+SUM('1.  LRAMVA Summary'!H$75:H$76)*(MONTH($E122)-1)/12)*$H122</f>
        <v>-4.0612499999999998E-3</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14.968200736121968</v>
      </c>
    </row>
    <row r="123" spans="2:23" s="8" customFormat="1">
      <c r="B123" s="239"/>
      <c r="E123" s="214">
        <v>43191</v>
      </c>
      <c r="F123" s="214" t="s">
        <v>185</v>
      </c>
      <c r="G123" s="215" t="s">
        <v>66</v>
      </c>
      <c r="H123" s="240">
        <f>$C$44/12</f>
        <v>1.575E-3</v>
      </c>
      <c r="I123" s="230">
        <f>(SUM('1.  LRAMVA Summary'!D$54:D$74)+SUM('1.  LRAMVA Summary'!D$75:D$76)*(MONTH($E123)-1)/12)*$H123</f>
        <v>17.3320109398827</v>
      </c>
      <c r="J123" s="230">
        <f>(SUM('1.  LRAMVA Summary'!E$54:E$74)+SUM('1.  LRAMVA Summary'!E$75:E$76)*(MONTH($E123)-1)/12)*$H123</f>
        <v>2.179375950677727</v>
      </c>
      <c r="K123" s="230">
        <f>(SUM('1.  LRAMVA Summary'!F$54:F$74)+SUM('1.  LRAMVA Summary'!F$75:F$76)*(MONTH($E123)-1)/12)*$H123</f>
        <v>-2.3834071319179748</v>
      </c>
      <c r="L123" s="230">
        <f>(SUM('1.  LRAMVA Summary'!G$54:G$74)+SUM('1.  LRAMVA Summary'!G$75:G$76)*(MONTH($E123)-1)/12)*$H123</f>
        <v>2.1571879139999983</v>
      </c>
      <c r="M123" s="230">
        <f>(SUM('1.  LRAMVA Summary'!H$54:H$74)+SUM('1.  LRAMVA Summary'!H$75:H$76)*(MONTH($E123)-1)/12)*$H123</f>
        <v>-5.1171749999999998E-3</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19.280050497642453</v>
      </c>
    </row>
    <row r="124" spans="2:23" s="9" customFormat="1">
      <c r="B124" s="66"/>
      <c r="E124" s="214">
        <v>43221</v>
      </c>
      <c r="F124" s="214" t="s">
        <v>185</v>
      </c>
      <c r="G124" s="215" t="s">
        <v>66</v>
      </c>
      <c r="H124" s="240">
        <f t="shared" ref="H124:H125" si="64">$C$44/12</f>
        <v>1.575E-3</v>
      </c>
      <c r="I124" s="230">
        <f>(SUM('1.  LRAMVA Summary'!D$54:D$74)+SUM('1.  LRAMVA Summary'!D$75:D$76)*(MONTH($E124)-1)/12)*$H124</f>
        <v>17.721137989173751</v>
      </c>
      <c r="J124" s="230">
        <f>(SUM('1.  LRAMVA Summary'!E$54:E$74)+SUM('1.  LRAMVA Summary'!E$75:E$76)*(MONTH($E124)-1)/12)*$H124</f>
        <v>2.287824543858846</v>
      </c>
      <c r="K124" s="230">
        <f>(SUM('1.  LRAMVA Summary'!F$54:F$74)+SUM('1.  LRAMVA Summary'!F$75:F$76)*(MONTH($E124)-1)/12)*$H124</f>
        <v>-2.5609870722613697</v>
      </c>
      <c r="L124" s="230">
        <f>(SUM('1.  LRAMVA Summary'!G$54:G$74)+SUM('1.  LRAMVA Summary'!G$75:G$76)*(MONTH($E124)-1)/12)*$H124</f>
        <v>2.2573097819999983</v>
      </c>
      <c r="M124" s="230">
        <f>(SUM('1.  LRAMVA Summary'!H$54:H$74)+SUM('1.  LRAMVA Summary'!H$75:H$76)*(MONTH($E124)-1)/12)*$H124</f>
        <v>-5.1171749999999998E-3</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19.700168067771227</v>
      </c>
    </row>
    <row r="125" spans="2:23" s="238" customFormat="1">
      <c r="B125" s="237"/>
      <c r="E125" s="214">
        <v>43252</v>
      </c>
      <c r="F125" s="214" t="s">
        <v>185</v>
      </c>
      <c r="G125" s="215" t="s">
        <v>66</v>
      </c>
      <c r="H125" s="240">
        <f t="shared" si="64"/>
        <v>1.575E-3</v>
      </c>
      <c r="I125" s="230">
        <f>(SUM('1.  LRAMVA Summary'!D$54:D$74)+SUM('1.  LRAMVA Summary'!D$75:D$76)*(MONTH($E125)-1)/12)*$H125</f>
        <v>18.110265038464803</v>
      </c>
      <c r="J125" s="230">
        <f>(SUM('1.  LRAMVA Summary'!E$54:E$74)+SUM('1.  LRAMVA Summary'!E$75:E$76)*(MONTH($E125)-1)/12)*$H125</f>
        <v>2.3962731370399641</v>
      </c>
      <c r="K125" s="230">
        <f>(SUM('1.  LRAMVA Summary'!F$54:F$74)+SUM('1.  LRAMVA Summary'!F$75:F$76)*(MONTH($E125)-1)/12)*$H125</f>
        <v>-2.7385670126047645</v>
      </c>
      <c r="L125" s="230">
        <f>(SUM('1.  LRAMVA Summary'!G$54:G$74)+SUM('1.  LRAMVA Summary'!G$75:G$76)*(MONTH($E125)-1)/12)*$H125</f>
        <v>2.3574316499999983</v>
      </c>
      <c r="M125" s="230">
        <f>(SUM('1.  LRAMVA Summary'!H$54:H$74)+SUM('1.  LRAMVA Summary'!H$75:H$76)*(MONTH($E125)-1)/12)*$H125</f>
        <v>-5.1171749999999998E-3</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20.1202856379</v>
      </c>
    </row>
    <row r="126" spans="2:23" s="9" customFormat="1">
      <c r="B126" s="66"/>
      <c r="E126" s="214">
        <v>43282</v>
      </c>
      <c r="F126" s="214" t="s">
        <v>185</v>
      </c>
      <c r="G126" s="215" t="s">
        <v>68</v>
      </c>
      <c r="H126" s="240">
        <f>$C$45/12</f>
        <v>1.575E-3</v>
      </c>
      <c r="I126" s="230">
        <f>(SUM('1.  LRAMVA Summary'!D$54:D$74)+SUM('1.  LRAMVA Summary'!D$75:D$76)*(MONTH($E126)-1)/12)*$H126</f>
        <v>18.499392087755851</v>
      </c>
      <c r="J126" s="230">
        <f>(SUM('1.  LRAMVA Summary'!E$54:E$74)+SUM('1.  LRAMVA Summary'!E$75:E$76)*(MONTH($E126)-1)/12)*$H126</f>
        <v>2.5047217302210831</v>
      </c>
      <c r="K126" s="230">
        <f>(SUM('1.  LRAMVA Summary'!F$54:F$74)+SUM('1.  LRAMVA Summary'!F$75:F$76)*(MONTH($E126)-1)/12)*$H126</f>
        <v>-2.916146952948159</v>
      </c>
      <c r="L126" s="230">
        <f>(SUM('1.  LRAMVA Summary'!G$54:G$74)+SUM('1.  LRAMVA Summary'!G$75:G$76)*(MONTH($E126)-1)/12)*$H126</f>
        <v>2.4575535179999979</v>
      </c>
      <c r="M126" s="230">
        <f>(SUM('1.  LRAMVA Summary'!H$54:H$74)+SUM('1.  LRAMVA Summary'!H$75:H$76)*(MONTH($E126)-1)/12)*$H126</f>
        <v>-5.1171749999999998E-3</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20.540403208028774</v>
      </c>
    </row>
    <row r="127" spans="2:23" s="9" customFormat="1">
      <c r="B127" s="66"/>
      <c r="E127" s="214">
        <v>43313</v>
      </c>
      <c r="F127" s="214" t="s">
        <v>185</v>
      </c>
      <c r="G127" s="215" t="s">
        <v>68</v>
      </c>
      <c r="H127" s="240">
        <f t="shared" ref="H127:H128" si="65">$C$45/12</f>
        <v>1.575E-3</v>
      </c>
      <c r="I127" s="230">
        <f>(SUM('1.  LRAMVA Summary'!D$54:D$74)+SUM('1.  LRAMVA Summary'!D$75:D$76)*(MONTH($E127)-1)/12)*$H127</f>
        <v>18.888519137046902</v>
      </c>
      <c r="J127" s="230">
        <f>(SUM('1.  LRAMVA Summary'!E$54:E$74)+SUM('1.  LRAMVA Summary'!E$75:E$76)*(MONTH($E127)-1)/12)*$H127</f>
        <v>2.6131703234022017</v>
      </c>
      <c r="K127" s="230">
        <f>(SUM('1.  LRAMVA Summary'!F$54:F$74)+SUM('1.  LRAMVA Summary'!F$75:F$76)*(MONTH($E127)-1)/12)*$H127</f>
        <v>-3.0937268932915538</v>
      </c>
      <c r="L127" s="230">
        <f>(SUM('1.  LRAMVA Summary'!G$54:G$74)+SUM('1.  LRAMVA Summary'!G$75:G$76)*(MONTH($E127)-1)/12)*$H127</f>
        <v>2.5576753859999979</v>
      </c>
      <c r="M127" s="230">
        <f>(SUM('1.  LRAMVA Summary'!H$54:H$74)+SUM('1.  LRAMVA Summary'!H$75:H$76)*(MONTH($E127)-1)/12)*$H127</f>
        <v>-5.1171749999999998E-3</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20.960520778157548</v>
      </c>
    </row>
    <row r="128" spans="2:23" s="9" customFormat="1">
      <c r="B128" s="66"/>
      <c r="E128" s="214">
        <v>43344</v>
      </c>
      <c r="F128" s="214" t="s">
        <v>185</v>
      </c>
      <c r="G128" s="215" t="s">
        <v>68</v>
      </c>
      <c r="H128" s="240">
        <f t="shared" si="65"/>
        <v>1.575E-3</v>
      </c>
      <c r="I128" s="230">
        <f>(SUM('1.  LRAMVA Summary'!D$54:D$74)+SUM('1.  LRAMVA Summary'!D$75:D$76)*(MONTH($E128)-1)/12)*$H128</f>
        <v>19.27764618633795</v>
      </c>
      <c r="J128" s="230">
        <f>(SUM('1.  LRAMVA Summary'!E$54:E$74)+SUM('1.  LRAMVA Summary'!E$75:E$76)*(MONTH($E128)-1)/12)*$H128</f>
        <v>2.7216189165833202</v>
      </c>
      <c r="K128" s="230">
        <f>(SUM('1.  LRAMVA Summary'!F$54:F$74)+SUM('1.  LRAMVA Summary'!F$75:F$76)*(MONTH($E128)-1)/12)*$H128</f>
        <v>-3.2713068336349487</v>
      </c>
      <c r="L128" s="230">
        <f>(SUM('1.  LRAMVA Summary'!G$54:G$74)+SUM('1.  LRAMVA Summary'!G$75:G$76)*(MONTH($E128)-1)/12)*$H128</f>
        <v>2.6577972539999979</v>
      </c>
      <c r="M128" s="230">
        <f>(SUM('1.  LRAMVA Summary'!H$54:H$74)+SUM('1.  LRAMVA Summary'!H$75:H$76)*(MONTH($E128)-1)/12)*$H128</f>
        <v>-5.1171749999999998E-3</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21.380638348286322</v>
      </c>
    </row>
    <row r="129" spans="2:23" s="9" customFormat="1">
      <c r="B129" s="66"/>
      <c r="E129" s="214">
        <v>43374</v>
      </c>
      <c r="F129" s="214" t="s">
        <v>185</v>
      </c>
      <c r="G129" s="215" t="s">
        <v>69</v>
      </c>
      <c r="H129" s="240">
        <f>$C$46/12</f>
        <v>1.8083333333333335E-3</v>
      </c>
      <c r="I129" s="230">
        <f>(SUM('1.  LRAMVA Summary'!D$54:D$74)+SUM('1.  LRAMVA Summary'!D$75:D$76)*(MONTH($E129)-1)/12)*$H129</f>
        <v>22.580369270537002</v>
      </c>
      <c r="J129" s="230">
        <f>(SUM('1.  LRAMVA Summary'!E$54:E$74)+SUM('1.  LRAMVA Summary'!E$75:E$76)*(MONTH($E129)-1)/12)*$H129</f>
        <v>3.2493367704702814</v>
      </c>
      <c r="K129" s="230">
        <f>(SUM('1.  LRAMVA Summary'!F$54:F$74)+SUM('1.  LRAMVA Summary'!F$75:F$76)*(MONTH($E129)-1)/12)*$H129</f>
        <v>-3.9598329627158759</v>
      </c>
      <c r="L129" s="230">
        <f>(SUM('1.  LRAMVA Summary'!G$54:G$74)+SUM('1.  LRAMVA Summary'!G$75:G$76)*(MONTH($E129)-1)/12)*$H129</f>
        <v>3.1664997326666646</v>
      </c>
      <c r="M129" s="230">
        <f>(SUM('1.  LRAMVA Summary'!H$54:H$74)+SUM('1.  LRAMVA Summary'!H$75:H$76)*(MONTH($E129)-1)/12)*$H129</f>
        <v>-5.8752750000000001E-3</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25.030497535958073</v>
      </c>
    </row>
    <row r="130" spans="2:23" s="9" customFormat="1">
      <c r="B130" s="66"/>
      <c r="E130" s="214">
        <v>43405</v>
      </c>
      <c r="F130" s="214" t="s">
        <v>185</v>
      </c>
      <c r="G130" s="215" t="s">
        <v>69</v>
      </c>
      <c r="H130" s="240">
        <f t="shared" ref="H130:H131" si="66">$C$46/12</f>
        <v>1.8083333333333335E-3</v>
      </c>
      <c r="I130" s="230">
        <f>(SUM('1.  LRAMVA Summary'!D$54:D$74)+SUM('1.  LRAMVA Summary'!D$75:D$76)*(MONTH($E130)-1)/12)*$H130</f>
        <v>23.027144771574875</v>
      </c>
      <c r="J130" s="230">
        <f>(SUM('1.  LRAMVA Summary'!E$54:E$74)+SUM('1.  LRAMVA Summary'!E$75:E$76)*(MONTH($E130)-1)/12)*$H130</f>
        <v>3.373851821900455</v>
      </c>
      <c r="K130" s="230">
        <f>(SUM('1.  LRAMVA Summary'!F$54:F$74)+SUM('1.  LRAMVA Summary'!F$75:F$76)*(MONTH($E130)-1)/12)*$H130</f>
        <v>-4.1637210423694029</v>
      </c>
      <c r="L130" s="230">
        <f>(SUM('1.  LRAMVA Summary'!G$54:G$74)+SUM('1.  LRAMVA Summary'!G$75:G$76)*(MONTH($E130)-1)/12)*$H130</f>
        <v>3.2814544699999981</v>
      </c>
      <c r="M130" s="230">
        <f>(SUM('1.  LRAMVA Summary'!H$54:H$74)+SUM('1.  LRAMVA Summary'!H$75:H$76)*(MONTH($E130)-1)/12)*$H130</f>
        <v>-5.8752750000000001E-3</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25.512854746105923</v>
      </c>
    </row>
    <row r="131" spans="2:23" s="9" customFormat="1">
      <c r="B131" s="66"/>
      <c r="E131" s="214">
        <v>43435</v>
      </c>
      <c r="F131" s="214" t="s">
        <v>185</v>
      </c>
      <c r="G131" s="215" t="s">
        <v>69</v>
      </c>
      <c r="H131" s="240">
        <f t="shared" si="66"/>
        <v>1.8083333333333335E-3</v>
      </c>
      <c r="I131" s="230">
        <f>(SUM('1.  LRAMVA Summary'!D$54:D$74)+SUM('1.  LRAMVA Summary'!D$75:D$76)*(MONTH($E131)-1)/12)*$H131</f>
        <v>23.473920272612744</v>
      </c>
      <c r="J131" s="230">
        <f>(SUM('1.  LRAMVA Summary'!E$54:E$74)+SUM('1.  LRAMVA Summary'!E$75:E$76)*(MONTH($E131)-1)/12)*$H131</f>
        <v>3.4983668733306286</v>
      </c>
      <c r="K131" s="230">
        <f>(SUM('1.  LRAMVA Summary'!F$54:F$74)+SUM('1.  LRAMVA Summary'!F$75:F$76)*(MONTH($E131)-1)/12)*$H131</f>
        <v>-4.3676091220229303</v>
      </c>
      <c r="L131" s="230">
        <f>(SUM('1.  LRAMVA Summary'!G$54:G$74)+SUM('1.  LRAMVA Summary'!G$75:G$76)*(MONTH($E131)-1)/12)*$H131</f>
        <v>3.3964092073333312</v>
      </c>
      <c r="M131" s="230">
        <f>(SUM('1.  LRAMVA Summary'!H$54:H$74)+SUM('1.  LRAMVA Summary'!H$75:H$76)*(MONTH($E131)-1)/12)*$H131</f>
        <v>-5.8752750000000001E-3</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25.995211956253772</v>
      </c>
    </row>
    <row r="132" spans="2:23" s="9" customFormat="1" ht="15.75" thickBot="1">
      <c r="B132" s="66"/>
      <c r="E132" s="216" t="s">
        <v>467</v>
      </c>
      <c r="F132" s="216"/>
      <c r="G132" s="217"/>
      <c r="H132" s="218"/>
      <c r="I132" s="219">
        <f>SUM(I119:I131)</f>
        <v>305.47914747940933</v>
      </c>
      <c r="J132" s="219">
        <f>SUM(J119:J131)</f>
        <v>59.172905869340148</v>
      </c>
      <c r="K132" s="219">
        <f t="shared" ref="K132:O132" si="67">SUM(K119:K131)</f>
        <v>-68.348900326570075</v>
      </c>
      <c r="L132" s="219">
        <f t="shared" si="67"/>
        <v>94.027013883999942</v>
      </c>
      <c r="M132" s="219">
        <f t="shared" si="67"/>
        <v>-0.12626414999999999</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390.20390275617939</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305.47914747940933</v>
      </c>
      <c r="J134" s="228">
        <f t="shared" ref="J134" si="69">J132+J133</f>
        <v>59.172905869340148</v>
      </c>
      <c r="K134" s="228">
        <f t="shared" ref="K134" si="70">K132+K133</f>
        <v>-68.348900326570075</v>
      </c>
      <c r="L134" s="228">
        <f t="shared" ref="L134" si="71">L132+L133</f>
        <v>94.027013883999942</v>
      </c>
      <c r="M134" s="228">
        <f t="shared" ref="M134" si="72">M132+M133</f>
        <v>-0.12626414999999999</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390.20390275617939</v>
      </c>
    </row>
    <row r="135" spans="2:23" s="9" customFormat="1">
      <c r="B135" s="66"/>
      <c r="E135" s="214">
        <v>43466</v>
      </c>
      <c r="F135" s="214" t="s">
        <v>186</v>
      </c>
      <c r="G135" s="215" t="s">
        <v>65</v>
      </c>
      <c r="H135" s="240">
        <f>$C$47/12</f>
        <v>2.0416666666666669E-3</v>
      </c>
      <c r="I135" s="230">
        <f>(SUM('1.  LRAMVA Summary'!D$54:D$77)+SUM('1.  LRAMVA Summary'!D$78:D$79)*(MONTH($E135)-1)/12)*$H135</f>
        <v>27.007237163799086</v>
      </c>
      <c r="J135" s="230">
        <f>(SUM('1.  LRAMVA Summary'!E$54:E$77)+SUM('1.  LRAMVA Summary'!E$78:E$79)*(MONTH($E135)-1)/12)*$H135</f>
        <v>4.0903505602138077</v>
      </c>
      <c r="K135" s="230">
        <f>(SUM('1.  LRAMVA Summary'!F$54:F$77)+SUM('1.  LRAMVA Summary'!F$78:F$79)*(MONTH($E135)-1)/12)*$H135</f>
        <v>-5.1613678083443881</v>
      </c>
      <c r="L135" s="230">
        <f>(SUM('1.  LRAMVA Summary'!G$54:G$77)+SUM('1.  LRAMVA Summary'!G$78:G$79)*(MONTH($E135)-1)/12)*$H135</f>
        <v>3.9644431633333315</v>
      </c>
      <c r="M135" s="230">
        <f>(SUM('1.  LRAMVA Summary'!H$54:H$77)+SUM('1.  LRAMVA Summary'!H$78:H$79)*(MONTH($E135)-1)/12)*$H135</f>
        <v>-6.6333750000000004E-3</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29.894029704001838</v>
      </c>
    </row>
    <row r="136" spans="2:23" s="9" customFormat="1">
      <c r="B136" s="66"/>
      <c r="E136" s="214">
        <v>43497</v>
      </c>
      <c r="F136" s="214" t="s">
        <v>186</v>
      </c>
      <c r="G136" s="215" t="s">
        <v>65</v>
      </c>
      <c r="H136" s="240">
        <f t="shared" ref="H136:H137" si="75">$C$47/12</f>
        <v>2.0416666666666669E-3</v>
      </c>
      <c r="I136" s="230">
        <f>(SUM('1.  LRAMVA Summary'!D$54:D$77)+SUM('1.  LRAMVA Summary'!D$78:D$79)*(MONTH($E136)-1)/12)*$H136</f>
        <v>27.141674889582863</v>
      </c>
      <c r="J136" s="230">
        <f>(SUM('1.  LRAMVA Summary'!E$54:E$77)+SUM('1.  LRAMVA Summary'!E$78:E$79)*(MONTH($E136)-1)/12)*$H136</f>
        <v>4.2817970621646539</v>
      </c>
      <c r="K136" s="230">
        <f>(SUM('1.  LRAMVA Summary'!F$54:F$77)+SUM('1.  LRAMVA Summary'!F$78:F$79)*(MONTH($E136)-1)/12)*$H136</f>
        <v>-5.3906373677603439</v>
      </c>
      <c r="L136" s="230">
        <f>(SUM('1.  LRAMVA Summary'!G$54:G$77)+SUM('1.  LRAMVA Summary'!G$78:G$79)*(MONTH($E136)-1)/12)*$H136</f>
        <v>4.0495683724999987</v>
      </c>
      <c r="M136" s="230">
        <f>(SUM('1.  LRAMVA Summary'!H$54:H$77)+SUM('1.  LRAMVA Summary'!H$78:H$79)*(MONTH($E136)-1)/12)*$H136</f>
        <v>-6.6333750000000004E-3</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30.075769581487169</v>
      </c>
    </row>
    <row r="137" spans="2:23" s="9" customFormat="1">
      <c r="B137" s="66"/>
      <c r="E137" s="214">
        <v>43525</v>
      </c>
      <c r="F137" s="214" t="s">
        <v>186</v>
      </c>
      <c r="G137" s="215" t="s">
        <v>65</v>
      </c>
      <c r="H137" s="240">
        <f t="shared" si="75"/>
        <v>2.0416666666666669E-3</v>
      </c>
      <c r="I137" s="230">
        <f>(SUM('1.  LRAMVA Summary'!D$54:D$77)+SUM('1.  LRAMVA Summary'!D$78:D$79)*(MONTH($E137)-1)/12)*$H137</f>
        <v>27.276112615366635</v>
      </c>
      <c r="J137" s="230">
        <f>(SUM('1.  LRAMVA Summary'!E$54:E$77)+SUM('1.  LRAMVA Summary'!E$78:E$79)*(MONTH($E137)-1)/12)*$H137</f>
        <v>4.4732435641155002</v>
      </c>
      <c r="K137" s="230">
        <f>(SUM('1.  LRAMVA Summary'!F$54:F$77)+SUM('1.  LRAMVA Summary'!F$78:F$79)*(MONTH($E137)-1)/12)*$H137</f>
        <v>-5.6199069271762987</v>
      </c>
      <c r="L137" s="230">
        <f>(SUM('1.  LRAMVA Summary'!G$54:G$77)+SUM('1.  LRAMVA Summary'!G$78:G$79)*(MONTH($E137)-1)/12)*$H137</f>
        <v>4.1346935816666646</v>
      </c>
      <c r="M137" s="230">
        <f>(SUM('1.  LRAMVA Summary'!H$54:H$77)+SUM('1.  LRAMVA Summary'!H$78:H$79)*(MONTH($E137)-1)/12)*$H137</f>
        <v>-6.6333750000000004E-3</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30.2575094589725</v>
      </c>
    </row>
    <row r="138" spans="2:23" s="8" customFormat="1">
      <c r="B138" s="239"/>
      <c r="E138" s="214">
        <v>43556</v>
      </c>
      <c r="F138" s="214" t="s">
        <v>186</v>
      </c>
      <c r="G138" s="215" t="s">
        <v>66</v>
      </c>
      <c r="H138" s="240">
        <f>$C$48/12</f>
        <v>1.8166666666666667E-3</v>
      </c>
      <c r="I138" s="230">
        <f>(SUM('1.  LRAMVA Summary'!D$54:D$77)+SUM('1.  LRAMVA Summary'!D$78:D$79)*(MONTH($E138)-1)/12)*$H138</f>
        <v>24.389795813758326</v>
      </c>
      <c r="J138" s="230">
        <f>(SUM('1.  LRAMVA Summary'!E$54:E$77)+SUM('1.  LRAMVA Summary'!E$78:E$79)*(MONTH($E138)-1)/12)*$H138</f>
        <v>4.150622181234545</v>
      </c>
      <c r="K138" s="230">
        <f>(SUM('1.  LRAMVA Summary'!F$54:F$77)+SUM('1.  LRAMVA Summary'!F$78:F$79)*(MONTH($E138)-1)/12)*$H138</f>
        <v>-5.2045733635800469</v>
      </c>
      <c r="L138" s="230">
        <f>(SUM('1.  LRAMVA Summary'!G$54:G$77)+SUM('1.  LRAMVA Summary'!G$78:G$79)*(MONTH($E138)-1)/12)*$H138</f>
        <v>3.7547775363333318</v>
      </c>
      <c r="M138" s="230">
        <f>(SUM('1.  LRAMVA Summary'!H$54:H$77)+SUM('1.  LRAMVA Summary'!H$78:H$79)*(MONTH($E138)-1)/12)*$H138</f>
        <v>-5.9023499999999998E-3</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27.084719817746159</v>
      </c>
    </row>
    <row r="139" spans="2:23" s="9" customFormat="1">
      <c r="B139" s="66"/>
      <c r="E139" s="214">
        <v>43586</v>
      </c>
      <c r="F139" s="214" t="s">
        <v>186</v>
      </c>
      <c r="G139" s="215" t="s">
        <v>66</v>
      </c>
      <c r="H139" s="240">
        <f>$C$48/12</f>
        <v>1.8166666666666667E-3</v>
      </c>
      <c r="I139" s="230">
        <f>(SUM('1.  LRAMVA Summary'!D$54:D$77)+SUM('1.  LRAMVA Summary'!D$78:D$79)*(MONTH($E139)-1)/12)*$H139</f>
        <v>24.509417953435317</v>
      </c>
      <c r="J139" s="230">
        <f>(SUM('1.  LRAMVA Summary'!E$54:E$77)+SUM('1.  LRAMVA Summary'!E$78:E$79)*(MONTH($E139)-1)/12)*$H139</f>
        <v>4.3209704972561154</v>
      </c>
      <c r="K139" s="230">
        <f>(SUM('1.  LRAMVA Summary'!F$54:F$77)+SUM('1.  LRAMVA Summary'!F$78:F$79)*(MONTH($E139)-1)/12)*$H139</f>
        <v>-5.4085764817542445</v>
      </c>
      <c r="L139" s="230">
        <f>(SUM('1.  LRAMVA Summary'!G$54:G$77)+SUM('1.  LRAMVA Summary'!G$78:G$79)*(MONTH($E139)-1)/12)*$H139</f>
        <v>3.8305215999999982</v>
      </c>
      <c r="M139" s="230">
        <f>(SUM('1.  LRAMVA Summary'!H$54:H$77)+SUM('1.  LRAMVA Summary'!H$78:H$79)*(MONTH($E139)-1)/12)*$H139</f>
        <v>-5.9023499999999998E-3</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27.246431218937186</v>
      </c>
    </row>
    <row r="140" spans="2:23" s="9" customFormat="1">
      <c r="B140" s="66"/>
      <c r="E140" s="214">
        <v>43617</v>
      </c>
      <c r="F140" s="214" t="s">
        <v>186</v>
      </c>
      <c r="G140" s="215" t="s">
        <v>66</v>
      </c>
      <c r="H140" s="240">
        <f t="shared" ref="H140" si="77">$C$48/12</f>
        <v>1.8166666666666667E-3</v>
      </c>
      <c r="I140" s="230">
        <f>(SUM('1.  LRAMVA Summary'!D$54:D$77)+SUM('1.  LRAMVA Summary'!D$78:D$79)*(MONTH($E140)-1)/12)*$H140</f>
        <v>24.629040093112309</v>
      </c>
      <c r="J140" s="230">
        <f>(SUM('1.  LRAMVA Summary'!E$54:E$77)+SUM('1.  LRAMVA Summary'!E$78:E$79)*(MONTH($E140)-1)/12)*$H140</f>
        <v>4.491318813277684</v>
      </c>
      <c r="K140" s="230">
        <f>(SUM('1.  LRAMVA Summary'!F$54:F$77)+SUM('1.  LRAMVA Summary'!F$78:F$79)*(MONTH($E140)-1)/12)*$H140</f>
        <v>-5.6125795999284414</v>
      </c>
      <c r="L140" s="230">
        <f>(SUM('1.  LRAMVA Summary'!G$54:G$77)+SUM('1.  LRAMVA Summary'!G$78:G$79)*(MONTH($E140)-1)/12)*$H140</f>
        <v>3.9062656636666651</v>
      </c>
      <c r="M140" s="230">
        <f>(SUM('1.  LRAMVA Summary'!H$54:H$77)+SUM('1.  LRAMVA Summary'!H$78:H$79)*(MONTH($E140)-1)/12)*$H140</f>
        <v>-5.9023499999999998E-3</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27.408142620128217</v>
      </c>
    </row>
    <row r="141" spans="2:23" s="9" customFormat="1">
      <c r="B141" s="66"/>
      <c r="E141" s="214">
        <v>43647</v>
      </c>
      <c r="F141" s="214" t="s">
        <v>186</v>
      </c>
      <c r="G141" s="215" t="s">
        <v>68</v>
      </c>
      <c r="H141" s="240">
        <f>$C$49/12</f>
        <v>1.8166666666666667E-3</v>
      </c>
      <c r="I141" s="230">
        <f>(SUM('1.  LRAMVA Summary'!D$54:D$77)+SUM('1.  LRAMVA Summary'!D$78:D$79)*(MONTH($E141)-1)/12)*$H141</f>
        <v>24.7486622327893</v>
      </c>
      <c r="J141" s="230">
        <f>(SUM('1.  LRAMVA Summary'!E$54:E$77)+SUM('1.  LRAMVA Summary'!E$78:E$79)*(MONTH($E141)-1)/12)*$H141</f>
        <v>4.6616671292992526</v>
      </c>
      <c r="K141" s="230">
        <f>(SUM('1.  LRAMVA Summary'!F$54:F$77)+SUM('1.  LRAMVA Summary'!F$78:F$79)*(MONTH($E141)-1)/12)*$H141</f>
        <v>-5.816582718102639</v>
      </c>
      <c r="L141" s="230">
        <f>(SUM('1.  LRAMVA Summary'!G$54:G$77)+SUM('1.  LRAMVA Summary'!G$78:G$79)*(MONTH($E141)-1)/12)*$H141</f>
        <v>3.9820097273333315</v>
      </c>
      <c r="M141" s="230">
        <f>(SUM('1.  LRAMVA Summary'!H$54:H$77)+SUM('1.  LRAMVA Summary'!H$78:H$79)*(MONTH($E141)-1)/12)*$H141</f>
        <v>-5.9023499999999998E-3</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27.569854021319248</v>
      </c>
    </row>
    <row r="142" spans="2:23" s="9" customFormat="1">
      <c r="B142" s="66"/>
      <c r="E142" s="214">
        <v>43678</v>
      </c>
      <c r="F142" s="214" t="s">
        <v>186</v>
      </c>
      <c r="G142" s="215" t="s">
        <v>68</v>
      </c>
      <c r="H142" s="240">
        <f t="shared" ref="H142" si="78">$C$49/12</f>
        <v>1.8166666666666667E-3</v>
      </c>
      <c r="I142" s="230">
        <f>(SUM('1.  LRAMVA Summary'!D$54:D$77)+SUM('1.  LRAMVA Summary'!D$78:D$79)*(MONTH($E142)-1)/12)*$H142</f>
        <v>24.868284372466292</v>
      </c>
      <c r="J142" s="230">
        <f>(SUM('1.  LRAMVA Summary'!E$54:E$77)+SUM('1.  LRAMVA Summary'!E$78:E$79)*(MONTH($E142)-1)/12)*$H142</f>
        <v>4.8320154453208231</v>
      </c>
      <c r="K142" s="230">
        <f>(SUM('1.  LRAMVA Summary'!F$54:F$77)+SUM('1.  LRAMVA Summary'!F$78:F$79)*(MONTH($E142)-1)/12)*$H142</f>
        <v>-6.0205858362768359</v>
      </c>
      <c r="L142" s="230">
        <f>(SUM('1.  LRAMVA Summary'!G$54:G$77)+SUM('1.  LRAMVA Summary'!G$78:G$79)*(MONTH($E142)-1)/12)*$H142</f>
        <v>4.0577537909999979</v>
      </c>
      <c r="M142" s="230">
        <f>(SUM('1.  LRAMVA Summary'!H$54:H$77)+SUM('1.  LRAMVA Summary'!H$78:H$79)*(MONTH($E142)-1)/12)*$H142</f>
        <v>-5.9023499999999998E-3</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27.731565422510279</v>
      </c>
    </row>
    <row r="143" spans="2:23" s="9" customFormat="1">
      <c r="B143" s="66"/>
      <c r="E143" s="214">
        <v>43709</v>
      </c>
      <c r="F143" s="214" t="s">
        <v>186</v>
      </c>
      <c r="G143" s="215" t="s">
        <v>68</v>
      </c>
      <c r="H143" s="240">
        <f>$C$49/12</f>
        <v>1.8166666666666667E-3</v>
      </c>
      <c r="I143" s="230">
        <f>(SUM('1.  LRAMVA Summary'!D$54:D$77)+SUM('1.  LRAMVA Summary'!D$78:D$79)*(MONTH($E143)-1)/12)*$H143</f>
        <v>24.987906512143283</v>
      </c>
      <c r="J143" s="230">
        <f>(SUM('1.  LRAMVA Summary'!E$54:E$77)+SUM('1.  LRAMVA Summary'!E$78:E$79)*(MONTH($E143)-1)/12)*$H143</f>
        <v>5.0023637613423926</v>
      </c>
      <c r="K143" s="230">
        <f>(SUM('1.  LRAMVA Summary'!F$54:F$77)+SUM('1.  LRAMVA Summary'!F$78:F$79)*(MONTH($E143)-1)/12)*$H143</f>
        <v>-6.2245889544510327</v>
      </c>
      <c r="L143" s="230">
        <f>(SUM('1.  LRAMVA Summary'!G$54:G$77)+SUM('1.  LRAMVA Summary'!G$78:G$79)*(MONTH($E143)-1)/12)*$H143</f>
        <v>4.1334978546666648</v>
      </c>
      <c r="M143" s="230">
        <f>(SUM('1.  LRAMVA Summary'!H$54:H$77)+SUM('1.  LRAMVA Summary'!H$78:H$79)*(MONTH($E143)-1)/12)*$H143</f>
        <v>-5.9023499999999998E-3</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27.89327682370131</v>
      </c>
    </row>
    <row r="144" spans="2:23" s="9" customFormat="1">
      <c r="B144" s="66"/>
      <c r="E144" s="214">
        <v>43739</v>
      </c>
      <c r="F144" s="214" t="s">
        <v>186</v>
      </c>
      <c r="G144" s="215" t="s">
        <v>69</v>
      </c>
      <c r="H144" s="240">
        <f>$C$50/12</f>
        <v>1.8166666666666667E-3</v>
      </c>
      <c r="I144" s="230">
        <f>(SUM('1.  LRAMVA Summary'!D$54:D$77)+SUM('1.  LRAMVA Summary'!D$78:D$79)*(MONTH($E144)-1)/12)*$H144</f>
        <v>25.107528651820274</v>
      </c>
      <c r="J144" s="230">
        <f>(SUM('1.  LRAMVA Summary'!E$54:E$77)+SUM('1.  LRAMVA Summary'!E$78:E$79)*(MONTH($E144)-1)/12)*$H144</f>
        <v>5.1727120773639612</v>
      </c>
      <c r="K144" s="230">
        <f>(SUM('1.  LRAMVA Summary'!F$54:F$77)+SUM('1.  LRAMVA Summary'!F$78:F$79)*(MONTH($E144)-1)/12)*$H144</f>
        <v>-6.4285920726252304</v>
      </c>
      <c r="L144" s="230">
        <f>(SUM('1.  LRAMVA Summary'!G$54:G$77)+SUM('1.  LRAMVA Summary'!G$78:G$79)*(MONTH($E144)-1)/12)*$H144</f>
        <v>4.2092419183333316</v>
      </c>
      <c r="M144" s="230">
        <f>(SUM('1.  LRAMVA Summary'!H$54:H$77)+SUM('1.  LRAMVA Summary'!H$78:H$79)*(MONTH($E144)-1)/12)*$H144</f>
        <v>-5.9023499999999998E-3</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28.054988224892341</v>
      </c>
    </row>
    <row r="145" spans="2:23" s="9" customFormat="1">
      <c r="B145" s="66"/>
      <c r="E145" s="214">
        <v>43770</v>
      </c>
      <c r="F145" s="214" t="s">
        <v>186</v>
      </c>
      <c r="G145" s="215" t="s">
        <v>69</v>
      </c>
      <c r="H145" s="240">
        <f t="shared" ref="H145:H146" si="79">$C$50/12</f>
        <v>1.8166666666666667E-3</v>
      </c>
      <c r="I145" s="230">
        <f>(SUM('1.  LRAMVA Summary'!D$54:D$77)+SUM('1.  LRAMVA Summary'!D$78:D$79)*(MONTH($E145)-1)/12)*$H145</f>
        <v>25.227150791497266</v>
      </c>
      <c r="J145" s="230">
        <f>(SUM('1.  LRAMVA Summary'!E$54:E$77)+SUM('1.  LRAMVA Summary'!E$78:E$79)*(MONTH($E145)-1)/12)*$H145</f>
        <v>5.3430603933855307</v>
      </c>
      <c r="K145" s="230">
        <f>(SUM('1.  LRAMVA Summary'!F$54:F$77)+SUM('1.  LRAMVA Summary'!F$78:F$79)*(MONTH($E145)-1)/12)*$H145</f>
        <v>-6.6325951907994281</v>
      </c>
      <c r="L145" s="230">
        <f>(SUM('1.  LRAMVA Summary'!G$54:G$77)+SUM('1.  LRAMVA Summary'!G$78:G$79)*(MONTH($E145)-1)/12)*$H145</f>
        <v>4.2849859819999985</v>
      </c>
      <c r="M145" s="230">
        <f>(SUM('1.  LRAMVA Summary'!H$54:H$77)+SUM('1.  LRAMVA Summary'!H$78:H$79)*(MONTH($E145)-1)/12)*$H145</f>
        <v>-5.9023499999999998E-3</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28.216699626083368</v>
      </c>
    </row>
    <row r="146" spans="2:23" s="9" customFormat="1">
      <c r="B146" s="66"/>
      <c r="E146" s="214">
        <v>43800</v>
      </c>
      <c r="F146" s="214" t="s">
        <v>186</v>
      </c>
      <c r="G146" s="215" t="s">
        <v>69</v>
      </c>
      <c r="H146" s="240">
        <f t="shared" si="79"/>
        <v>1.8166666666666667E-3</v>
      </c>
      <c r="I146" s="230">
        <f>(SUM('1.  LRAMVA Summary'!D$54:D$77)+SUM('1.  LRAMVA Summary'!D$78:D$79)*(MONTH($E146)-1)/12)*$H146</f>
        <v>25.346772931174257</v>
      </c>
      <c r="J146" s="230">
        <f>(SUM('1.  LRAMVA Summary'!E$54:E$77)+SUM('1.  LRAMVA Summary'!E$78:E$79)*(MONTH($E146)-1)/12)*$H146</f>
        <v>5.5134087094071003</v>
      </c>
      <c r="K146" s="230">
        <f>(SUM('1.  LRAMVA Summary'!F$54:F$77)+SUM('1.  LRAMVA Summary'!F$78:F$79)*(MONTH($E146)-1)/12)*$H146</f>
        <v>-6.8365983089736249</v>
      </c>
      <c r="L146" s="230">
        <f>(SUM('1.  LRAMVA Summary'!G$54:G$77)+SUM('1.  LRAMVA Summary'!G$78:G$79)*(MONTH($E146)-1)/12)*$H146</f>
        <v>4.3607300456666653</v>
      </c>
      <c r="M146" s="230">
        <f>(SUM('1.  LRAMVA Summary'!H$54:H$77)+SUM('1.  LRAMVA Summary'!H$78:H$79)*(MONTH($E146)-1)/12)*$H146</f>
        <v>-5.9023499999999998E-3</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28.378411027274403</v>
      </c>
    </row>
    <row r="147" spans="2:23" s="9" customFormat="1" ht="15.75" thickBot="1">
      <c r="B147" s="66"/>
      <c r="E147" s="216" t="s">
        <v>468</v>
      </c>
      <c r="F147" s="216"/>
      <c r="G147" s="217"/>
      <c r="H147" s="218"/>
      <c r="I147" s="219">
        <f>SUM(I134:I146)</f>
        <v>610.71873150035458</v>
      </c>
      <c r="J147" s="219">
        <f>SUM(J134:J146)</f>
        <v>115.50643606372151</v>
      </c>
      <c r="K147" s="219">
        <f t="shared" ref="K147:O147" si="80">SUM(K134:K146)</f>
        <v>-138.70608495634266</v>
      </c>
      <c r="L147" s="219">
        <f t="shared" si="80"/>
        <v>142.69550312049992</v>
      </c>
      <c r="M147" s="219">
        <f t="shared" si="80"/>
        <v>-0.19928542499999999</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730.01530030323329</v>
      </c>
    </row>
    <row r="148" spans="2:23" s="9" customFormat="1" ht="15.75" thickTop="1">
      <c r="B148" s="66"/>
      <c r="E148" s="220" t="s">
        <v>67</v>
      </c>
      <c r="F148" s="220"/>
      <c r="G148" s="221"/>
      <c r="H148" s="222"/>
      <c r="I148" s="223">
        <v>64.64</v>
      </c>
      <c r="J148" s="223">
        <v>-58.27</v>
      </c>
      <c r="K148" s="223">
        <v>68.75</v>
      </c>
      <c r="L148" s="223">
        <v>-28.2</v>
      </c>
      <c r="M148" s="223">
        <v>0.09</v>
      </c>
      <c r="N148" s="223"/>
      <c r="O148" s="223"/>
      <c r="P148" s="223"/>
      <c r="Q148" s="223"/>
      <c r="R148" s="223"/>
      <c r="S148" s="223"/>
      <c r="T148" s="223"/>
      <c r="U148" s="223"/>
      <c r="V148" s="223"/>
      <c r="W148" s="224">
        <f>SUM(I148:V148)</f>
        <v>47.010000000000005</v>
      </c>
    </row>
    <row r="149" spans="2:23" s="9" customFormat="1">
      <c r="B149" s="66"/>
      <c r="E149" s="225" t="s">
        <v>432</v>
      </c>
      <c r="F149" s="225"/>
      <c r="G149" s="226"/>
      <c r="H149" s="227"/>
      <c r="I149" s="228">
        <f>I147+I148</f>
        <v>675.35873150035457</v>
      </c>
      <c r="J149" s="228">
        <f t="shared" ref="J149" si="82">J147+J148</f>
        <v>57.236436063721506</v>
      </c>
      <c r="K149" s="228">
        <f t="shared" ref="K149" si="83">K147+K148</f>
        <v>-69.956084956342664</v>
      </c>
      <c r="L149" s="228">
        <f t="shared" ref="L149" si="84">L147+L148</f>
        <v>114.49550312049992</v>
      </c>
      <c r="M149" s="228">
        <f t="shared" ref="M149" si="85">M147+M148</f>
        <v>-0.10928542499999999</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777.02530030323328</v>
      </c>
    </row>
    <row r="150" spans="2:23" s="9" customFormat="1">
      <c r="B150" s="66"/>
      <c r="E150" s="214">
        <v>43831</v>
      </c>
      <c r="F150" s="214" t="s">
        <v>187</v>
      </c>
      <c r="G150" s="215" t="s">
        <v>65</v>
      </c>
      <c r="H150" s="240">
        <f>$C$51/12</f>
        <v>1.8166666666666667E-3</v>
      </c>
      <c r="I150" s="230">
        <f>(SUM('1.  LRAMVA Summary'!D$54:D$80)+SUM('1.  LRAMVA Summary'!D$81:D$82)*(MONTH($E150)-1)/12)*$H150</f>
        <v>25.466395070851252</v>
      </c>
      <c r="J150" s="230">
        <f>(SUM('1.  LRAMVA Summary'!E$54:E$80)+SUM('1.  LRAMVA Summary'!E$81:E$82)*(MONTH($E150)-1)/12)*$H150</f>
        <v>5.6837570254286707</v>
      </c>
      <c r="K150" s="230">
        <f>(SUM('1.  LRAMVA Summary'!F$54:F$80)+SUM('1.  LRAMVA Summary'!F$81:F$82)*(MONTH($E150)-1)/12)*$H150</f>
        <v>-7.0406014271478217</v>
      </c>
      <c r="L150" s="230">
        <f>(SUM('1.  LRAMVA Summary'!G$54:G$80)+SUM('1.  LRAMVA Summary'!G$81:G$82)*(MONTH($E150)-1)/12)*$H150</f>
        <v>4.4364741093333322</v>
      </c>
      <c r="M150" s="230">
        <f>(SUM('1.  LRAMVA Summary'!H$54:H$80)+SUM('1.  LRAMVA Summary'!H$81:H$82)*(MONTH($E150)-1)/12)*$H150</f>
        <v>-5.9023499999999998E-3</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28.540122428465438</v>
      </c>
    </row>
    <row r="151" spans="2:23" s="9" customFormat="1">
      <c r="B151" s="66"/>
      <c r="E151" s="214">
        <v>43862</v>
      </c>
      <c r="F151" s="214" t="s">
        <v>187</v>
      </c>
      <c r="G151" s="215" t="s">
        <v>65</v>
      </c>
      <c r="H151" s="240">
        <f t="shared" ref="H151:H152" si="88">$C$51/12</f>
        <v>1.8166666666666667E-3</v>
      </c>
      <c r="I151" s="230">
        <f>(SUM('1.  LRAMVA Summary'!D$54:D$80)+SUM('1.  LRAMVA Summary'!D$81:D$82)*(MONTH($E151)-1)/12)*$H151</f>
        <v>25.466395070851252</v>
      </c>
      <c r="J151" s="230">
        <f>(SUM('1.  LRAMVA Summary'!E$54:E$80)+SUM('1.  LRAMVA Summary'!E$81:E$82)*(MONTH($E151)-1)/12)*$H151</f>
        <v>5.8557754229798631</v>
      </c>
      <c r="K151" s="230">
        <f>(SUM('1.  LRAMVA Summary'!F$54:F$80)+SUM('1.  LRAMVA Summary'!F$81:F$82)*(MONTH($E151)-1)/12)*$H151</f>
        <v>-7.2491692183569825</v>
      </c>
      <c r="L151" s="230">
        <f>(SUM('1.  LRAMVA Summary'!G$54:G$80)+SUM('1.  LRAMVA Summary'!G$81:G$82)*(MONTH($E151)-1)/12)*$H151</f>
        <v>4.5132163949999988</v>
      </c>
      <c r="M151" s="230">
        <f>(SUM('1.  LRAMVA Summary'!H$54:H$80)+SUM('1.  LRAMVA Summary'!H$81:H$82)*(MONTH($E151)-1)/12)*$H151</f>
        <v>-5.9023499999999998E-3</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28.580315320474135</v>
      </c>
    </row>
    <row r="152" spans="2:23" s="9" customFormat="1">
      <c r="B152" s="66"/>
      <c r="E152" s="214">
        <v>43891</v>
      </c>
      <c r="F152" s="214" t="s">
        <v>187</v>
      </c>
      <c r="G152" s="215" t="s">
        <v>65</v>
      </c>
      <c r="H152" s="240">
        <f t="shared" si="88"/>
        <v>1.8166666666666667E-3</v>
      </c>
      <c r="I152" s="230">
        <f>(SUM('1.  LRAMVA Summary'!D$54:D$80)+SUM('1.  LRAMVA Summary'!D$81:D$82)*(MONTH($E152)-1)/12)*$H152</f>
        <v>25.466395070851252</v>
      </c>
      <c r="J152" s="230">
        <f>(SUM('1.  LRAMVA Summary'!E$54:E$80)+SUM('1.  LRAMVA Summary'!E$81:E$82)*(MONTH($E152)-1)/12)*$H152</f>
        <v>6.0277938205310555</v>
      </c>
      <c r="K152" s="230">
        <f>(SUM('1.  LRAMVA Summary'!F$54:F$80)+SUM('1.  LRAMVA Summary'!F$81:F$82)*(MONTH($E152)-1)/12)*$H152</f>
        <v>-7.4577370095661424</v>
      </c>
      <c r="L152" s="230">
        <f>(SUM('1.  LRAMVA Summary'!G$54:G$80)+SUM('1.  LRAMVA Summary'!G$81:G$82)*(MONTH($E152)-1)/12)*$H152</f>
        <v>4.5899586806666646</v>
      </c>
      <c r="M152" s="230">
        <f>(SUM('1.  LRAMVA Summary'!H$54:H$80)+SUM('1.  LRAMVA Summary'!H$81:H$82)*(MONTH($E152)-1)/12)*$H152</f>
        <v>-5.9023499999999998E-3</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28.620508212482832</v>
      </c>
    </row>
    <row r="153" spans="2:23" s="9" customFormat="1">
      <c r="B153" s="66"/>
      <c r="E153" s="214">
        <v>43922</v>
      </c>
      <c r="F153" s="214" t="s">
        <v>187</v>
      </c>
      <c r="G153" s="215" t="s">
        <v>66</v>
      </c>
      <c r="H153" s="240">
        <f>$C$52/12</f>
        <v>1.8166666666666667E-3</v>
      </c>
      <c r="I153" s="230">
        <f>(SUM('1.  LRAMVA Summary'!D$54:D$80)+SUM('1.  LRAMVA Summary'!D$81:D$82)*(MONTH($E153)-1)/12)*$H153</f>
        <v>25.466395070851252</v>
      </c>
      <c r="J153" s="230">
        <f>(SUM('1.  LRAMVA Summary'!E$54:E$80)+SUM('1.  LRAMVA Summary'!E$81:E$82)*(MONTH($E153)-1)/12)*$H153</f>
        <v>6.1998122180822488</v>
      </c>
      <c r="K153" s="230">
        <f>(SUM('1.  LRAMVA Summary'!F$54:F$80)+SUM('1.  LRAMVA Summary'!F$81:F$82)*(MONTH($E153)-1)/12)*$H153</f>
        <v>-7.6663048007753032</v>
      </c>
      <c r="L153" s="230">
        <f>(SUM('1.  LRAMVA Summary'!G$54:G$80)+SUM('1.  LRAMVA Summary'!G$81:G$82)*(MONTH($E153)-1)/12)*$H153</f>
        <v>4.6667009663333321</v>
      </c>
      <c r="M153" s="230">
        <f>(SUM('1.  LRAMVA Summary'!H$54:H$80)+SUM('1.  LRAMVA Summary'!H$81:H$82)*(MONTH($E153)-1)/12)*$H153</f>
        <v>-5.9023499999999998E-3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28.66070110449153</v>
      </c>
    </row>
    <row r="154" spans="2:23" s="9" customFormat="1">
      <c r="B154" s="66"/>
      <c r="E154" s="214">
        <v>43952</v>
      </c>
      <c r="F154" s="214" t="s">
        <v>187</v>
      </c>
      <c r="G154" s="215" t="s">
        <v>66</v>
      </c>
      <c r="H154" s="240">
        <f>$C$52/12</f>
        <v>1.8166666666666667E-3</v>
      </c>
      <c r="I154" s="230">
        <f>(SUM('1.  LRAMVA Summary'!D$54:D$80)+SUM('1.  LRAMVA Summary'!D$81:D$82)*(MONTH($E154)-1)/12)*$H154</f>
        <v>25.466395070851252</v>
      </c>
      <c r="J154" s="230">
        <f>(SUM('1.  LRAMVA Summary'!E$54:E$80)+SUM('1.  LRAMVA Summary'!E$81:E$82)*(MONTH($E154)-1)/12)*$H154</f>
        <v>6.3718306156334403</v>
      </c>
      <c r="K154" s="230">
        <f>(SUM('1.  LRAMVA Summary'!F$54:F$80)+SUM('1.  LRAMVA Summary'!F$81:F$82)*(MONTH($E154)-1)/12)*$H154</f>
        <v>-7.8748725919844631</v>
      </c>
      <c r="L154" s="230">
        <f>(SUM('1.  LRAMVA Summary'!G$54:G$80)+SUM('1.  LRAMVA Summary'!G$81:G$82)*(MONTH($E154)-1)/12)*$H154</f>
        <v>4.7434432519999987</v>
      </c>
      <c r="M154" s="230">
        <f>(SUM('1.  LRAMVA Summary'!H$54:H$80)+SUM('1.  LRAMVA Summary'!H$81:H$82)*(MONTH($E154)-1)/12)*$H154</f>
        <v>-5.9023499999999998E-3</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28.700893996500227</v>
      </c>
    </row>
    <row r="155" spans="2:23" s="9" customFormat="1">
      <c r="B155" s="66"/>
      <c r="E155" s="214">
        <v>43983</v>
      </c>
      <c r="F155" s="214" t="s">
        <v>187</v>
      </c>
      <c r="G155" s="215" t="s">
        <v>66</v>
      </c>
      <c r="H155" s="240">
        <f>$C$52/12</f>
        <v>1.8166666666666667E-3</v>
      </c>
      <c r="I155" s="230">
        <f>(SUM('1.  LRAMVA Summary'!D$54:D$80)+SUM('1.  LRAMVA Summary'!D$81:D$82)*(MONTH($E155)-1)/12)*$H155</f>
        <v>25.466395070851252</v>
      </c>
      <c r="J155" s="230">
        <f>(SUM('1.  LRAMVA Summary'!E$54:E$80)+SUM('1.  LRAMVA Summary'!E$81:E$82)*(MONTH($E155)-1)/12)*$H155</f>
        <v>6.5438490131846336</v>
      </c>
      <c r="K155" s="230">
        <f>(SUM('1.  LRAMVA Summary'!F$54:F$80)+SUM('1.  LRAMVA Summary'!F$81:F$82)*(MONTH($E155)-1)/12)*$H155</f>
        <v>-8.0834403831936239</v>
      </c>
      <c r="L155" s="230">
        <f>(SUM('1.  LRAMVA Summary'!G$54:G$80)+SUM('1.  LRAMVA Summary'!G$81:G$82)*(MONTH($E155)-1)/12)*$H155</f>
        <v>4.8201855376666645</v>
      </c>
      <c r="M155" s="230">
        <f>(SUM('1.  LRAMVA Summary'!H$54:H$80)+SUM('1.  LRAMVA Summary'!H$81:H$82)*(MONTH($E155)-1)/12)*$H155</f>
        <v>-5.9023499999999998E-3</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28.741086888508928</v>
      </c>
    </row>
    <row r="156" spans="2:23" s="9" customFormat="1">
      <c r="B156" s="66"/>
      <c r="E156" s="214">
        <v>44013</v>
      </c>
      <c r="F156" s="214" t="s">
        <v>187</v>
      </c>
      <c r="G156" s="215" t="s">
        <v>68</v>
      </c>
      <c r="H156" s="240">
        <f>$C$53/12</f>
        <v>4.75E-4</v>
      </c>
      <c r="I156" s="230">
        <f>(SUM('1.  LRAMVA Summary'!D$54:D$80)+SUM('1.  LRAMVA Summary'!D$81:D$82)*(MONTH($E156)-1)/12)*$H156</f>
        <v>6.6586445827455103</v>
      </c>
      <c r="J156" s="230">
        <f>(SUM('1.  LRAMVA Summary'!E$54:E$80)+SUM('1.  LRAMVA Summary'!E$81:E$82)*(MONTH($E156)-1)/12)*$H156</f>
        <v>1.755983680788725</v>
      </c>
      <c r="K156" s="230">
        <f>(SUM('1.  LRAMVA Summary'!F$54:F$80)+SUM('1.  LRAMVA Summary'!F$81:F$82)*(MONTH($E156)-1)/12)*$H156</f>
        <v>-2.1680938804631134</v>
      </c>
      <c r="L156" s="230">
        <f>(SUM('1.  LRAMVA Summary'!G$54:G$80)+SUM('1.  LRAMVA Summary'!G$81:G$82)*(MONTH($E156)-1)/12)*$H156</f>
        <v>1.2803893849999994</v>
      </c>
      <c r="M156" s="230">
        <f>(SUM('1.  LRAMVA Summary'!H$54:H$80)+SUM('1.  LRAMVA Summary'!H$81:H$82)*(MONTH($E156)-1)/12)*$H156</f>
        <v>-1.5432749999999998E-3</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7.525380493071121</v>
      </c>
    </row>
    <row r="157" spans="2:23" s="9" customFormat="1">
      <c r="B157" s="66"/>
      <c r="E157" s="214">
        <v>44044</v>
      </c>
      <c r="F157" s="214" t="s">
        <v>187</v>
      </c>
      <c r="G157" s="215" t="s">
        <v>68</v>
      </c>
      <c r="H157" s="240">
        <f>$C$53/12</f>
        <v>4.75E-4</v>
      </c>
      <c r="I157" s="230">
        <f>(SUM('1.  LRAMVA Summary'!D$54:D$80)+SUM('1.  LRAMVA Summary'!D$81:D$82)*(MONTH($E157)-1)/12)*$H157</f>
        <v>6.6586445827455103</v>
      </c>
      <c r="J157" s="230">
        <f>(SUM('1.  LRAMVA Summary'!E$54:E$80)+SUM('1.  LRAMVA Summary'!E$81:E$82)*(MONTH($E157)-1)/12)*$H157</f>
        <v>1.800960968221835</v>
      </c>
      <c r="K157" s="230">
        <f>(SUM('1.  LRAMVA Summary'!F$54:F$80)+SUM('1.  LRAMVA Summary'!F$81:F$82)*(MONTH($E157)-1)/12)*$H157</f>
        <v>-2.2226276607333983</v>
      </c>
      <c r="L157" s="230">
        <f>(SUM('1.  LRAMVA Summary'!G$54:G$80)+SUM('1.  LRAMVA Summary'!G$81:G$82)*(MONTH($E157)-1)/12)*$H157</f>
        <v>1.3004550284999996</v>
      </c>
      <c r="M157" s="230">
        <f>(SUM('1.  LRAMVA Summary'!H$54:H$80)+SUM('1.  LRAMVA Summary'!H$81:H$82)*(MONTH($E157)-1)/12)*$H157</f>
        <v>-1.5432749999999998E-3</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7.535889643733948</v>
      </c>
    </row>
    <row r="158" spans="2:23" s="9" customFormat="1">
      <c r="B158" s="66"/>
      <c r="E158" s="214">
        <v>44075</v>
      </c>
      <c r="F158" s="214" t="s">
        <v>187</v>
      </c>
      <c r="G158" s="215" t="s">
        <v>68</v>
      </c>
      <c r="H158" s="240">
        <f>$C$53/12</f>
        <v>4.75E-4</v>
      </c>
      <c r="I158" s="230">
        <f>(SUM('1.  LRAMVA Summary'!D$54:D$80)+SUM('1.  LRAMVA Summary'!D$81:D$82)*(MONTH($E158)-1)/12)*$H158</f>
        <v>6.6586445827455103</v>
      </c>
      <c r="J158" s="230">
        <f>(SUM('1.  LRAMVA Summary'!E$54:E$80)+SUM('1.  LRAMVA Summary'!E$81:E$82)*(MONTH($E158)-1)/12)*$H158</f>
        <v>1.8459382556549448</v>
      </c>
      <c r="K158" s="230">
        <f>(SUM('1.  LRAMVA Summary'!F$54:F$80)+SUM('1.  LRAMVA Summary'!F$81:F$82)*(MONTH($E158)-1)/12)*$H158</f>
        <v>-2.2771614410036833</v>
      </c>
      <c r="L158" s="230">
        <f>(SUM('1.  LRAMVA Summary'!G$54:G$80)+SUM('1.  LRAMVA Summary'!G$81:G$82)*(MONTH($E158)-1)/12)*$H158</f>
        <v>1.3205206719999993</v>
      </c>
      <c r="M158" s="230">
        <f>(SUM('1.  LRAMVA Summary'!H$54:H$80)+SUM('1.  LRAMVA Summary'!H$81:H$82)*(MONTH($E158)-1)/12)*$H158</f>
        <v>-1.5432749999999998E-3</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7.5463987943967714</v>
      </c>
    </row>
    <row r="159" spans="2:23" s="9" customFormat="1">
      <c r="B159" s="66"/>
      <c r="E159" s="214">
        <v>44105</v>
      </c>
      <c r="F159" s="214" t="s">
        <v>187</v>
      </c>
      <c r="G159" s="215" t="s">
        <v>69</v>
      </c>
      <c r="H159" s="240">
        <f>$C$54/12</f>
        <v>4.75E-4</v>
      </c>
      <c r="I159" s="230">
        <f>(SUM('1.  LRAMVA Summary'!D$54:D$80)+SUM('1.  LRAMVA Summary'!D$81:D$82)*(MONTH($E159)-1)/12)*$H159</f>
        <v>6.6586445827455103</v>
      </c>
      <c r="J159" s="230">
        <f>(SUM('1.  LRAMVA Summary'!E$54:E$80)+SUM('1.  LRAMVA Summary'!E$81:E$82)*(MONTH($E159)-1)/12)*$H159</f>
        <v>1.8909155430880551</v>
      </c>
      <c r="K159" s="230">
        <f>(SUM('1.  LRAMVA Summary'!F$54:F$80)+SUM('1.  LRAMVA Summary'!F$81:F$82)*(MONTH($E159)-1)/12)*$H159</f>
        <v>-2.3316952212739683</v>
      </c>
      <c r="L159" s="230">
        <f>(SUM('1.  LRAMVA Summary'!G$54:G$80)+SUM('1.  LRAMVA Summary'!G$81:G$82)*(MONTH($E159)-1)/12)*$H159</f>
        <v>1.3405863154999995</v>
      </c>
      <c r="M159" s="230">
        <f>(SUM('1.  LRAMVA Summary'!H$54:H$80)+SUM('1.  LRAMVA Summary'!H$81:H$82)*(MONTH($E159)-1)/12)*$H159</f>
        <v>-1.5432749999999998E-3</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7.5569079450595966</v>
      </c>
    </row>
    <row r="160" spans="2:23" s="9" customFormat="1">
      <c r="B160" s="66"/>
      <c r="E160" s="214">
        <v>44136</v>
      </c>
      <c r="F160" s="214" t="s">
        <v>187</v>
      </c>
      <c r="G160" s="215" t="s">
        <v>69</v>
      </c>
      <c r="H160" s="240">
        <f>$C$54/12</f>
        <v>4.75E-4</v>
      </c>
      <c r="I160" s="230">
        <f>(SUM('1.  LRAMVA Summary'!D$54:D$80)+SUM('1.  LRAMVA Summary'!D$81:D$82)*(MONTH($E160)-1)/12)*$H160</f>
        <v>6.6586445827455103</v>
      </c>
      <c r="J160" s="230">
        <f>(SUM('1.  LRAMVA Summary'!E$54:E$80)+SUM('1.  LRAMVA Summary'!E$81:E$82)*(MONTH($E160)-1)/12)*$H160</f>
        <v>1.9358928305211649</v>
      </c>
      <c r="K160" s="230">
        <f>(SUM('1.  LRAMVA Summary'!F$54:F$80)+SUM('1.  LRAMVA Summary'!F$81:F$82)*(MONTH($E160)-1)/12)*$H160</f>
        <v>-2.3862290015442533</v>
      </c>
      <c r="L160" s="230">
        <f>(SUM('1.  LRAMVA Summary'!G$54:G$80)+SUM('1.  LRAMVA Summary'!G$81:G$82)*(MONTH($E160)-1)/12)*$H160</f>
        <v>1.3606519589999995</v>
      </c>
      <c r="M160" s="230">
        <f>(SUM('1.  LRAMVA Summary'!H$54:H$80)+SUM('1.  LRAMVA Summary'!H$81:H$82)*(MONTH($E160)-1)/12)*$H160</f>
        <v>-1.5432749999999998E-3</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7.5674170957224209</v>
      </c>
    </row>
    <row r="161" spans="2:23" s="9" customFormat="1">
      <c r="B161" s="66"/>
      <c r="E161" s="214">
        <v>44166</v>
      </c>
      <c r="F161" s="214" t="s">
        <v>187</v>
      </c>
      <c r="G161" s="215" t="s">
        <v>69</v>
      </c>
      <c r="H161" s="240">
        <f>$C$54/12</f>
        <v>4.75E-4</v>
      </c>
      <c r="I161" s="230">
        <f>(SUM('1.  LRAMVA Summary'!D$54:D$80)+SUM('1.  LRAMVA Summary'!D$81:D$82)*(MONTH($E161)-1)/12)*$H161</f>
        <v>6.6586445827455103</v>
      </c>
      <c r="J161" s="230">
        <f>(SUM('1.  LRAMVA Summary'!E$54:E$80)+SUM('1.  LRAMVA Summary'!E$81:E$82)*(MONTH($E161)-1)/12)*$H161</f>
        <v>1.9808701179542751</v>
      </c>
      <c r="K161" s="230">
        <f>(SUM('1.  LRAMVA Summary'!F$54:F$80)+SUM('1.  LRAMVA Summary'!F$81:F$82)*(MONTH($E161)-1)/12)*$H161</f>
        <v>-2.4407627818145383</v>
      </c>
      <c r="L161" s="230">
        <f>(SUM('1.  LRAMVA Summary'!G$54:G$80)+SUM('1.  LRAMVA Summary'!G$81:G$82)*(MONTH($E161)-1)/12)*$H161</f>
        <v>1.3807176024999996</v>
      </c>
      <c r="M161" s="230">
        <f>(SUM('1.  LRAMVA Summary'!H$54:H$80)+SUM('1.  LRAMVA Summary'!H$81:H$82)*(MONTH($E161)-1)/12)*$H161</f>
        <v>-1.5432749999999998E-3</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7.5779262463852461</v>
      </c>
    </row>
    <row r="162" spans="2:23" s="9" customFormat="1" ht="15.75" thickBot="1">
      <c r="B162" s="66"/>
      <c r="E162" s="216" t="s">
        <v>469</v>
      </c>
      <c r="F162" s="216"/>
      <c r="G162" s="217"/>
      <c r="H162" s="218"/>
      <c r="I162" s="219">
        <f>SUM(I149:I161)</f>
        <v>868.10896942193529</v>
      </c>
      <c r="J162" s="219">
        <f>SUM(J149:J161)</f>
        <v>105.12981557579042</v>
      </c>
      <c r="K162" s="219">
        <f t="shared" ref="K162:O162" si="90">SUM(K149:K161)</f>
        <v>-129.15478037419996</v>
      </c>
      <c r="L162" s="219">
        <f t="shared" si="90"/>
        <v>150.2488030239999</v>
      </c>
      <c r="M162" s="219">
        <f t="shared" si="90"/>
        <v>-0.15395917500000006</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994.17884847252549</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715</v>
      </c>
      <c r="F164" s="225"/>
      <c r="G164" s="226"/>
      <c r="H164" s="227"/>
      <c r="I164" s="228">
        <f>I162+I163</f>
        <v>868.10896942193529</v>
      </c>
      <c r="J164" s="228">
        <f t="shared" ref="J164:U164" si="92">J162+J163</f>
        <v>105.12981557579042</v>
      </c>
      <c r="K164" s="228">
        <f t="shared" si="92"/>
        <v>-129.15478037419996</v>
      </c>
      <c r="L164" s="228">
        <f t="shared" si="92"/>
        <v>150.2488030239999</v>
      </c>
      <c r="M164" s="228">
        <f t="shared" si="92"/>
        <v>-0.15395917500000006</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994.17884847252549</v>
      </c>
    </row>
    <row r="165" spans="2:23">
      <c r="E165" s="214">
        <v>44197</v>
      </c>
      <c r="F165" s="214" t="s">
        <v>721</v>
      </c>
      <c r="G165" s="215" t="s">
        <v>65</v>
      </c>
      <c r="H165" s="240">
        <f>$C$55/12</f>
        <v>4.75E-4</v>
      </c>
      <c r="I165" s="230">
        <f>(SUM('1.  LRAMVA Summary'!D$54:D$80)+SUM('1.  LRAMVA Summary'!D$81:D$82)*(MONTH($E165)-1)/12)*$H165</f>
        <v>6.6586445827455103</v>
      </c>
      <c r="J165" s="230">
        <f>(SUM('1.  LRAMVA Summary'!E$54:E$80)+SUM('1.  LRAMVA Summary'!E$81:E$82)*(MONTH($E165)-1)/12)*$H165</f>
        <v>1.4861199561900651</v>
      </c>
      <c r="K165" s="230">
        <f>(SUM('1.  LRAMVA Summary'!F$54:F$80)+SUM('1.  LRAMVA Summary'!F$81:F$82)*(MONTH($E165)-1)/12)*$H165</f>
        <v>-1.8408911988414027</v>
      </c>
      <c r="L165" s="230">
        <f>(SUM('1.  LRAMVA Summary'!G$54:G$80)+SUM('1.  LRAMVA Summary'!G$81:G$82)*(MONTH($E165)-1)/12)*$H165</f>
        <v>1.1599955239999995</v>
      </c>
      <c r="M165" s="230">
        <f>(SUM('1.  LRAMVA Summary'!H$54:H$80)+SUM('1.  LRAMVA Summary'!H$81:H$82)*(MONTH($E165)-1)/12)*$H165</f>
        <v>-1.5432749999999998E-3</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7.4623255890941715</v>
      </c>
    </row>
    <row r="166" spans="2:23">
      <c r="E166" s="214">
        <v>44228</v>
      </c>
      <c r="F166" s="214" t="s">
        <v>721</v>
      </c>
      <c r="G166" s="215" t="s">
        <v>65</v>
      </c>
      <c r="H166" s="240">
        <f t="shared" ref="H166:H167" si="93">$C$55/12</f>
        <v>4.75E-4</v>
      </c>
      <c r="I166" s="230">
        <f>(SUM('1.  LRAMVA Summary'!D$54:D$80)+SUM('1.  LRAMVA Summary'!D$81:D$82)*(MONTH($E166)-1)/12)*$H166</f>
        <v>6.6586445827455103</v>
      </c>
      <c r="J166" s="230">
        <f>(SUM('1.  LRAMVA Summary'!E$54:E$80)+SUM('1.  LRAMVA Summary'!E$81:E$82)*(MONTH($E166)-1)/12)*$H166</f>
        <v>1.5310972436231751</v>
      </c>
      <c r="K166" s="230">
        <f>(SUM('1.  LRAMVA Summary'!F$54:F$80)+SUM('1.  LRAMVA Summary'!F$81:F$82)*(MONTH($E166)-1)/12)*$H166</f>
        <v>-1.8954249791116879</v>
      </c>
      <c r="L166" s="230">
        <f>(SUM('1.  LRAMVA Summary'!G$54:G$80)+SUM('1.  LRAMVA Summary'!G$81:G$82)*(MONTH($E166)-1)/12)*$H166</f>
        <v>1.1800611674999997</v>
      </c>
      <c r="M166" s="230">
        <f>(SUM('1.  LRAMVA Summary'!H$54:H$80)+SUM('1.  LRAMVA Summary'!H$81:H$82)*(MONTH($E166)-1)/12)*$H166</f>
        <v>-1.5432749999999998E-3</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7.4728347397569967</v>
      </c>
    </row>
    <row r="167" spans="2:23">
      <c r="E167" s="214">
        <v>44256</v>
      </c>
      <c r="F167" s="214" t="s">
        <v>721</v>
      </c>
      <c r="G167" s="215" t="s">
        <v>65</v>
      </c>
      <c r="H167" s="240">
        <f t="shared" si="93"/>
        <v>4.75E-4</v>
      </c>
      <c r="I167" s="230">
        <f>(SUM('1.  LRAMVA Summary'!D$54:D$80)+SUM('1.  LRAMVA Summary'!D$81:D$82)*(MONTH($E167)-1)/12)*$H167</f>
        <v>6.6586445827455103</v>
      </c>
      <c r="J167" s="230">
        <f>(SUM('1.  LRAMVA Summary'!E$54:E$80)+SUM('1.  LRAMVA Summary'!E$81:E$82)*(MONTH($E167)-1)/12)*$H167</f>
        <v>1.5760745310562851</v>
      </c>
      <c r="K167" s="230">
        <f>(SUM('1.  LRAMVA Summary'!F$54:F$80)+SUM('1.  LRAMVA Summary'!F$81:F$82)*(MONTH($E167)-1)/12)*$H167</f>
        <v>-1.9499587593819729</v>
      </c>
      <c r="L167" s="230">
        <f>(SUM('1.  LRAMVA Summary'!G$54:G$80)+SUM('1.  LRAMVA Summary'!G$81:G$82)*(MONTH($E167)-1)/12)*$H167</f>
        <v>1.2001268109999994</v>
      </c>
      <c r="M167" s="230">
        <f>(SUM('1.  LRAMVA Summary'!H$54:H$80)+SUM('1.  LRAMVA Summary'!H$81:H$82)*(MONTH($E167)-1)/12)*$H167</f>
        <v>-1.5432749999999998E-3</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7.4833438904198211</v>
      </c>
    </row>
    <row r="168" spans="2:23">
      <c r="E168" s="214">
        <v>44287</v>
      </c>
      <c r="F168" s="214" t="s">
        <v>721</v>
      </c>
      <c r="G168" s="215" t="s">
        <v>66</v>
      </c>
      <c r="H168" s="240">
        <f>$C$56/12</f>
        <v>4.75E-4</v>
      </c>
      <c r="I168" s="230">
        <f>(SUM('1.  LRAMVA Summary'!D$54:D$80)+SUM('1.  LRAMVA Summary'!D$81:D$82)*(MONTH($E168)-1)/12)*$H168</f>
        <v>6.6586445827455103</v>
      </c>
      <c r="J168" s="230">
        <f>(SUM('1.  LRAMVA Summary'!E$54:E$80)+SUM('1.  LRAMVA Summary'!E$81:E$82)*(MONTH($E168)-1)/12)*$H168</f>
        <v>1.6210518184893952</v>
      </c>
      <c r="K168" s="230">
        <f>(SUM('1.  LRAMVA Summary'!F$54:F$80)+SUM('1.  LRAMVA Summary'!F$81:F$82)*(MONTH($E168)-1)/12)*$H168</f>
        <v>-2.0044925396522579</v>
      </c>
      <c r="L168" s="230">
        <f>(SUM('1.  LRAMVA Summary'!G$54:G$80)+SUM('1.  LRAMVA Summary'!G$81:G$82)*(MONTH($E168)-1)/12)*$H168</f>
        <v>1.2201924544999996</v>
      </c>
      <c r="M168" s="230">
        <f>(SUM('1.  LRAMVA Summary'!H$54:H$80)+SUM('1.  LRAMVA Summary'!H$81:H$82)*(MONTH($E168)-1)/12)*$H168</f>
        <v>-1.5432749999999998E-3</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7.4938530410826472</v>
      </c>
    </row>
    <row r="169" spans="2:23">
      <c r="E169" s="214">
        <v>44317</v>
      </c>
      <c r="F169" s="214" t="s">
        <v>721</v>
      </c>
      <c r="G169" s="215" t="s">
        <v>66</v>
      </c>
      <c r="H169" s="240">
        <f t="shared" ref="H169:H170" si="95">$C$56/12</f>
        <v>4.75E-4</v>
      </c>
      <c r="I169" s="230">
        <f>(SUM('1.  LRAMVA Summary'!D$54:D$80)+SUM('1.  LRAMVA Summary'!D$81:D$82)*(MONTH($E169)-1)/12)*$H169</f>
        <v>6.6586445827455103</v>
      </c>
      <c r="J169" s="230">
        <f>(SUM('1.  LRAMVA Summary'!E$54:E$80)+SUM('1.  LRAMVA Summary'!E$81:E$82)*(MONTH($E169)-1)/12)*$H169</f>
        <v>1.666029105922505</v>
      </c>
      <c r="K169" s="230">
        <f>(SUM('1.  LRAMVA Summary'!F$54:F$80)+SUM('1.  LRAMVA Summary'!F$81:F$82)*(MONTH($E169)-1)/12)*$H169</f>
        <v>-2.0590263199225429</v>
      </c>
      <c r="L169" s="230">
        <f>(SUM('1.  LRAMVA Summary'!G$54:G$80)+SUM('1.  LRAMVA Summary'!G$81:G$82)*(MONTH($E169)-1)/12)*$H169</f>
        <v>1.2402580979999995</v>
      </c>
      <c r="M169" s="230">
        <f>(SUM('1.  LRAMVA Summary'!H$54:H$80)+SUM('1.  LRAMVA Summary'!H$81:H$82)*(MONTH($E169)-1)/12)*$H169</f>
        <v>-1.5432749999999998E-3</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7.5043621917454724</v>
      </c>
    </row>
    <row r="170" spans="2:23">
      <c r="E170" s="214">
        <v>44348</v>
      </c>
      <c r="F170" s="214" t="s">
        <v>721</v>
      </c>
      <c r="G170" s="215" t="s">
        <v>66</v>
      </c>
      <c r="H170" s="240">
        <f t="shared" si="95"/>
        <v>4.75E-4</v>
      </c>
      <c r="I170" s="230">
        <f>(SUM('1.  LRAMVA Summary'!D$54:D$80)+SUM('1.  LRAMVA Summary'!D$81:D$82)*(MONTH($E170)-1)/12)*$H170</f>
        <v>6.6586445827455103</v>
      </c>
      <c r="J170" s="230">
        <f>(SUM('1.  LRAMVA Summary'!E$54:E$80)+SUM('1.  LRAMVA Summary'!E$81:E$82)*(MONTH($E170)-1)/12)*$H170</f>
        <v>1.7110063933556152</v>
      </c>
      <c r="K170" s="230">
        <f>(SUM('1.  LRAMVA Summary'!F$54:F$80)+SUM('1.  LRAMVA Summary'!F$81:F$82)*(MONTH($E170)-1)/12)*$H170</f>
        <v>-2.1135601001928284</v>
      </c>
      <c r="L170" s="230">
        <f>(SUM('1.  LRAMVA Summary'!G$54:G$80)+SUM('1.  LRAMVA Summary'!G$81:G$82)*(MONTH($E170)-1)/12)*$H170</f>
        <v>1.2603237414999995</v>
      </c>
      <c r="M170" s="230">
        <f>(SUM('1.  LRAMVA Summary'!H$54:H$80)+SUM('1.  LRAMVA Summary'!H$81:H$82)*(MONTH($E170)-1)/12)*$H170</f>
        <v>-1.5432749999999998E-3</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7.5148713424082967</v>
      </c>
    </row>
    <row r="171" spans="2:23">
      <c r="E171" s="214">
        <v>44378</v>
      </c>
      <c r="F171" s="214" t="s">
        <v>721</v>
      </c>
      <c r="G171" s="215" t="s">
        <v>68</v>
      </c>
      <c r="H171" s="240">
        <f>$C$57/12</f>
        <v>4.75E-4</v>
      </c>
      <c r="I171" s="230">
        <f>(SUM('1.  LRAMVA Summary'!D$54:D$80)+SUM('1.  LRAMVA Summary'!D$81:D$82)*(MONTH($E171)-1)/12)*$H171</f>
        <v>6.6586445827455103</v>
      </c>
      <c r="J171" s="230">
        <f>(SUM('1.  LRAMVA Summary'!E$54:E$80)+SUM('1.  LRAMVA Summary'!E$81:E$82)*(MONTH($E171)-1)/12)*$H171</f>
        <v>1.755983680788725</v>
      </c>
      <c r="K171" s="230">
        <f>(SUM('1.  LRAMVA Summary'!F$54:F$80)+SUM('1.  LRAMVA Summary'!F$81:F$82)*(MONTH($E171)-1)/12)*$H171</f>
        <v>-2.1680938804631134</v>
      </c>
      <c r="L171" s="230">
        <f>(SUM('1.  LRAMVA Summary'!G$54:G$80)+SUM('1.  LRAMVA Summary'!G$81:G$82)*(MONTH($E171)-1)/12)*$H171</f>
        <v>1.2803893849999994</v>
      </c>
      <c r="M171" s="230">
        <f>(SUM('1.  LRAMVA Summary'!H$54:H$80)+SUM('1.  LRAMVA Summary'!H$81:H$82)*(MONTH($E171)-1)/12)*$H171</f>
        <v>-1.5432749999999998E-3</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7.525380493071121</v>
      </c>
    </row>
    <row r="172" spans="2:23">
      <c r="E172" s="214">
        <v>44409</v>
      </c>
      <c r="F172" s="214" t="s">
        <v>721</v>
      </c>
      <c r="G172" s="215" t="s">
        <v>68</v>
      </c>
      <c r="H172" s="240">
        <f t="shared" ref="H172:H173" si="96">$C$57/12</f>
        <v>4.75E-4</v>
      </c>
      <c r="I172" s="230">
        <f>(SUM('1.  LRAMVA Summary'!D$54:D$80)+SUM('1.  LRAMVA Summary'!D$81:D$82)*(MONTH($E172)-1)/12)*$H172</f>
        <v>6.6586445827455103</v>
      </c>
      <c r="J172" s="230">
        <f>(SUM('1.  LRAMVA Summary'!E$54:E$80)+SUM('1.  LRAMVA Summary'!E$81:E$82)*(MONTH($E172)-1)/12)*$H172</f>
        <v>1.800960968221835</v>
      </c>
      <c r="K172" s="230">
        <f>(SUM('1.  LRAMVA Summary'!F$54:F$80)+SUM('1.  LRAMVA Summary'!F$81:F$82)*(MONTH($E172)-1)/12)*$H172</f>
        <v>-2.2226276607333983</v>
      </c>
      <c r="L172" s="230">
        <f>(SUM('1.  LRAMVA Summary'!G$54:G$80)+SUM('1.  LRAMVA Summary'!G$81:G$82)*(MONTH($E172)-1)/12)*$H172</f>
        <v>1.3004550284999996</v>
      </c>
      <c r="M172" s="230">
        <f>(SUM('1.  LRAMVA Summary'!H$54:H$80)+SUM('1.  LRAMVA Summary'!H$81:H$82)*(MONTH($E172)-1)/12)*$H172</f>
        <v>-1.5432749999999998E-3</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7.535889643733948</v>
      </c>
    </row>
    <row r="173" spans="2:23">
      <c r="E173" s="214">
        <v>44440</v>
      </c>
      <c r="F173" s="214" t="s">
        <v>721</v>
      </c>
      <c r="G173" s="215" t="s">
        <v>68</v>
      </c>
      <c r="H173" s="240">
        <f t="shared" si="96"/>
        <v>4.75E-4</v>
      </c>
      <c r="I173" s="230">
        <f>(SUM('1.  LRAMVA Summary'!D$54:D$80)+SUM('1.  LRAMVA Summary'!D$81:D$82)*(MONTH($E173)-1)/12)*$H173</f>
        <v>6.6586445827455103</v>
      </c>
      <c r="J173" s="230">
        <f>(SUM('1.  LRAMVA Summary'!E$54:E$80)+SUM('1.  LRAMVA Summary'!E$81:E$82)*(MONTH($E173)-1)/12)*$H173</f>
        <v>1.8459382556549448</v>
      </c>
      <c r="K173" s="230">
        <f>(SUM('1.  LRAMVA Summary'!F$54:F$80)+SUM('1.  LRAMVA Summary'!F$81:F$82)*(MONTH($E173)-1)/12)*$H173</f>
        <v>-2.2771614410036833</v>
      </c>
      <c r="L173" s="230">
        <f>(SUM('1.  LRAMVA Summary'!G$54:G$80)+SUM('1.  LRAMVA Summary'!G$81:G$82)*(MONTH($E173)-1)/12)*$H173</f>
        <v>1.3205206719999993</v>
      </c>
      <c r="M173" s="230">
        <f>(SUM('1.  LRAMVA Summary'!H$54:H$80)+SUM('1.  LRAMVA Summary'!H$81:H$82)*(MONTH($E173)-1)/12)*$H173</f>
        <v>-1.5432749999999998E-3</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7.5463987943967714</v>
      </c>
    </row>
    <row r="174" spans="2:23">
      <c r="E174" s="214">
        <v>44470</v>
      </c>
      <c r="F174" s="214" t="s">
        <v>721</v>
      </c>
      <c r="G174" s="215" t="s">
        <v>69</v>
      </c>
      <c r="H174" s="240">
        <f>$C$58/12</f>
        <v>4.75E-4</v>
      </c>
      <c r="I174" s="230">
        <f>(SUM('1.  LRAMVA Summary'!D$54:D$80)+SUM('1.  LRAMVA Summary'!D$81:D$82)*(MONTH($E174)-1)/12)*$H174</f>
        <v>6.6586445827455103</v>
      </c>
      <c r="J174" s="230">
        <f>(SUM('1.  LRAMVA Summary'!E$54:E$80)+SUM('1.  LRAMVA Summary'!E$81:E$82)*(MONTH($E174)-1)/12)*$H174</f>
        <v>1.8909155430880551</v>
      </c>
      <c r="K174" s="230">
        <f>(SUM('1.  LRAMVA Summary'!F$54:F$80)+SUM('1.  LRAMVA Summary'!F$81:F$82)*(MONTH($E174)-1)/12)*$H174</f>
        <v>-2.3316952212739683</v>
      </c>
      <c r="L174" s="230">
        <f>(SUM('1.  LRAMVA Summary'!G$54:G$80)+SUM('1.  LRAMVA Summary'!G$81:G$82)*(MONTH($E174)-1)/12)*$H174</f>
        <v>1.3405863154999995</v>
      </c>
      <c r="M174" s="230">
        <f>(SUM('1.  LRAMVA Summary'!H$54:H$80)+SUM('1.  LRAMVA Summary'!H$81:H$82)*(MONTH($E174)-1)/12)*$H174</f>
        <v>-1.5432749999999998E-3</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7.5569079450595966</v>
      </c>
    </row>
    <row r="175" spans="2:23">
      <c r="E175" s="214">
        <v>44501</v>
      </c>
      <c r="F175" s="214" t="s">
        <v>721</v>
      </c>
      <c r="G175" s="215" t="s">
        <v>69</v>
      </c>
      <c r="H175" s="240">
        <f t="shared" ref="H175:H176" si="97">$C$58/12</f>
        <v>4.75E-4</v>
      </c>
      <c r="I175" s="230">
        <f>(SUM('1.  LRAMVA Summary'!D$54:D$80)+SUM('1.  LRAMVA Summary'!D$81:D$82)*(MONTH($E175)-1)/12)*$H175</f>
        <v>6.6586445827455103</v>
      </c>
      <c r="J175" s="230">
        <f>(SUM('1.  LRAMVA Summary'!E$54:E$80)+SUM('1.  LRAMVA Summary'!E$81:E$82)*(MONTH($E175)-1)/12)*$H175</f>
        <v>1.9358928305211649</v>
      </c>
      <c r="K175" s="230">
        <f>(SUM('1.  LRAMVA Summary'!F$54:F$80)+SUM('1.  LRAMVA Summary'!F$81:F$82)*(MONTH($E175)-1)/12)*$H175</f>
        <v>-2.3862290015442533</v>
      </c>
      <c r="L175" s="230">
        <f>(SUM('1.  LRAMVA Summary'!G$54:G$80)+SUM('1.  LRAMVA Summary'!G$81:G$82)*(MONTH($E175)-1)/12)*$H175</f>
        <v>1.3606519589999995</v>
      </c>
      <c r="M175" s="230">
        <f>(SUM('1.  LRAMVA Summary'!H$54:H$80)+SUM('1.  LRAMVA Summary'!H$81:H$82)*(MONTH($E175)-1)/12)*$H175</f>
        <v>-1.5432749999999998E-3</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7.5674170957224209</v>
      </c>
    </row>
    <row r="176" spans="2:23">
      <c r="E176" s="214">
        <v>44531</v>
      </c>
      <c r="F176" s="214" t="s">
        <v>721</v>
      </c>
      <c r="G176" s="215" t="s">
        <v>69</v>
      </c>
      <c r="H176" s="240">
        <f t="shared" si="97"/>
        <v>4.75E-4</v>
      </c>
      <c r="I176" s="230">
        <f>(SUM('1.  LRAMVA Summary'!D$54:D$80)+SUM('1.  LRAMVA Summary'!D$81:D$82)*(MONTH($E176)-1)/12)*$H176</f>
        <v>6.6586445827455103</v>
      </c>
      <c r="J176" s="230">
        <f>(SUM('1.  LRAMVA Summary'!E$54:E$80)+SUM('1.  LRAMVA Summary'!E$81:E$82)*(MONTH($E176)-1)/12)*$H176</f>
        <v>1.9808701179542751</v>
      </c>
      <c r="K176" s="230">
        <f>(SUM('1.  LRAMVA Summary'!F$54:F$80)+SUM('1.  LRAMVA Summary'!F$81:F$82)*(MONTH($E176)-1)/12)*$H176</f>
        <v>-2.4407627818145383</v>
      </c>
      <c r="L176" s="230">
        <f>(SUM('1.  LRAMVA Summary'!G$54:G$80)+SUM('1.  LRAMVA Summary'!G$81:G$82)*(MONTH($E176)-1)/12)*$H176</f>
        <v>1.3807176024999996</v>
      </c>
      <c r="M176" s="230">
        <f>(SUM('1.  LRAMVA Summary'!H$54:H$80)+SUM('1.  LRAMVA Summary'!H$81:H$82)*(MONTH($E176)-1)/12)*$H176</f>
        <v>-1.5432749999999998E-3</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7.5779262463852461</v>
      </c>
    </row>
    <row r="177" spans="5:23" ht="15.75" thickBot="1">
      <c r="E177" s="216" t="s">
        <v>716</v>
      </c>
      <c r="F177" s="216"/>
      <c r="G177" s="217"/>
      <c r="H177" s="218"/>
      <c r="I177" s="219">
        <f>SUM(I164:I176)</f>
        <v>948.01270441488157</v>
      </c>
      <c r="J177" s="219">
        <f>SUM(J164:J176)</f>
        <v>125.93175602065645</v>
      </c>
      <c r="K177" s="219">
        <f t="shared" ref="K177:V177" si="98">SUM(K164:K176)</f>
        <v>-154.84470425813561</v>
      </c>
      <c r="L177" s="219">
        <f t="shared" si="98"/>
        <v>165.49308178299987</v>
      </c>
      <c r="M177" s="219">
        <f t="shared" si="98"/>
        <v>-0.17247847500000019</v>
      </c>
      <c r="N177" s="219">
        <f t="shared" si="98"/>
        <v>0</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1084.4203594854021</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717</v>
      </c>
      <c r="F179" s="225"/>
      <c r="G179" s="226"/>
      <c r="H179" s="227"/>
      <c r="I179" s="228">
        <f>I177+I178</f>
        <v>948.01270441488157</v>
      </c>
      <c r="J179" s="228">
        <f t="shared" ref="J179:U179" si="99">J177+J178</f>
        <v>125.93175602065645</v>
      </c>
      <c r="K179" s="228">
        <f t="shared" si="99"/>
        <v>-154.84470425813561</v>
      </c>
      <c r="L179" s="228">
        <f t="shared" si="99"/>
        <v>165.49308178299987</v>
      </c>
      <c r="M179" s="228">
        <f t="shared" si="99"/>
        <v>-0.17247847500000019</v>
      </c>
      <c r="N179" s="228">
        <f t="shared" si="99"/>
        <v>0</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1084.4203594854021</v>
      </c>
    </row>
    <row r="180" spans="5:23">
      <c r="E180" s="214">
        <v>44562</v>
      </c>
      <c r="F180" s="214" t="s">
        <v>722</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722</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722</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722</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722</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722</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722</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722</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722</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722</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722</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722</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718</v>
      </c>
      <c r="F192" s="216"/>
      <c r="G192" s="217"/>
      <c r="H192" s="218"/>
      <c r="I192" s="219">
        <f>SUM(I179:I191)</f>
        <v>948.01270441488157</v>
      </c>
      <c r="J192" s="219">
        <f>SUM(J179:J191)</f>
        <v>125.93175602065645</v>
      </c>
      <c r="K192" s="219">
        <f t="shared" ref="K192:V192" si="101">SUM(K179:K191)</f>
        <v>-154.84470425813561</v>
      </c>
      <c r="L192" s="219">
        <f t="shared" si="101"/>
        <v>165.49308178299987</v>
      </c>
      <c r="M192" s="219">
        <f t="shared" si="101"/>
        <v>-0.17247847500000019</v>
      </c>
      <c r="N192" s="219">
        <f t="shared" si="101"/>
        <v>0</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1084.4203594854021</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719</v>
      </c>
      <c r="F194" s="225"/>
      <c r="G194" s="226"/>
      <c r="H194" s="227"/>
      <c r="I194" s="228">
        <f>I192+I193</f>
        <v>948.01270441488157</v>
      </c>
      <c r="J194" s="228">
        <f t="shared" ref="J194:U194" si="102">J192+J193</f>
        <v>125.93175602065645</v>
      </c>
      <c r="K194" s="228">
        <f t="shared" si="102"/>
        <v>-154.84470425813561</v>
      </c>
      <c r="L194" s="228">
        <f t="shared" si="102"/>
        <v>165.49308178299987</v>
      </c>
      <c r="M194" s="228">
        <f t="shared" si="102"/>
        <v>-0.17247847500000019</v>
      </c>
      <c r="N194" s="228">
        <f t="shared" si="102"/>
        <v>0</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1084.4203594854021</v>
      </c>
    </row>
    <row r="195" spans="5:23">
      <c r="E195" s="214">
        <v>44927</v>
      </c>
      <c r="F195" s="214" t="s">
        <v>723</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723</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723</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723</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723</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723</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723</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723</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723</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723</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723</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723</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720</v>
      </c>
      <c r="F207" s="216"/>
      <c r="G207" s="217"/>
      <c r="H207" s="218"/>
      <c r="I207" s="219">
        <f>SUM(I194:I206)</f>
        <v>948.01270441488157</v>
      </c>
      <c r="J207" s="219">
        <f>SUM(J194:J206)</f>
        <v>125.93175602065645</v>
      </c>
      <c r="K207" s="219">
        <f t="shared" ref="K207:V207" si="104">SUM(K194:K206)</f>
        <v>-154.84470425813561</v>
      </c>
      <c r="L207" s="219">
        <f t="shared" si="104"/>
        <v>165.49308178299987</v>
      </c>
      <c r="M207" s="219">
        <f t="shared" si="104"/>
        <v>-0.17247847500000019</v>
      </c>
      <c r="N207" s="219">
        <f t="shared" si="104"/>
        <v>0</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1084.4203594854021</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738</v>
      </c>
      <c r="F209" s="225"/>
      <c r="G209" s="226"/>
      <c r="H209" s="227"/>
      <c r="I209" s="228">
        <f>I207+I208</f>
        <v>948.01270441488157</v>
      </c>
      <c r="J209" s="228">
        <f t="shared" ref="J209:U209" si="105">J207+J208</f>
        <v>125.93175602065645</v>
      </c>
      <c r="K209" s="228">
        <f t="shared" si="105"/>
        <v>-154.84470425813561</v>
      </c>
      <c r="L209" s="228">
        <f t="shared" si="105"/>
        <v>165.49308178299987</v>
      </c>
      <c r="M209" s="228">
        <f t="shared" si="105"/>
        <v>-0.17247847500000019</v>
      </c>
      <c r="N209" s="228">
        <f t="shared" si="105"/>
        <v>0</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1084.4203594854021</v>
      </c>
    </row>
    <row r="210" spans="5:23">
      <c r="E210" s="214">
        <v>45292</v>
      </c>
      <c r="F210" s="214" t="s">
        <v>742</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742</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742</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742</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742</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742</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742</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742</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742</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742</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742</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742</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740</v>
      </c>
      <c r="F222" s="216"/>
      <c r="G222" s="217"/>
      <c r="H222" s="218"/>
      <c r="I222" s="219">
        <f>SUM(I209:I221)</f>
        <v>948.01270441488157</v>
      </c>
      <c r="J222" s="219">
        <f>SUM(J209:J221)</f>
        <v>125.93175602065645</v>
      </c>
      <c r="K222" s="219">
        <f t="shared" ref="K222:V222" si="107">SUM(K209:K221)</f>
        <v>-154.84470425813561</v>
      </c>
      <c r="L222" s="219">
        <f t="shared" si="107"/>
        <v>165.49308178299987</v>
      </c>
      <c r="M222" s="219">
        <f t="shared" si="107"/>
        <v>-0.17247847500000019</v>
      </c>
      <c r="N222" s="219">
        <f t="shared" si="107"/>
        <v>0</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1084.4203594854021</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739</v>
      </c>
      <c r="F224" s="225"/>
      <c r="G224" s="226"/>
      <c r="H224" s="227"/>
      <c r="I224" s="228">
        <f>I222+I223</f>
        <v>948.01270441488157</v>
      </c>
      <c r="J224" s="228">
        <f t="shared" ref="J224:U224" si="108">J222+J223</f>
        <v>125.93175602065645</v>
      </c>
      <c r="K224" s="228">
        <f t="shared" si="108"/>
        <v>-154.84470425813561</v>
      </c>
      <c r="L224" s="228">
        <f t="shared" si="108"/>
        <v>165.49308178299987</v>
      </c>
      <c r="M224" s="228">
        <f t="shared" si="108"/>
        <v>-0.17247847500000019</v>
      </c>
      <c r="N224" s="228">
        <f t="shared" si="108"/>
        <v>0</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1084.4203594854021</v>
      </c>
    </row>
    <row r="225" spans="5:23">
      <c r="E225" s="214">
        <v>45658</v>
      </c>
      <c r="F225" s="214" t="s">
        <v>743</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743</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743</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743</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743</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743</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743</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743</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743</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743</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743</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743</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741</v>
      </c>
      <c r="F237" s="216"/>
      <c r="G237" s="217"/>
      <c r="H237" s="218"/>
      <c r="I237" s="219">
        <f>SUM(I224:I236)</f>
        <v>948.01270441488157</v>
      </c>
      <c r="J237" s="219">
        <f>SUM(J224:J236)</f>
        <v>125.93175602065645</v>
      </c>
      <c r="K237" s="219">
        <f t="shared" ref="K237:U237" si="110">SUM(K224:K236)</f>
        <v>-154.84470425813561</v>
      </c>
      <c r="L237" s="219">
        <f t="shared" si="110"/>
        <v>165.49308178299987</v>
      </c>
      <c r="M237" s="219">
        <f>SUM(M224:M236)</f>
        <v>-0.17247847500000019</v>
      </c>
      <c r="N237" s="219">
        <f t="shared" si="110"/>
        <v>0</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1084.4203594854021</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L43" zoomScale="90" zoomScaleNormal="90" workbookViewId="0">
      <selection activeCell="A67" sqref="A67:XFD67"/>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606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600</v>
      </c>
      <c r="C17" s="90"/>
      <c r="D17" s="611" t="s">
        <v>580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585</v>
      </c>
      <c r="H23" s="10"/>
      <c r="I23" s="10"/>
      <c r="J23" s="10"/>
    </row>
    <row r="24" spans="2:73" s="670" customFormat="1" ht="21" customHeight="1">
      <c r="B24" s="702" t="s">
        <v>589</v>
      </c>
      <c r="C24" s="843" t="s">
        <v>590</v>
      </c>
      <c r="D24" s="843"/>
      <c r="E24" s="843"/>
      <c r="F24" s="843"/>
      <c r="G24" s="843"/>
      <c r="H24" s="678" t="s">
        <v>587</v>
      </c>
      <c r="I24" s="678" t="s">
        <v>586</v>
      </c>
      <c r="J24" s="678" t="s">
        <v>588</v>
      </c>
      <c r="K24" s="669"/>
      <c r="L24" s="670" t="s">
        <v>590</v>
      </c>
      <c r="AQ24" s="670" t="s">
        <v>590</v>
      </c>
      <c r="BU24" s="669"/>
    </row>
    <row r="25" spans="2:73" s="250" customFormat="1" ht="49.5" customHeight="1">
      <c r="B25" s="245" t="s">
        <v>472</v>
      </c>
      <c r="C25" s="245" t="s">
        <v>211</v>
      </c>
      <c r="D25" s="628" t="s">
        <v>473</v>
      </c>
      <c r="E25" s="245" t="s">
        <v>208</v>
      </c>
      <c r="F25" s="245" t="s">
        <v>474</v>
      </c>
      <c r="G25" s="245" t="s">
        <v>475</v>
      </c>
      <c r="H25" s="628" t="s">
        <v>476</v>
      </c>
      <c r="I25" s="636" t="s">
        <v>578</v>
      </c>
      <c r="J25" s="643" t="s">
        <v>579</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59" t="s">
        <v>766</v>
      </c>
      <c r="C27" s="759" t="s">
        <v>767</v>
      </c>
      <c r="D27" s="759" t="s">
        <v>2</v>
      </c>
      <c r="E27" s="759" t="s">
        <v>747</v>
      </c>
      <c r="F27" s="759" t="s">
        <v>29</v>
      </c>
      <c r="G27" s="759" t="s">
        <v>768</v>
      </c>
      <c r="H27" s="759">
        <v>2011</v>
      </c>
      <c r="I27" s="644" t="s">
        <v>566</v>
      </c>
      <c r="J27" s="644" t="s">
        <v>584</v>
      </c>
      <c r="K27" s="633"/>
      <c r="L27" s="760">
        <v>9.9601575616764484E-2</v>
      </c>
      <c r="M27" s="761">
        <v>9.9601575616764484E-2</v>
      </c>
      <c r="N27" s="761">
        <v>9.9601575616764484E-2</v>
      </c>
      <c r="O27" s="761">
        <v>2.6841963062582706E-2</v>
      </c>
      <c r="P27" s="761">
        <v>0</v>
      </c>
      <c r="Q27" s="761">
        <v>0</v>
      </c>
      <c r="R27" s="761">
        <v>0</v>
      </c>
      <c r="S27" s="761">
        <v>0</v>
      </c>
      <c r="T27" s="761">
        <v>0</v>
      </c>
      <c r="U27" s="761">
        <v>0</v>
      </c>
      <c r="V27" s="761">
        <v>0</v>
      </c>
      <c r="W27" s="761">
        <v>0</v>
      </c>
      <c r="X27" s="761">
        <v>0</v>
      </c>
      <c r="Y27" s="761">
        <v>0</v>
      </c>
      <c r="Z27" s="761">
        <v>0</v>
      </c>
      <c r="AA27" s="761">
        <v>0</v>
      </c>
      <c r="AB27" s="761">
        <v>0</v>
      </c>
      <c r="AC27" s="761">
        <v>0</v>
      </c>
      <c r="AD27" s="761">
        <v>0</v>
      </c>
      <c r="AE27" s="761">
        <v>0</v>
      </c>
      <c r="AF27" s="761">
        <v>0</v>
      </c>
      <c r="AG27" s="761">
        <v>0</v>
      </c>
      <c r="AH27" s="761">
        <v>0</v>
      </c>
      <c r="AI27" s="761">
        <v>0</v>
      </c>
      <c r="AJ27" s="761">
        <v>0</v>
      </c>
      <c r="AK27" s="761">
        <v>0</v>
      </c>
      <c r="AL27" s="761">
        <v>0</v>
      </c>
      <c r="AM27" s="761">
        <v>0</v>
      </c>
      <c r="AN27" s="761">
        <v>0</v>
      </c>
      <c r="AO27" s="762">
        <v>0</v>
      </c>
      <c r="AP27" s="633"/>
      <c r="AQ27" s="760">
        <v>112.92648344430117</v>
      </c>
      <c r="AR27" s="761">
        <v>112.92648344430117</v>
      </c>
      <c r="AS27" s="761">
        <v>112.92648344430117</v>
      </c>
      <c r="AT27" s="761">
        <v>47.860878296941074</v>
      </c>
      <c r="AU27" s="761">
        <v>0</v>
      </c>
      <c r="AV27" s="761">
        <v>0</v>
      </c>
      <c r="AW27" s="761">
        <v>0</v>
      </c>
      <c r="AX27" s="761">
        <v>0</v>
      </c>
      <c r="AY27" s="761">
        <v>0</v>
      </c>
      <c r="AZ27" s="761">
        <v>0</v>
      </c>
      <c r="BA27" s="761">
        <v>0</v>
      </c>
      <c r="BB27" s="761">
        <v>0</v>
      </c>
      <c r="BC27" s="761">
        <v>0</v>
      </c>
      <c r="BD27" s="761">
        <v>0</v>
      </c>
      <c r="BE27" s="761">
        <v>0</v>
      </c>
      <c r="BF27" s="761">
        <v>0</v>
      </c>
      <c r="BG27" s="761">
        <v>0</v>
      </c>
      <c r="BH27" s="761">
        <v>0</v>
      </c>
      <c r="BI27" s="761">
        <v>0</v>
      </c>
      <c r="BJ27" s="761">
        <v>0</v>
      </c>
      <c r="BK27" s="761">
        <v>0</v>
      </c>
      <c r="BL27" s="761">
        <v>0</v>
      </c>
      <c r="BM27" s="761">
        <v>0</v>
      </c>
      <c r="BN27" s="761">
        <v>0</v>
      </c>
      <c r="BO27" s="761">
        <v>0</v>
      </c>
      <c r="BP27" s="761">
        <v>0</v>
      </c>
      <c r="BQ27" s="761">
        <v>0</v>
      </c>
      <c r="BR27" s="761">
        <v>0</v>
      </c>
      <c r="BS27" s="761">
        <v>0</v>
      </c>
      <c r="BT27" s="762">
        <v>0</v>
      </c>
      <c r="BU27" s="16"/>
    </row>
    <row r="28" spans="2:73" s="17" customFormat="1" ht="15.75">
      <c r="B28" s="759" t="s">
        <v>766</v>
      </c>
      <c r="C28" s="759" t="s">
        <v>767</v>
      </c>
      <c r="D28" s="759" t="s">
        <v>1</v>
      </c>
      <c r="E28" s="759" t="s">
        <v>747</v>
      </c>
      <c r="F28" s="759" t="s">
        <v>29</v>
      </c>
      <c r="G28" s="759" t="s">
        <v>768</v>
      </c>
      <c r="H28" s="759">
        <v>2011</v>
      </c>
      <c r="I28" s="644" t="s">
        <v>566</v>
      </c>
      <c r="J28" s="644" t="s">
        <v>584</v>
      </c>
      <c r="K28" s="633"/>
      <c r="L28" s="760">
        <v>2.0788510457420246</v>
      </c>
      <c r="M28" s="761">
        <v>2.0788510457420246</v>
      </c>
      <c r="N28" s="761">
        <v>2.0788510457420246</v>
      </c>
      <c r="O28" s="761">
        <v>1.853044312366948</v>
      </c>
      <c r="P28" s="761">
        <v>1.3301377402162864</v>
      </c>
      <c r="Q28" s="761">
        <v>0</v>
      </c>
      <c r="R28" s="761">
        <v>0</v>
      </c>
      <c r="S28" s="761">
        <v>0</v>
      </c>
      <c r="T28" s="761">
        <v>0</v>
      </c>
      <c r="U28" s="761">
        <v>0</v>
      </c>
      <c r="V28" s="761">
        <v>0</v>
      </c>
      <c r="W28" s="761">
        <v>0</v>
      </c>
      <c r="X28" s="761">
        <v>0</v>
      </c>
      <c r="Y28" s="761">
        <v>0</v>
      </c>
      <c r="Z28" s="761">
        <v>0</v>
      </c>
      <c r="AA28" s="761">
        <v>0</v>
      </c>
      <c r="AB28" s="761">
        <v>0</v>
      </c>
      <c r="AC28" s="761">
        <v>0</v>
      </c>
      <c r="AD28" s="761">
        <v>0</v>
      </c>
      <c r="AE28" s="761">
        <v>0</v>
      </c>
      <c r="AF28" s="761">
        <v>0</v>
      </c>
      <c r="AG28" s="761">
        <v>0</v>
      </c>
      <c r="AH28" s="761">
        <v>0</v>
      </c>
      <c r="AI28" s="761">
        <v>0</v>
      </c>
      <c r="AJ28" s="761">
        <v>0</v>
      </c>
      <c r="AK28" s="761">
        <v>0</v>
      </c>
      <c r="AL28" s="761">
        <v>0</v>
      </c>
      <c r="AM28" s="761">
        <v>0</v>
      </c>
      <c r="AN28" s="761">
        <v>0</v>
      </c>
      <c r="AO28" s="762">
        <v>0</v>
      </c>
      <c r="AP28" s="633"/>
      <c r="AQ28" s="760">
        <v>13343.589992032805</v>
      </c>
      <c r="AR28" s="761">
        <v>13343.589992032805</v>
      </c>
      <c r="AS28" s="761">
        <v>13343.589992032805</v>
      </c>
      <c r="AT28" s="761">
        <v>13141.661322574084</v>
      </c>
      <c r="AU28" s="761">
        <v>10116.675836750601</v>
      </c>
      <c r="AV28" s="761">
        <v>0</v>
      </c>
      <c r="AW28" s="761">
        <v>0</v>
      </c>
      <c r="AX28" s="761">
        <v>0</v>
      </c>
      <c r="AY28" s="761">
        <v>0</v>
      </c>
      <c r="AZ28" s="761">
        <v>0</v>
      </c>
      <c r="BA28" s="761">
        <v>0</v>
      </c>
      <c r="BB28" s="761">
        <v>0</v>
      </c>
      <c r="BC28" s="761">
        <v>0</v>
      </c>
      <c r="BD28" s="761">
        <v>0</v>
      </c>
      <c r="BE28" s="761">
        <v>0</v>
      </c>
      <c r="BF28" s="761">
        <v>0</v>
      </c>
      <c r="BG28" s="761">
        <v>0</v>
      </c>
      <c r="BH28" s="761">
        <v>0</v>
      </c>
      <c r="BI28" s="761">
        <v>0</v>
      </c>
      <c r="BJ28" s="761">
        <v>0</v>
      </c>
      <c r="BK28" s="761">
        <v>0</v>
      </c>
      <c r="BL28" s="761">
        <v>0</v>
      </c>
      <c r="BM28" s="761">
        <v>0</v>
      </c>
      <c r="BN28" s="761">
        <v>0</v>
      </c>
      <c r="BO28" s="761">
        <v>0</v>
      </c>
      <c r="BP28" s="761">
        <v>0</v>
      </c>
      <c r="BQ28" s="761">
        <v>0</v>
      </c>
      <c r="BR28" s="761">
        <v>0</v>
      </c>
      <c r="BS28" s="761">
        <v>0</v>
      </c>
      <c r="BT28" s="762">
        <v>0</v>
      </c>
      <c r="BU28" s="16"/>
    </row>
    <row r="29" spans="2:73" s="17" customFormat="1" ht="16.5" customHeight="1">
      <c r="B29" s="759" t="s">
        <v>766</v>
      </c>
      <c r="C29" s="759" t="s">
        <v>767</v>
      </c>
      <c r="D29" s="759" t="s">
        <v>5</v>
      </c>
      <c r="E29" s="759" t="s">
        <v>747</v>
      </c>
      <c r="F29" s="759" t="s">
        <v>29</v>
      </c>
      <c r="G29" s="759" t="s">
        <v>768</v>
      </c>
      <c r="H29" s="759">
        <v>2011</v>
      </c>
      <c r="I29" s="644" t="s">
        <v>566</v>
      </c>
      <c r="J29" s="644" t="s">
        <v>584</v>
      </c>
      <c r="K29" s="633"/>
      <c r="L29" s="760">
        <v>1.4132902044704729</v>
      </c>
      <c r="M29" s="761">
        <v>1.4132902044704729</v>
      </c>
      <c r="N29" s="761">
        <v>1.4132902044704729</v>
      </c>
      <c r="O29" s="761">
        <v>1.4132902044704729</v>
      </c>
      <c r="P29" s="761">
        <v>1.314848037179684</v>
      </c>
      <c r="Q29" s="761">
        <v>1.2073041160886684</v>
      </c>
      <c r="R29" s="761">
        <v>0.97656746014641405</v>
      </c>
      <c r="S29" s="761">
        <v>0.9702091622284984</v>
      </c>
      <c r="T29" s="761">
        <v>1.1761952506103031</v>
      </c>
      <c r="U29" s="761">
        <v>0.55794737125698979</v>
      </c>
      <c r="V29" s="761">
        <v>7.9345436046461659E-2</v>
      </c>
      <c r="W29" s="761">
        <v>7.9312432183643769E-2</v>
      </c>
      <c r="X29" s="761">
        <v>7.9312432183643769E-2</v>
      </c>
      <c r="Y29" s="761">
        <v>7.3615989804000664E-2</v>
      </c>
      <c r="Z29" s="761">
        <v>7.3615989804000664E-2</v>
      </c>
      <c r="AA29" s="761">
        <v>6.213462435327146E-2</v>
      </c>
      <c r="AB29" s="761">
        <v>0</v>
      </c>
      <c r="AC29" s="761">
        <v>0</v>
      </c>
      <c r="AD29" s="761">
        <v>0</v>
      </c>
      <c r="AE29" s="761">
        <v>0</v>
      </c>
      <c r="AF29" s="761">
        <v>0</v>
      </c>
      <c r="AG29" s="761">
        <v>0</v>
      </c>
      <c r="AH29" s="761">
        <v>0</v>
      </c>
      <c r="AI29" s="761">
        <v>0</v>
      </c>
      <c r="AJ29" s="761">
        <v>0</v>
      </c>
      <c r="AK29" s="761">
        <v>0</v>
      </c>
      <c r="AL29" s="761">
        <v>0</v>
      </c>
      <c r="AM29" s="761">
        <v>0</v>
      </c>
      <c r="AN29" s="761">
        <v>0</v>
      </c>
      <c r="AO29" s="762">
        <v>0</v>
      </c>
      <c r="AP29" s="633"/>
      <c r="AQ29" s="760">
        <v>24700.304699847838</v>
      </c>
      <c r="AR29" s="761">
        <v>24700.304699847838</v>
      </c>
      <c r="AS29" s="761">
        <v>24700.304699847838</v>
      </c>
      <c r="AT29" s="761">
        <v>24700.304699847838</v>
      </c>
      <c r="AU29" s="761">
        <v>22574.25944631996</v>
      </c>
      <c r="AV29" s="761">
        <v>20251.644562131762</v>
      </c>
      <c r="AW29" s="761">
        <v>15268.448989731694</v>
      </c>
      <c r="AX29" s="761">
        <v>15212.750299970754</v>
      </c>
      <c r="AY29" s="761">
        <v>19661.410437686831</v>
      </c>
      <c r="AZ29" s="761">
        <v>6309.1752565971346</v>
      </c>
      <c r="BA29" s="761">
        <v>2271.7298937337418</v>
      </c>
      <c r="BB29" s="761">
        <v>1999.7403088755761</v>
      </c>
      <c r="BC29" s="761">
        <v>1999.7403088755761</v>
      </c>
      <c r="BD29" s="761">
        <v>1476.8922105708975</v>
      </c>
      <c r="BE29" s="761">
        <v>1476.8922105708975</v>
      </c>
      <c r="BF29" s="761">
        <v>1341.9150230185064</v>
      </c>
      <c r="BG29" s="761">
        <v>0</v>
      </c>
      <c r="BH29" s="761">
        <v>0</v>
      </c>
      <c r="BI29" s="761">
        <v>0</v>
      </c>
      <c r="BJ29" s="761">
        <v>0</v>
      </c>
      <c r="BK29" s="761">
        <v>0</v>
      </c>
      <c r="BL29" s="761">
        <v>0</v>
      </c>
      <c r="BM29" s="761">
        <v>0</v>
      </c>
      <c r="BN29" s="761">
        <v>0</v>
      </c>
      <c r="BO29" s="761">
        <v>0</v>
      </c>
      <c r="BP29" s="761">
        <v>0</v>
      </c>
      <c r="BQ29" s="761">
        <v>0</v>
      </c>
      <c r="BR29" s="761">
        <v>0</v>
      </c>
      <c r="BS29" s="761">
        <v>0</v>
      </c>
      <c r="BT29" s="762">
        <v>0</v>
      </c>
      <c r="BU29" s="16"/>
    </row>
    <row r="30" spans="2:73" s="17" customFormat="1" ht="15.75">
      <c r="B30" s="759" t="s">
        <v>766</v>
      </c>
      <c r="C30" s="759" t="s">
        <v>767</v>
      </c>
      <c r="D30" s="759" t="s">
        <v>5</v>
      </c>
      <c r="E30" s="759" t="s">
        <v>747</v>
      </c>
      <c r="F30" s="759" t="s">
        <v>29</v>
      </c>
      <c r="G30" s="759" t="s">
        <v>768</v>
      </c>
      <c r="H30" s="759">
        <v>2011</v>
      </c>
      <c r="I30" s="644" t="s">
        <v>567</v>
      </c>
      <c r="J30" s="644" t="s">
        <v>577</v>
      </c>
      <c r="K30" s="633"/>
      <c r="L30" s="760">
        <v>9.0660256434712413E-2</v>
      </c>
      <c r="M30" s="761">
        <v>9.0660256434712413E-2</v>
      </c>
      <c r="N30" s="761">
        <v>9.0660256434712413E-2</v>
      </c>
      <c r="O30" s="761">
        <v>9.0660256434712413E-2</v>
      </c>
      <c r="P30" s="761">
        <v>9.0660256434712413E-2</v>
      </c>
      <c r="Q30" s="761">
        <v>8.2903369332395907E-2</v>
      </c>
      <c r="R30" s="761">
        <v>4.7375459998657221E-2</v>
      </c>
      <c r="S30" s="761">
        <v>4.7354521634050226E-2</v>
      </c>
      <c r="T30" s="761">
        <v>4.7354521634050226E-2</v>
      </c>
      <c r="U30" s="761">
        <v>1.4869782043559512E-2</v>
      </c>
      <c r="V30" s="761">
        <v>6.1782101340015034E-3</v>
      </c>
      <c r="W30" s="761">
        <v>6.1765562821904955E-3</v>
      </c>
      <c r="X30" s="761">
        <v>6.1765562821904955E-3</v>
      </c>
      <c r="Y30" s="761">
        <v>5.8925600842529196E-3</v>
      </c>
      <c r="Z30" s="761">
        <v>5.8925600842529196E-3</v>
      </c>
      <c r="AA30" s="761">
        <v>5.8795562667989998E-3</v>
      </c>
      <c r="AB30" s="761">
        <v>0</v>
      </c>
      <c r="AC30" s="761">
        <v>0</v>
      </c>
      <c r="AD30" s="761">
        <v>0</v>
      </c>
      <c r="AE30" s="761">
        <v>0</v>
      </c>
      <c r="AF30" s="761">
        <v>0</v>
      </c>
      <c r="AG30" s="761">
        <v>0</v>
      </c>
      <c r="AH30" s="761">
        <v>0</v>
      </c>
      <c r="AI30" s="761">
        <v>0</v>
      </c>
      <c r="AJ30" s="761">
        <v>0</v>
      </c>
      <c r="AK30" s="761">
        <v>0</v>
      </c>
      <c r="AL30" s="761">
        <v>0</v>
      </c>
      <c r="AM30" s="761">
        <v>0</v>
      </c>
      <c r="AN30" s="761">
        <v>0</v>
      </c>
      <c r="AO30" s="762">
        <v>0</v>
      </c>
      <c r="AP30" s="633"/>
      <c r="AQ30" s="760">
        <v>1835.1501569101656</v>
      </c>
      <c r="AR30" s="761">
        <v>1835.1501569101656</v>
      </c>
      <c r="AS30" s="761">
        <v>1835.1501569101656</v>
      </c>
      <c r="AT30" s="761">
        <v>1835.1501569101656</v>
      </c>
      <c r="AU30" s="761">
        <v>1835.1501569101656</v>
      </c>
      <c r="AV30" s="761">
        <v>1667.6254725204228</v>
      </c>
      <c r="AW30" s="761">
        <v>900.33290790587284</v>
      </c>
      <c r="AX30" s="761">
        <v>900.14948783191562</v>
      </c>
      <c r="AY30" s="761">
        <v>900.14948783191562</v>
      </c>
      <c r="AZ30" s="761">
        <v>198.57994381280255</v>
      </c>
      <c r="BA30" s="761">
        <v>166.82926952607212</v>
      </c>
      <c r="BB30" s="761">
        <v>153.19963865602935</v>
      </c>
      <c r="BC30" s="761">
        <v>153.19963865602935</v>
      </c>
      <c r="BD30" s="761">
        <v>127.13304092337155</v>
      </c>
      <c r="BE30" s="761">
        <v>127.13304092337155</v>
      </c>
      <c r="BF30" s="761">
        <v>126.98016549101054</v>
      </c>
      <c r="BG30" s="761">
        <v>0</v>
      </c>
      <c r="BH30" s="761">
        <v>0</v>
      </c>
      <c r="BI30" s="761">
        <v>0</v>
      </c>
      <c r="BJ30" s="761">
        <v>0</v>
      </c>
      <c r="BK30" s="761">
        <v>0</v>
      </c>
      <c r="BL30" s="761">
        <v>0</v>
      </c>
      <c r="BM30" s="761">
        <v>0</v>
      </c>
      <c r="BN30" s="761">
        <v>0</v>
      </c>
      <c r="BO30" s="761">
        <v>0</v>
      </c>
      <c r="BP30" s="761">
        <v>0</v>
      </c>
      <c r="BQ30" s="761">
        <v>0</v>
      </c>
      <c r="BR30" s="761">
        <v>0</v>
      </c>
      <c r="BS30" s="761">
        <v>0</v>
      </c>
      <c r="BT30" s="762">
        <v>0</v>
      </c>
      <c r="BU30" s="16"/>
    </row>
    <row r="31" spans="2:73" s="17" customFormat="1" ht="15.75">
      <c r="B31" s="759" t="s">
        <v>766</v>
      </c>
      <c r="C31" s="759" t="s">
        <v>767</v>
      </c>
      <c r="D31" s="759" t="s">
        <v>4</v>
      </c>
      <c r="E31" s="759" t="s">
        <v>747</v>
      </c>
      <c r="F31" s="759" t="s">
        <v>29</v>
      </c>
      <c r="G31" s="759" t="s">
        <v>768</v>
      </c>
      <c r="H31" s="759">
        <v>2011</v>
      </c>
      <c r="I31" s="644" t="s">
        <v>566</v>
      </c>
      <c r="J31" s="644" t="s">
        <v>584</v>
      </c>
      <c r="K31" s="633"/>
      <c r="L31" s="760">
        <v>0.96713611739315808</v>
      </c>
      <c r="M31" s="761">
        <v>0.96713611739315808</v>
      </c>
      <c r="N31" s="761">
        <v>0.96713611739315808</v>
      </c>
      <c r="O31" s="761">
        <v>0.96713611739315808</v>
      </c>
      <c r="P31" s="761">
        <v>0.90917215698942377</v>
      </c>
      <c r="Q31" s="761">
        <v>0.84584897186116192</v>
      </c>
      <c r="R31" s="761">
        <v>0.71456874536530879</v>
      </c>
      <c r="S31" s="761">
        <v>0.70703971322758641</v>
      </c>
      <c r="T31" s="761">
        <v>0.82832685875958245</v>
      </c>
      <c r="U31" s="761">
        <v>0.46429489375142036</v>
      </c>
      <c r="V31" s="761">
        <v>6.0591488141707277E-2</v>
      </c>
      <c r="W31" s="761">
        <v>6.0546889976095933E-2</v>
      </c>
      <c r="X31" s="761">
        <v>6.0546889976095933E-2</v>
      </c>
      <c r="Y31" s="761">
        <v>5.94846647595361E-2</v>
      </c>
      <c r="Z31" s="761">
        <v>5.94846647595361E-2</v>
      </c>
      <c r="AA31" s="761">
        <v>5.666156784655868E-2</v>
      </c>
      <c r="AB31" s="761">
        <v>0</v>
      </c>
      <c r="AC31" s="761">
        <v>0</v>
      </c>
      <c r="AD31" s="761">
        <v>0</v>
      </c>
      <c r="AE31" s="761">
        <v>0</v>
      </c>
      <c r="AF31" s="761">
        <v>0</v>
      </c>
      <c r="AG31" s="761">
        <v>0</v>
      </c>
      <c r="AH31" s="761">
        <v>0</v>
      </c>
      <c r="AI31" s="761">
        <v>0</v>
      </c>
      <c r="AJ31" s="761">
        <v>0</v>
      </c>
      <c r="AK31" s="761">
        <v>0</v>
      </c>
      <c r="AL31" s="761">
        <v>0</v>
      </c>
      <c r="AM31" s="761">
        <v>0</v>
      </c>
      <c r="AN31" s="761">
        <v>0</v>
      </c>
      <c r="AO31" s="762">
        <v>0</v>
      </c>
      <c r="AP31" s="633"/>
      <c r="AQ31" s="760">
        <v>15770.737320741542</v>
      </c>
      <c r="AR31" s="761">
        <v>15770.737320741542</v>
      </c>
      <c r="AS31" s="761">
        <v>15770.737320741542</v>
      </c>
      <c r="AT31" s="761">
        <v>15770.737320741542</v>
      </c>
      <c r="AU31" s="761">
        <v>14518.895693484235</v>
      </c>
      <c r="AV31" s="761">
        <v>13151.31144696384</v>
      </c>
      <c r="AW31" s="761">
        <v>10316.066042429868</v>
      </c>
      <c r="AX31" s="761">
        <v>10250.11172090342</v>
      </c>
      <c r="AY31" s="761">
        <v>12869.537594681124</v>
      </c>
      <c r="AZ31" s="761">
        <v>5007.5770889573914</v>
      </c>
      <c r="BA31" s="761">
        <v>1721.9391423702602</v>
      </c>
      <c r="BB31" s="761">
        <v>1354.3992390262065</v>
      </c>
      <c r="BC31" s="761">
        <v>1354.3992390262065</v>
      </c>
      <c r="BD31" s="761">
        <v>1256.9028724458462</v>
      </c>
      <c r="BE31" s="761">
        <v>1256.9028724458462</v>
      </c>
      <c r="BF31" s="761">
        <v>1223.7139905888255</v>
      </c>
      <c r="BG31" s="761">
        <v>0</v>
      </c>
      <c r="BH31" s="761">
        <v>0</v>
      </c>
      <c r="BI31" s="761">
        <v>0</v>
      </c>
      <c r="BJ31" s="761">
        <v>0</v>
      </c>
      <c r="BK31" s="761">
        <v>0</v>
      </c>
      <c r="BL31" s="761">
        <v>0</v>
      </c>
      <c r="BM31" s="761">
        <v>0</v>
      </c>
      <c r="BN31" s="761">
        <v>0</v>
      </c>
      <c r="BO31" s="761">
        <v>0</v>
      </c>
      <c r="BP31" s="761">
        <v>0</v>
      </c>
      <c r="BQ31" s="761">
        <v>0</v>
      </c>
      <c r="BR31" s="761">
        <v>0</v>
      </c>
      <c r="BS31" s="761">
        <v>0</v>
      </c>
      <c r="BT31" s="762">
        <v>0</v>
      </c>
      <c r="BU31" s="16"/>
    </row>
    <row r="32" spans="2:73" s="17" customFormat="1" ht="15.75">
      <c r="B32" s="759" t="s">
        <v>766</v>
      </c>
      <c r="C32" s="759" t="s">
        <v>767</v>
      </c>
      <c r="D32" s="759" t="s">
        <v>4</v>
      </c>
      <c r="E32" s="759" t="s">
        <v>747</v>
      </c>
      <c r="F32" s="759" t="s">
        <v>29</v>
      </c>
      <c r="G32" s="759" t="s">
        <v>768</v>
      </c>
      <c r="H32" s="759">
        <v>2011</v>
      </c>
      <c r="I32" s="644" t="s">
        <v>567</v>
      </c>
      <c r="J32" s="644" t="s">
        <v>577</v>
      </c>
      <c r="K32" s="633"/>
      <c r="L32" s="760">
        <v>1.353127784187831E-2</v>
      </c>
      <c r="M32" s="761">
        <v>1.353127784187831E-2</v>
      </c>
      <c r="N32" s="761">
        <v>1.353127784187831E-2</v>
      </c>
      <c r="O32" s="761">
        <v>1.353127784187831E-2</v>
      </c>
      <c r="P32" s="761">
        <v>1.353127784187831E-2</v>
      </c>
      <c r="Q32" s="761">
        <v>1.2605253510215665E-2</v>
      </c>
      <c r="R32" s="761">
        <v>8.8167422171363946E-3</v>
      </c>
      <c r="S32" s="761">
        <v>8.796557144381106E-3</v>
      </c>
      <c r="T32" s="761">
        <v>8.796557144381106E-3</v>
      </c>
      <c r="U32" s="761">
        <v>4.9184989914481236E-3</v>
      </c>
      <c r="V32" s="761">
        <v>6.5015881933138038E-4</v>
      </c>
      <c r="W32" s="761">
        <v>6.4947302477932054E-4</v>
      </c>
      <c r="X32" s="761">
        <v>6.4947302477932054E-4</v>
      </c>
      <c r="Y32" s="761">
        <v>6.3260997029614E-4</v>
      </c>
      <c r="Z32" s="761">
        <v>6.3260997029614E-4</v>
      </c>
      <c r="AA32" s="761">
        <v>6.2103990098065877E-4</v>
      </c>
      <c r="AB32" s="761">
        <v>0</v>
      </c>
      <c r="AC32" s="761">
        <v>0</v>
      </c>
      <c r="AD32" s="761">
        <v>0</v>
      </c>
      <c r="AE32" s="761">
        <v>0</v>
      </c>
      <c r="AF32" s="761">
        <v>0</v>
      </c>
      <c r="AG32" s="761">
        <v>0</v>
      </c>
      <c r="AH32" s="761">
        <v>0</v>
      </c>
      <c r="AI32" s="761">
        <v>0</v>
      </c>
      <c r="AJ32" s="761">
        <v>0</v>
      </c>
      <c r="AK32" s="761">
        <v>0</v>
      </c>
      <c r="AL32" s="761">
        <v>0</v>
      </c>
      <c r="AM32" s="761">
        <v>0</v>
      </c>
      <c r="AN32" s="761">
        <v>0</v>
      </c>
      <c r="AO32" s="762">
        <v>0</v>
      </c>
      <c r="AP32" s="633"/>
      <c r="AQ32" s="760">
        <v>231.689431189977</v>
      </c>
      <c r="AR32" s="761">
        <v>231.689431189977</v>
      </c>
      <c r="AS32" s="761">
        <v>231.689431189977</v>
      </c>
      <c r="AT32" s="761">
        <v>231.689431189977</v>
      </c>
      <c r="AU32" s="761">
        <v>231.689431189977</v>
      </c>
      <c r="AV32" s="761">
        <v>211.69017996293795</v>
      </c>
      <c r="AW32" s="761">
        <v>129.87009539698573</v>
      </c>
      <c r="AX32" s="761">
        <v>129.69327415964941</v>
      </c>
      <c r="AY32" s="761">
        <v>129.69327415964941</v>
      </c>
      <c r="AZ32" s="761">
        <v>45.939255370185691</v>
      </c>
      <c r="BA32" s="761">
        <v>20.748061676824811</v>
      </c>
      <c r="BB32" s="761">
        <v>15.096330043408566</v>
      </c>
      <c r="BC32" s="761">
        <v>15.096330043408566</v>
      </c>
      <c r="BD32" s="761">
        <v>13.548554189544571</v>
      </c>
      <c r="BE32" s="761">
        <v>13.548554189544571</v>
      </c>
      <c r="BF32" s="761">
        <v>13.412534181933831</v>
      </c>
      <c r="BG32" s="761">
        <v>0</v>
      </c>
      <c r="BH32" s="761">
        <v>0</v>
      </c>
      <c r="BI32" s="761">
        <v>0</v>
      </c>
      <c r="BJ32" s="761">
        <v>0</v>
      </c>
      <c r="BK32" s="761">
        <v>0</v>
      </c>
      <c r="BL32" s="761">
        <v>0</v>
      </c>
      <c r="BM32" s="761">
        <v>0</v>
      </c>
      <c r="BN32" s="761">
        <v>0</v>
      </c>
      <c r="BO32" s="761">
        <v>0</v>
      </c>
      <c r="BP32" s="761">
        <v>0</v>
      </c>
      <c r="BQ32" s="761">
        <v>0</v>
      </c>
      <c r="BR32" s="761">
        <v>0</v>
      </c>
      <c r="BS32" s="761">
        <v>0</v>
      </c>
      <c r="BT32" s="762">
        <v>0</v>
      </c>
      <c r="BU32" s="16"/>
    </row>
    <row r="33" spans="2:73" s="17" customFormat="1" ht="15.75">
      <c r="B33" s="759" t="s">
        <v>766</v>
      </c>
      <c r="C33" s="759" t="s">
        <v>769</v>
      </c>
      <c r="D33" s="759" t="s">
        <v>21</v>
      </c>
      <c r="E33" s="759" t="s">
        <v>747</v>
      </c>
      <c r="F33" s="759" t="s">
        <v>770</v>
      </c>
      <c r="G33" s="759" t="s">
        <v>768</v>
      </c>
      <c r="H33" s="759">
        <v>2011</v>
      </c>
      <c r="I33" s="644" t="s">
        <v>566</v>
      </c>
      <c r="J33" s="644" t="s">
        <v>584</v>
      </c>
      <c r="K33" s="633"/>
      <c r="L33" s="760">
        <v>2.4160712191013309</v>
      </c>
      <c r="M33" s="761">
        <v>2.4160712191013309</v>
      </c>
      <c r="N33" s="761">
        <v>2.4160712191013309</v>
      </c>
      <c r="O33" s="761">
        <v>2.4160712191013309</v>
      </c>
      <c r="P33" s="761">
        <v>2.4160712191013309</v>
      </c>
      <c r="Q33" s="761">
        <v>2.4160712191013309</v>
      </c>
      <c r="R33" s="761">
        <v>0.37445071349925246</v>
      </c>
      <c r="S33" s="761">
        <v>0.37445071349925246</v>
      </c>
      <c r="T33" s="761">
        <v>0.37445071349925246</v>
      </c>
      <c r="U33" s="761">
        <v>0.37445071349925246</v>
      </c>
      <c r="V33" s="761">
        <v>0.37445071349925246</v>
      </c>
      <c r="W33" s="761">
        <v>0.37445071349925246</v>
      </c>
      <c r="X33" s="761">
        <v>0</v>
      </c>
      <c r="Y33" s="761">
        <v>0</v>
      </c>
      <c r="Z33" s="761">
        <v>0</v>
      </c>
      <c r="AA33" s="761">
        <v>0</v>
      </c>
      <c r="AB33" s="761">
        <v>0</v>
      </c>
      <c r="AC33" s="761">
        <v>0</v>
      </c>
      <c r="AD33" s="761">
        <v>0</v>
      </c>
      <c r="AE33" s="761">
        <v>0</v>
      </c>
      <c r="AF33" s="761">
        <v>0</v>
      </c>
      <c r="AG33" s="761">
        <v>0</v>
      </c>
      <c r="AH33" s="761">
        <v>0</v>
      </c>
      <c r="AI33" s="761">
        <v>0</v>
      </c>
      <c r="AJ33" s="761">
        <v>0</v>
      </c>
      <c r="AK33" s="761">
        <v>0</v>
      </c>
      <c r="AL33" s="761">
        <v>0</v>
      </c>
      <c r="AM33" s="761">
        <v>0</v>
      </c>
      <c r="AN33" s="761">
        <v>0</v>
      </c>
      <c r="AO33" s="762">
        <v>0</v>
      </c>
      <c r="AP33" s="633"/>
      <c r="AQ33" s="760">
        <v>5986.3738864668394</v>
      </c>
      <c r="AR33" s="761">
        <v>5986.3738864668394</v>
      </c>
      <c r="AS33" s="761">
        <v>5986.3738864668394</v>
      </c>
      <c r="AT33" s="761">
        <v>5986.3738864668394</v>
      </c>
      <c r="AU33" s="761">
        <v>5986.3738864668394</v>
      </c>
      <c r="AV33" s="761">
        <v>5986.3738864668394</v>
      </c>
      <c r="AW33" s="761">
        <v>927.78337474374803</v>
      </c>
      <c r="AX33" s="761">
        <v>927.78337474374803</v>
      </c>
      <c r="AY33" s="761">
        <v>927.78337474374803</v>
      </c>
      <c r="AZ33" s="761">
        <v>927.78337474374803</v>
      </c>
      <c r="BA33" s="761">
        <v>927.78337474374803</v>
      </c>
      <c r="BB33" s="761">
        <v>927.78337474374803</v>
      </c>
      <c r="BC33" s="761">
        <v>0</v>
      </c>
      <c r="BD33" s="761">
        <v>0</v>
      </c>
      <c r="BE33" s="761">
        <v>0</v>
      </c>
      <c r="BF33" s="761">
        <v>0</v>
      </c>
      <c r="BG33" s="761">
        <v>0</v>
      </c>
      <c r="BH33" s="761">
        <v>0</v>
      </c>
      <c r="BI33" s="761">
        <v>0</v>
      </c>
      <c r="BJ33" s="761">
        <v>0</v>
      </c>
      <c r="BK33" s="761">
        <v>0</v>
      </c>
      <c r="BL33" s="761">
        <v>0</v>
      </c>
      <c r="BM33" s="761">
        <v>0</v>
      </c>
      <c r="BN33" s="761">
        <v>0</v>
      </c>
      <c r="BO33" s="761">
        <v>0</v>
      </c>
      <c r="BP33" s="761">
        <v>0</v>
      </c>
      <c r="BQ33" s="761">
        <v>0</v>
      </c>
      <c r="BR33" s="761">
        <v>0</v>
      </c>
      <c r="BS33" s="761">
        <v>0</v>
      </c>
      <c r="BT33" s="762">
        <v>0</v>
      </c>
      <c r="BU33" s="16"/>
    </row>
    <row r="34" spans="2:73" s="17" customFormat="1" ht="15.75">
      <c r="B34" s="759" t="s">
        <v>766</v>
      </c>
      <c r="C34" s="759" t="s">
        <v>771</v>
      </c>
      <c r="D34" s="759" t="s">
        <v>17</v>
      </c>
      <c r="E34" s="759" t="s">
        <v>747</v>
      </c>
      <c r="F34" s="759" t="s">
        <v>770</v>
      </c>
      <c r="G34" s="759" t="s">
        <v>768</v>
      </c>
      <c r="H34" s="759">
        <v>2011</v>
      </c>
      <c r="I34" s="644" t="s">
        <v>566</v>
      </c>
      <c r="J34" s="644" t="s">
        <v>584</v>
      </c>
      <c r="K34" s="633"/>
      <c r="L34" s="760">
        <v>3.3896609523937457E-2</v>
      </c>
      <c r="M34" s="761">
        <v>3.3896609523937457E-2</v>
      </c>
      <c r="N34" s="761">
        <v>3.3896609523937457E-2</v>
      </c>
      <c r="O34" s="761">
        <v>3.3896609523937457E-2</v>
      </c>
      <c r="P34" s="761">
        <v>3.3896609523937457E-2</v>
      </c>
      <c r="Q34" s="761">
        <v>3.3896609523937457E-2</v>
      </c>
      <c r="R34" s="761">
        <v>3.3896609523937457E-2</v>
      </c>
      <c r="S34" s="761">
        <v>3.3896609523937457E-2</v>
      </c>
      <c r="T34" s="761">
        <v>3.3896609523937457E-2</v>
      </c>
      <c r="U34" s="761">
        <v>3.3896609523937457E-2</v>
      </c>
      <c r="V34" s="761">
        <v>3.3896609523937457E-2</v>
      </c>
      <c r="W34" s="761">
        <v>3.3896609523937457E-2</v>
      </c>
      <c r="X34" s="761">
        <v>3.3896609523937457E-2</v>
      </c>
      <c r="Y34" s="761">
        <v>3.3896609523937457E-2</v>
      </c>
      <c r="Z34" s="761">
        <v>3.3896609523937457E-2</v>
      </c>
      <c r="AA34" s="761">
        <v>3.3896609523937457E-2</v>
      </c>
      <c r="AB34" s="761">
        <v>3.3896609523937457E-2</v>
      </c>
      <c r="AC34" s="761">
        <v>3.3896609523937457E-2</v>
      </c>
      <c r="AD34" s="761">
        <v>3.3896609523937457E-2</v>
      </c>
      <c r="AE34" s="761">
        <v>3.3896609523937457E-2</v>
      </c>
      <c r="AF34" s="761">
        <v>3.3896609523937457E-2</v>
      </c>
      <c r="AG34" s="761">
        <v>3.3896609523937457E-2</v>
      </c>
      <c r="AH34" s="761">
        <v>3.3896609523937457E-2</v>
      </c>
      <c r="AI34" s="761">
        <v>3.3896609523937457E-2</v>
      </c>
      <c r="AJ34" s="761">
        <v>3.3896609523937457E-2</v>
      </c>
      <c r="AK34" s="761">
        <v>3.3896609523937457E-2</v>
      </c>
      <c r="AL34" s="761">
        <v>0</v>
      </c>
      <c r="AM34" s="761">
        <v>0</v>
      </c>
      <c r="AN34" s="761">
        <v>0</v>
      </c>
      <c r="AO34" s="762">
        <v>0</v>
      </c>
      <c r="AP34" s="633"/>
      <c r="AQ34" s="760">
        <v>174.09298651494277</v>
      </c>
      <c r="AR34" s="761">
        <v>174.09298651494277</v>
      </c>
      <c r="AS34" s="761">
        <v>174.09298651494277</v>
      </c>
      <c r="AT34" s="761">
        <v>174.09298651494277</v>
      </c>
      <c r="AU34" s="761">
        <v>174.09298651494277</v>
      </c>
      <c r="AV34" s="761">
        <v>174.09298651494277</v>
      </c>
      <c r="AW34" s="761">
        <v>174.09298651494277</v>
      </c>
      <c r="AX34" s="761">
        <v>174.09298651494277</v>
      </c>
      <c r="AY34" s="761">
        <v>174.09298651494277</v>
      </c>
      <c r="AZ34" s="761">
        <v>174.09298651494277</v>
      </c>
      <c r="BA34" s="761">
        <v>174.09298651494277</v>
      </c>
      <c r="BB34" s="761">
        <v>174.09298651494277</v>
      </c>
      <c r="BC34" s="761">
        <v>174.09298651494277</v>
      </c>
      <c r="BD34" s="761">
        <v>174.09298651494277</v>
      </c>
      <c r="BE34" s="761">
        <v>174.09298651494277</v>
      </c>
      <c r="BF34" s="761">
        <v>174.09298651494277</v>
      </c>
      <c r="BG34" s="761">
        <v>174.09298651494277</v>
      </c>
      <c r="BH34" s="761">
        <v>174.09298651494277</v>
      </c>
      <c r="BI34" s="761">
        <v>174.09298651494277</v>
      </c>
      <c r="BJ34" s="761">
        <v>174.09298651494277</v>
      </c>
      <c r="BK34" s="761">
        <v>174.09298651494277</v>
      </c>
      <c r="BL34" s="761">
        <v>174.09298651494277</v>
      </c>
      <c r="BM34" s="761">
        <v>174.09298651494277</v>
      </c>
      <c r="BN34" s="761">
        <v>174.09298651494277</v>
      </c>
      <c r="BO34" s="761">
        <v>174.09298651494277</v>
      </c>
      <c r="BP34" s="761">
        <v>174.09298651494277</v>
      </c>
      <c r="BQ34" s="761">
        <v>0</v>
      </c>
      <c r="BR34" s="761">
        <v>0</v>
      </c>
      <c r="BS34" s="761">
        <v>0</v>
      </c>
      <c r="BT34" s="762">
        <v>0</v>
      </c>
      <c r="BU34" s="16"/>
    </row>
    <row r="35" spans="2:73" s="17" customFormat="1" ht="15.75">
      <c r="B35" s="759" t="s">
        <v>766</v>
      </c>
      <c r="C35" s="759" t="s">
        <v>771</v>
      </c>
      <c r="D35" s="759" t="s">
        <v>17</v>
      </c>
      <c r="E35" s="759" t="s">
        <v>747</v>
      </c>
      <c r="F35" s="759" t="s">
        <v>772</v>
      </c>
      <c r="G35" s="759" t="s">
        <v>768</v>
      </c>
      <c r="H35" s="759">
        <v>2011</v>
      </c>
      <c r="I35" s="644" t="s">
        <v>567</v>
      </c>
      <c r="J35" s="644" t="s">
        <v>577</v>
      </c>
      <c r="K35" s="633"/>
      <c r="L35" s="760">
        <v>0</v>
      </c>
      <c r="M35" s="761">
        <v>0</v>
      </c>
      <c r="N35" s="761">
        <v>0</v>
      </c>
      <c r="O35" s="761">
        <v>0</v>
      </c>
      <c r="P35" s="761">
        <v>0</v>
      </c>
      <c r="Q35" s="761">
        <v>0</v>
      </c>
      <c r="R35" s="761">
        <v>0</v>
      </c>
      <c r="S35" s="761">
        <v>0</v>
      </c>
      <c r="T35" s="761">
        <v>0</v>
      </c>
      <c r="U35" s="761">
        <v>0</v>
      </c>
      <c r="V35" s="761">
        <v>0</v>
      </c>
      <c r="W35" s="761">
        <v>0</v>
      </c>
      <c r="X35" s="761">
        <v>0</v>
      </c>
      <c r="Y35" s="761">
        <v>0</v>
      </c>
      <c r="Z35" s="761">
        <v>0</v>
      </c>
      <c r="AA35" s="761">
        <v>0</v>
      </c>
      <c r="AB35" s="761">
        <v>0</v>
      </c>
      <c r="AC35" s="761">
        <v>0</v>
      </c>
      <c r="AD35" s="761">
        <v>0</v>
      </c>
      <c r="AE35" s="761">
        <v>0</v>
      </c>
      <c r="AF35" s="761">
        <v>0</v>
      </c>
      <c r="AG35" s="761">
        <v>0</v>
      </c>
      <c r="AH35" s="761">
        <v>0</v>
      </c>
      <c r="AI35" s="761">
        <v>0</v>
      </c>
      <c r="AJ35" s="761">
        <v>0</v>
      </c>
      <c r="AK35" s="761">
        <v>0</v>
      </c>
      <c r="AL35" s="761">
        <v>0</v>
      </c>
      <c r="AM35" s="761">
        <v>0</v>
      </c>
      <c r="AN35" s="761">
        <v>0</v>
      </c>
      <c r="AO35" s="762">
        <v>0</v>
      </c>
      <c r="AP35" s="633"/>
      <c r="AQ35" s="760">
        <v>0</v>
      </c>
      <c r="AR35" s="761">
        <v>0</v>
      </c>
      <c r="AS35" s="761">
        <v>0</v>
      </c>
      <c r="AT35" s="761">
        <v>0</v>
      </c>
      <c r="AU35" s="761">
        <v>0</v>
      </c>
      <c r="AV35" s="761">
        <v>0</v>
      </c>
      <c r="AW35" s="761">
        <v>0</v>
      </c>
      <c r="AX35" s="761">
        <v>0</v>
      </c>
      <c r="AY35" s="761">
        <v>0</v>
      </c>
      <c r="AZ35" s="761">
        <v>0</v>
      </c>
      <c r="BA35" s="761">
        <v>0</v>
      </c>
      <c r="BB35" s="761">
        <v>0</v>
      </c>
      <c r="BC35" s="761">
        <v>0</v>
      </c>
      <c r="BD35" s="761">
        <v>0</v>
      </c>
      <c r="BE35" s="761">
        <v>0</v>
      </c>
      <c r="BF35" s="761">
        <v>0</v>
      </c>
      <c r="BG35" s="761">
        <v>0</v>
      </c>
      <c r="BH35" s="761">
        <v>0</v>
      </c>
      <c r="BI35" s="761">
        <v>0</v>
      </c>
      <c r="BJ35" s="761">
        <v>0</v>
      </c>
      <c r="BK35" s="761">
        <v>0</v>
      </c>
      <c r="BL35" s="761">
        <v>0</v>
      </c>
      <c r="BM35" s="761">
        <v>0</v>
      </c>
      <c r="BN35" s="761">
        <v>0</v>
      </c>
      <c r="BO35" s="761">
        <v>0</v>
      </c>
      <c r="BP35" s="761">
        <v>0</v>
      </c>
      <c r="BQ35" s="761">
        <v>0</v>
      </c>
      <c r="BR35" s="761">
        <v>0</v>
      </c>
      <c r="BS35" s="761">
        <v>0</v>
      </c>
      <c r="BT35" s="762">
        <v>0</v>
      </c>
      <c r="BU35" s="16"/>
    </row>
    <row r="36" spans="2:73" s="17" customFormat="1" ht="15.75">
      <c r="B36" s="759" t="s">
        <v>766</v>
      </c>
      <c r="C36" s="759" t="s">
        <v>767</v>
      </c>
      <c r="D36" s="759" t="s">
        <v>3</v>
      </c>
      <c r="E36" s="759" t="s">
        <v>747</v>
      </c>
      <c r="F36" s="759" t="s">
        <v>29</v>
      </c>
      <c r="G36" s="759" t="s">
        <v>768</v>
      </c>
      <c r="H36" s="759">
        <v>2011</v>
      </c>
      <c r="I36" s="644" t="s">
        <v>566</v>
      </c>
      <c r="J36" s="644" t="s">
        <v>584</v>
      </c>
      <c r="K36" s="633"/>
      <c r="L36" s="760">
        <v>0.71595642664905335</v>
      </c>
      <c r="M36" s="761">
        <v>0.71595642664905335</v>
      </c>
      <c r="N36" s="761">
        <v>0.71595642664905335</v>
      </c>
      <c r="O36" s="761">
        <v>0.71595642664905335</v>
      </c>
      <c r="P36" s="761">
        <v>0.71595642664905335</v>
      </c>
      <c r="Q36" s="761">
        <v>0.71595642664905335</v>
      </c>
      <c r="R36" s="761">
        <v>0.71595642664905335</v>
      </c>
      <c r="S36" s="761">
        <v>0.71595642664905335</v>
      </c>
      <c r="T36" s="761">
        <v>0.71595642664905335</v>
      </c>
      <c r="U36" s="761">
        <v>0.71595642664905335</v>
      </c>
      <c r="V36" s="761">
        <v>0.71595642664905335</v>
      </c>
      <c r="W36" s="761">
        <v>0.71595642664905335</v>
      </c>
      <c r="X36" s="761">
        <v>0.71595642664905335</v>
      </c>
      <c r="Y36" s="761">
        <v>0.71595642664905335</v>
      </c>
      <c r="Z36" s="761">
        <v>0.71595642664905335</v>
      </c>
      <c r="AA36" s="761">
        <v>0.71595642664905335</v>
      </c>
      <c r="AB36" s="761">
        <v>0.71595642664905335</v>
      </c>
      <c r="AC36" s="761">
        <v>0.71595642664905335</v>
      </c>
      <c r="AD36" s="761">
        <v>0.66151162025220323</v>
      </c>
      <c r="AE36" s="761">
        <v>0</v>
      </c>
      <c r="AF36" s="761">
        <v>0</v>
      </c>
      <c r="AG36" s="761">
        <v>0</v>
      </c>
      <c r="AH36" s="761">
        <v>0</v>
      </c>
      <c r="AI36" s="761">
        <v>0</v>
      </c>
      <c r="AJ36" s="761">
        <v>0</v>
      </c>
      <c r="AK36" s="761">
        <v>0</v>
      </c>
      <c r="AL36" s="761">
        <v>0</v>
      </c>
      <c r="AM36" s="761">
        <v>0</v>
      </c>
      <c r="AN36" s="761">
        <v>0</v>
      </c>
      <c r="AO36" s="762">
        <v>0</v>
      </c>
      <c r="AP36" s="633"/>
      <c r="AQ36" s="760">
        <v>1408.0164354835238</v>
      </c>
      <c r="AR36" s="761">
        <v>1408.0164354835238</v>
      </c>
      <c r="AS36" s="761">
        <v>1408.0164354835238</v>
      </c>
      <c r="AT36" s="761">
        <v>1408.0164354835238</v>
      </c>
      <c r="AU36" s="761">
        <v>1408.0164354835238</v>
      </c>
      <c r="AV36" s="761">
        <v>1408.0164354835238</v>
      </c>
      <c r="AW36" s="761">
        <v>1408.0164354835238</v>
      </c>
      <c r="AX36" s="761">
        <v>1408.0164354835238</v>
      </c>
      <c r="AY36" s="761">
        <v>1408.0164354835238</v>
      </c>
      <c r="AZ36" s="761">
        <v>1408.0164354835238</v>
      </c>
      <c r="BA36" s="761">
        <v>1408.0164354835238</v>
      </c>
      <c r="BB36" s="761">
        <v>1408.0164354835238</v>
      </c>
      <c r="BC36" s="761">
        <v>1408.0164354835238</v>
      </c>
      <c r="BD36" s="761">
        <v>1408.0164354835238</v>
      </c>
      <c r="BE36" s="761">
        <v>1408.0164354835238</v>
      </c>
      <c r="BF36" s="761">
        <v>1408.0164354835238</v>
      </c>
      <c r="BG36" s="761">
        <v>1408.0164354835238</v>
      </c>
      <c r="BH36" s="761">
        <v>1408.0164354835238</v>
      </c>
      <c r="BI36" s="761">
        <v>1359.3275074251485</v>
      </c>
      <c r="BJ36" s="761">
        <v>0</v>
      </c>
      <c r="BK36" s="761">
        <v>0</v>
      </c>
      <c r="BL36" s="761">
        <v>0</v>
      </c>
      <c r="BM36" s="761">
        <v>0</v>
      </c>
      <c r="BN36" s="761">
        <v>0</v>
      </c>
      <c r="BO36" s="761">
        <v>0</v>
      </c>
      <c r="BP36" s="761">
        <v>0</v>
      </c>
      <c r="BQ36" s="761">
        <v>0</v>
      </c>
      <c r="BR36" s="761">
        <v>0</v>
      </c>
      <c r="BS36" s="761">
        <v>0</v>
      </c>
      <c r="BT36" s="762">
        <v>0</v>
      </c>
      <c r="BU36" s="16"/>
    </row>
    <row r="37" spans="2:73" s="17" customFormat="1" ht="15.75">
      <c r="B37" s="759" t="s">
        <v>766</v>
      </c>
      <c r="C37" s="759" t="s">
        <v>767</v>
      </c>
      <c r="D37" s="759" t="s">
        <v>3</v>
      </c>
      <c r="E37" s="759" t="s">
        <v>747</v>
      </c>
      <c r="F37" s="759" t="s">
        <v>29</v>
      </c>
      <c r="G37" s="759" t="s">
        <v>768</v>
      </c>
      <c r="H37" s="759">
        <v>2011</v>
      </c>
      <c r="I37" s="644" t="s">
        <v>567</v>
      </c>
      <c r="J37" s="644" t="s">
        <v>577</v>
      </c>
      <c r="K37" s="633"/>
      <c r="L37" s="760">
        <v>-7.8664701978848631E-2</v>
      </c>
      <c r="M37" s="761">
        <v>-7.8664701978848631E-2</v>
      </c>
      <c r="N37" s="761">
        <v>-7.8664701978848631E-2</v>
      </c>
      <c r="O37" s="761">
        <v>-7.8664701978848631E-2</v>
      </c>
      <c r="P37" s="761">
        <v>-7.8664701978848631E-2</v>
      </c>
      <c r="Q37" s="761">
        <v>-7.8664701978848631E-2</v>
      </c>
      <c r="R37" s="761">
        <v>-7.8664701978848631E-2</v>
      </c>
      <c r="S37" s="761">
        <v>-7.8664701978848631E-2</v>
      </c>
      <c r="T37" s="761">
        <v>-7.8664701978848631E-2</v>
      </c>
      <c r="U37" s="761">
        <v>-7.8664701978848631E-2</v>
      </c>
      <c r="V37" s="761">
        <v>-7.8664701978848631E-2</v>
      </c>
      <c r="W37" s="761">
        <v>-7.8664701978848631E-2</v>
      </c>
      <c r="X37" s="761">
        <v>-7.8664701978848631E-2</v>
      </c>
      <c r="Y37" s="761">
        <v>-7.8664701978848631E-2</v>
      </c>
      <c r="Z37" s="761">
        <v>-7.8664701978848631E-2</v>
      </c>
      <c r="AA37" s="761">
        <v>-7.8664701978848631E-2</v>
      </c>
      <c r="AB37" s="761">
        <v>-7.8664701978848631E-2</v>
      </c>
      <c r="AC37" s="761">
        <v>-7.8664701978848631E-2</v>
      </c>
      <c r="AD37" s="761">
        <v>-6.4902772618596116E-2</v>
      </c>
      <c r="AE37" s="761">
        <v>0</v>
      </c>
      <c r="AF37" s="761">
        <v>0</v>
      </c>
      <c r="AG37" s="761">
        <v>0</v>
      </c>
      <c r="AH37" s="761">
        <v>0</v>
      </c>
      <c r="AI37" s="761">
        <v>0</v>
      </c>
      <c r="AJ37" s="761">
        <v>0</v>
      </c>
      <c r="AK37" s="761">
        <v>0</v>
      </c>
      <c r="AL37" s="761">
        <v>0</v>
      </c>
      <c r="AM37" s="761">
        <v>0</v>
      </c>
      <c r="AN37" s="761">
        <v>0</v>
      </c>
      <c r="AO37" s="762">
        <v>0</v>
      </c>
      <c r="AP37" s="633"/>
      <c r="AQ37" s="760">
        <v>-145.74320761595263</v>
      </c>
      <c r="AR37" s="761">
        <v>-145.74320761595263</v>
      </c>
      <c r="AS37" s="761">
        <v>-145.74320761595263</v>
      </c>
      <c r="AT37" s="761">
        <v>-145.74320761595263</v>
      </c>
      <c r="AU37" s="761">
        <v>-145.74320761595263</v>
      </c>
      <c r="AV37" s="761">
        <v>-145.74320761595263</v>
      </c>
      <c r="AW37" s="761">
        <v>-145.74320761595263</v>
      </c>
      <c r="AX37" s="761">
        <v>-145.74320761595263</v>
      </c>
      <c r="AY37" s="761">
        <v>-145.74320761595263</v>
      </c>
      <c r="AZ37" s="761">
        <v>-145.74320761595263</v>
      </c>
      <c r="BA37" s="761">
        <v>-145.74320761595263</v>
      </c>
      <c r="BB37" s="761">
        <v>-145.74320761595263</v>
      </c>
      <c r="BC37" s="761">
        <v>-145.74320761595263</v>
      </c>
      <c r="BD37" s="761">
        <v>-145.74320761595263</v>
      </c>
      <c r="BE37" s="761">
        <v>-145.74320761595263</v>
      </c>
      <c r="BF37" s="761">
        <v>-145.74320761595263</v>
      </c>
      <c r="BG37" s="761">
        <v>-145.74320761595263</v>
      </c>
      <c r="BH37" s="761">
        <v>-145.74320761595263</v>
      </c>
      <c r="BI37" s="761">
        <v>-133.45763051315873</v>
      </c>
      <c r="BJ37" s="761">
        <v>0</v>
      </c>
      <c r="BK37" s="761">
        <v>0</v>
      </c>
      <c r="BL37" s="761">
        <v>0</v>
      </c>
      <c r="BM37" s="761">
        <v>0</v>
      </c>
      <c r="BN37" s="761">
        <v>0</v>
      </c>
      <c r="BO37" s="761">
        <v>0</v>
      </c>
      <c r="BP37" s="761">
        <v>0</v>
      </c>
      <c r="BQ37" s="761">
        <v>0</v>
      </c>
      <c r="BR37" s="761">
        <v>0</v>
      </c>
      <c r="BS37" s="761">
        <v>0</v>
      </c>
      <c r="BT37" s="762">
        <v>0</v>
      </c>
      <c r="BU37" s="16"/>
    </row>
    <row r="38" spans="2:73" s="17" customFormat="1" ht="15.75">
      <c r="B38" s="759" t="s">
        <v>766</v>
      </c>
      <c r="C38" s="759" t="s">
        <v>767</v>
      </c>
      <c r="D38" s="759" t="s">
        <v>6</v>
      </c>
      <c r="E38" s="759" t="s">
        <v>747</v>
      </c>
      <c r="F38" s="759" t="s">
        <v>29</v>
      </c>
      <c r="G38" s="759" t="s">
        <v>768</v>
      </c>
      <c r="H38" s="759">
        <v>2011</v>
      </c>
      <c r="I38" s="644" t="s">
        <v>566</v>
      </c>
      <c r="J38" s="644" t="s">
        <v>584</v>
      </c>
      <c r="K38" s="633"/>
      <c r="L38" s="760">
        <v>0</v>
      </c>
      <c r="M38" s="761">
        <v>0</v>
      </c>
      <c r="N38" s="761">
        <v>0</v>
      </c>
      <c r="O38" s="761">
        <v>0</v>
      </c>
      <c r="P38" s="761">
        <v>0</v>
      </c>
      <c r="Q38" s="761">
        <v>0</v>
      </c>
      <c r="R38" s="761">
        <v>0</v>
      </c>
      <c r="S38" s="761">
        <v>0</v>
      </c>
      <c r="T38" s="761">
        <v>0</v>
      </c>
      <c r="U38" s="761">
        <v>0</v>
      </c>
      <c r="V38" s="761">
        <v>0</v>
      </c>
      <c r="W38" s="761">
        <v>0</v>
      </c>
      <c r="X38" s="761">
        <v>0</v>
      </c>
      <c r="Y38" s="761">
        <v>0</v>
      </c>
      <c r="Z38" s="761">
        <v>0</v>
      </c>
      <c r="AA38" s="761">
        <v>0</v>
      </c>
      <c r="AB38" s="761">
        <v>0</v>
      </c>
      <c r="AC38" s="761">
        <v>0</v>
      </c>
      <c r="AD38" s="761">
        <v>0</v>
      </c>
      <c r="AE38" s="761">
        <v>0</v>
      </c>
      <c r="AF38" s="761">
        <v>0</v>
      </c>
      <c r="AG38" s="761">
        <v>0</v>
      </c>
      <c r="AH38" s="761">
        <v>0</v>
      </c>
      <c r="AI38" s="761">
        <v>0</v>
      </c>
      <c r="AJ38" s="761">
        <v>0</v>
      </c>
      <c r="AK38" s="761">
        <v>0</v>
      </c>
      <c r="AL38" s="761">
        <v>0</v>
      </c>
      <c r="AM38" s="761">
        <v>0</v>
      </c>
      <c r="AN38" s="761">
        <v>0</v>
      </c>
      <c r="AO38" s="762">
        <v>0</v>
      </c>
      <c r="AP38" s="633"/>
      <c r="AQ38" s="760">
        <v>0</v>
      </c>
      <c r="AR38" s="761">
        <v>0</v>
      </c>
      <c r="AS38" s="761">
        <v>0</v>
      </c>
      <c r="AT38" s="761">
        <v>0</v>
      </c>
      <c r="AU38" s="761">
        <v>0</v>
      </c>
      <c r="AV38" s="761">
        <v>0</v>
      </c>
      <c r="AW38" s="761">
        <v>0</v>
      </c>
      <c r="AX38" s="761">
        <v>0</v>
      </c>
      <c r="AY38" s="761">
        <v>0</v>
      </c>
      <c r="AZ38" s="761">
        <v>0</v>
      </c>
      <c r="BA38" s="761">
        <v>0</v>
      </c>
      <c r="BB38" s="761">
        <v>0</v>
      </c>
      <c r="BC38" s="761">
        <v>0</v>
      </c>
      <c r="BD38" s="761">
        <v>0</v>
      </c>
      <c r="BE38" s="761">
        <v>0</v>
      </c>
      <c r="BF38" s="761">
        <v>0</v>
      </c>
      <c r="BG38" s="761">
        <v>0</v>
      </c>
      <c r="BH38" s="761">
        <v>0</v>
      </c>
      <c r="BI38" s="761">
        <v>0</v>
      </c>
      <c r="BJ38" s="761">
        <v>0</v>
      </c>
      <c r="BK38" s="761">
        <v>0</v>
      </c>
      <c r="BL38" s="761">
        <v>0</v>
      </c>
      <c r="BM38" s="761">
        <v>0</v>
      </c>
      <c r="BN38" s="761">
        <v>0</v>
      </c>
      <c r="BO38" s="761">
        <v>0</v>
      </c>
      <c r="BP38" s="761">
        <v>0</v>
      </c>
      <c r="BQ38" s="761">
        <v>0</v>
      </c>
      <c r="BR38" s="761">
        <v>0</v>
      </c>
      <c r="BS38" s="761">
        <v>0</v>
      </c>
      <c r="BT38" s="762">
        <v>0</v>
      </c>
      <c r="BU38" s="16"/>
    </row>
    <row r="39" spans="2:73" s="17" customFormat="1" ht="15.75">
      <c r="B39" s="759" t="s">
        <v>766</v>
      </c>
      <c r="C39" s="759" t="s">
        <v>767</v>
      </c>
      <c r="D39" s="759" t="s">
        <v>2</v>
      </c>
      <c r="E39" s="759" t="s">
        <v>747</v>
      </c>
      <c r="F39" s="759" t="s">
        <v>29</v>
      </c>
      <c r="G39" s="759" t="s">
        <v>768</v>
      </c>
      <c r="H39" s="759">
        <v>2012</v>
      </c>
      <c r="I39" s="644" t="s">
        <v>567</v>
      </c>
      <c r="J39" s="644" t="s">
        <v>584</v>
      </c>
      <c r="K39" s="633"/>
      <c r="L39" s="760">
        <v>0</v>
      </c>
      <c r="M39" s="761">
        <v>4.6606663417811708E-2</v>
      </c>
      <c r="N39" s="761">
        <v>4.6606663417811708E-2</v>
      </c>
      <c r="O39" s="761">
        <v>4.6606663417811708E-2</v>
      </c>
      <c r="P39" s="761">
        <v>4.4819835997522352E-2</v>
      </c>
      <c r="Q39" s="761">
        <v>0</v>
      </c>
      <c r="R39" s="761">
        <v>0</v>
      </c>
      <c r="S39" s="761">
        <v>0</v>
      </c>
      <c r="T39" s="761">
        <v>0</v>
      </c>
      <c r="U39" s="761">
        <v>0</v>
      </c>
      <c r="V39" s="761">
        <v>0</v>
      </c>
      <c r="W39" s="761">
        <v>0</v>
      </c>
      <c r="X39" s="761">
        <v>0</v>
      </c>
      <c r="Y39" s="761">
        <v>0</v>
      </c>
      <c r="Z39" s="761">
        <v>0</v>
      </c>
      <c r="AA39" s="761">
        <v>0</v>
      </c>
      <c r="AB39" s="761">
        <v>0</v>
      </c>
      <c r="AC39" s="761">
        <v>0</v>
      </c>
      <c r="AD39" s="761">
        <v>0</v>
      </c>
      <c r="AE39" s="761">
        <v>0</v>
      </c>
      <c r="AF39" s="761">
        <v>0</v>
      </c>
      <c r="AG39" s="761">
        <v>0</v>
      </c>
      <c r="AH39" s="761">
        <v>0</v>
      </c>
      <c r="AI39" s="761">
        <v>0</v>
      </c>
      <c r="AJ39" s="761">
        <v>0</v>
      </c>
      <c r="AK39" s="761">
        <v>0</v>
      </c>
      <c r="AL39" s="761">
        <v>0</v>
      </c>
      <c r="AM39" s="761">
        <v>0</v>
      </c>
      <c r="AN39" s="761">
        <v>0</v>
      </c>
      <c r="AO39" s="762">
        <v>0</v>
      </c>
      <c r="AP39" s="633"/>
      <c r="AQ39" s="760">
        <v>0</v>
      </c>
      <c r="AR39" s="761">
        <v>81.514414638021861</v>
      </c>
      <c r="AS39" s="761">
        <v>81.514414638021861</v>
      </c>
      <c r="AT39" s="761">
        <v>81.514414638021861</v>
      </c>
      <c r="AU39" s="761">
        <v>79.916536319078816</v>
      </c>
      <c r="AV39" s="761">
        <v>0</v>
      </c>
      <c r="AW39" s="761">
        <v>0</v>
      </c>
      <c r="AX39" s="761">
        <v>0</v>
      </c>
      <c r="AY39" s="761">
        <v>0</v>
      </c>
      <c r="AZ39" s="761">
        <v>0</v>
      </c>
      <c r="BA39" s="761">
        <v>0</v>
      </c>
      <c r="BB39" s="761">
        <v>0</v>
      </c>
      <c r="BC39" s="761">
        <v>0</v>
      </c>
      <c r="BD39" s="761">
        <v>0</v>
      </c>
      <c r="BE39" s="761">
        <v>0</v>
      </c>
      <c r="BF39" s="761">
        <v>0</v>
      </c>
      <c r="BG39" s="761">
        <v>0</v>
      </c>
      <c r="BH39" s="761">
        <v>0</v>
      </c>
      <c r="BI39" s="761">
        <v>0</v>
      </c>
      <c r="BJ39" s="761">
        <v>0</v>
      </c>
      <c r="BK39" s="761">
        <v>0</v>
      </c>
      <c r="BL39" s="761">
        <v>0</v>
      </c>
      <c r="BM39" s="761">
        <v>0</v>
      </c>
      <c r="BN39" s="761">
        <v>0</v>
      </c>
      <c r="BO39" s="761">
        <v>0</v>
      </c>
      <c r="BP39" s="761">
        <v>0</v>
      </c>
      <c r="BQ39" s="761">
        <v>0</v>
      </c>
      <c r="BR39" s="761">
        <v>0</v>
      </c>
      <c r="BS39" s="761">
        <v>0</v>
      </c>
      <c r="BT39" s="762">
        <v>0</v>
      </c>
      <c r="BU39" s="16"/>
    </row>
    <row r="40" spans="2:73" s="17" customFormat="1" ht="15.75">
      <c r="B40" s="759" t="s">
        <v>766</v>
      </c>
      <c r="C40" s="759" t="s">
        <v>767</v>
      </c>
      <c r="D40" s="759" t="s">
        <v>1</v>
      </c>
      <c r="E40" s="759" t="s">
        <v>747</v>
      </c>
      <c r="F40" s="759" t="s">
        <v>29</v>
      </c>
      <c r="G40" s="759" t="s">
        <v>768</v>
      </c>
      <c r="H40" s="759">
        <v>2012</v>
      </c>
      <c r="I40" s="644" t="s">
        <v>567</v>
      </c>
      <c r="J40" s="644" t="s">
        <v>584</v>
      </c>
      <c r="K40" s="633"/>
      <c r="L40" s="760">
        <v>0</v>
      </c>
      <c r="M40" s="761">
        <v>1.3993541791475068</v>
      </c>
      <c r="N40" s="761">
        <v>1.3993541791475068</v>
      </c>
      <c r="O40" s="761">
        <v>1.3993541791475068</v>
      </c>
      <c r="P40" s="761">
        <v>1.3993541791475068</v>
      </c>
      <c r="Q40" s="761">
        <v>1.2763559640889865</v>
      </c>
      <c r="R40" s="761">
        <v>0</v>
      </c>
      <c r="S40" s="761">
        <v>0</v>
      </c>
      <c r="T40" s="761">
        <v>0</v>
      </c>
      <c r="U40" s="761">
        <v>0</v>
      </c>
      <c r="V40" s="761">
        <v>0</v>
      </c>
      <c r="W40" s="761">
        <v>0</v>
      </c>
      <c r="X40" s="761">
        <v>0</v>
      </c>
      <c r="Y40" s="761">
        <v>0</v>
      </c>
      <c r="Z40" s="761">
        <v>0</v>
      </c>
      <c r="AA40" s="761">
        <v>0</v>
      </c>
      <c r="AB40" s="761">
        <v>0</v>
      </c>
      <c r="AC40" s="761">
        <v>0</v>
      </c>
      <c r="AD40" s="761">
        <v>0</v>
      </c>
      <c r="AE40" s="761">
        <v>0</v>
      </c>
      <c r="AF40" s="761">
        <v>0</v>
      </c>
      <c r="AG40" s="761">
        <v>0</v>
      </c>
      <c r="AH40" s="761">
        <v>0</v>
      </c>
      <c r="AI40" s="761">
        <v>0</v>
      </c>
      <c r="AJ40" s="761">
        <v>0</v>
      </c>
      <c r="AK40" s="761">
        <v>0</v>
      </c>
      <c r="AL40" s="761">
        <v>0</v>
      </c>
      <c r="AM40" s="761">
        <v>0</v>
      </c>
      <c r="AN40" s="761">
        <v>0</v>
      </c>
      <c r="AO40" s="762">
        <v>0</v>
      </c>
      <c r="AP40" s="633"/>
      <c r="AQ40" s="760">
        <v>0</v>
      </c>
      <c r="AR40" s="761">
        <v>10613.496736147417</v>
      </c>
      <c r="AS40" s="761">
        <v>10613.496736147417</v>
      </c>
      <c r="AT40" s="761">
        <v>10613.496736147417</v>
      </c>
      <c r="AU40" s="761">
        <v>10613.496736147417</v>
      </c>
      <c r="AV40" s="761">
        <v>9707.6258725595853</v>
      </c>
      <c r="AW40" s="761">
        <v>0</v>
      </c>
      <c r="AX40" s="761">
        <v>0</v>
      </c>
      <c r="AY40" s="761">
        <v>0</v>
      </c>
      <c r="AZ40" s="761">
        <v>0</v>
      </c>
      <c r="BA40" s="761">
        <v>0</v>
      </c>
      <c r="BB40" s="761">
        <v>0</v>
      </c>
      <c r="BC40" s="761">
        <v>0</v>
      </c>
      <c r="BD40" s="761">
        <v>0</v>
      </c>
      <c r="BE40" s="761">
        <v>0</v>
      </c>
      <c r="BF40" s="761">
        <v>0</v>
      </c>
      <c r="BG40" s="761">
        <v>0</v>
      </c>
      <c r="BH40" s="761">
        <v>0</v>
      </c>
      <c r="BI40" s="761">
        <v>0</v>
      </c>
      <c r="BJ40" s="761">
        <v>0</v>
      </c>
      <c r="BK40" s="761">
        <v>0</v>
      </c>
      <c r="BL40" s="761">
        <v>0</v>
      </c>
      <c r="BM40" s="761">
        <v>0</v>
      </c>
      <c r="BN40" s="761">
        <v>0</v>
      </c>
      <c r="BO40" s="761">
        <v>0</v>
      </c>
      <c r="BP40" s="761">
        <v>0</v>
      </c>
      <c r="BQ40" s="761">
        <v>0</v>
      </c>
      <c r="BR40" s="761">
        <v>0</v>
      </c>
      <c r="BS40" s="761">
        <v>0</v>
      </c>
      <c r="BT40" s="762">
        <v>0</v>
      </c>
      <c r="BU40" s="16"/>
    </row>
    <row r="41" spans="2:73" s="17" customFormat="1" ht="15.75">
      <c r="B41" s="759" t="s">
        <v>766</v>
      </c>
      <c r="C41" s="759" t="s">
        <v>767</v>
      </c>
      <c r="D41" s="759" t="s">
        <v>5</v>
      </c>
      <c r="E41" s="759" t="s">
        <v>747</v>
      </c>
      <c r="F41" s="759" t="s">
        <v>29</v>
      </c>
      <c r="G41" s="759" t="s">
        <v>768</v>
      </c>
      <c r="H41" s="759">
        <v>2012</v>
      </c>
      <c r="I41" s="644" t="s">
        <v>567</v>
      </c>
      <c r="J41" s="644" t="s">
        <v>584</v>
      </c>
      <c r="K41" s="633"/>
      <c r="L41" s="760">
        <v>0</v>
      </c>
      <c r="M41" s="761">
        <v>1.2439329487902082</v>
      </c>
      <c r="N41" s="761">
        <v>1.2439329487902082</v>
      </c>
      <c r="O41" s="761">
        <v>1.2439329487902082</v>
      </c>
      <c r="P41" s="761">
        <v>1.2439329487902082</v>
      </c>
      <c r="Q41" s="761">
        <v>1.1385958503118667</v>
      </c>
      <c r="R41" s="761">
        <v>0.96352040621138513</v>
      </c>
      <c r="S41" s="761">
        <v>0.72132308006983292</v>
      </c>
      <c r="T41" s="761">
        <v>0.71865985649163677</v>
      </c>
      <c r="U41" s="761">
        <v>0.71865985649163677</v>
      </c>
      <c r="V41" s="761">
        <v>0.46347166801104644</v>
      </c>
      <c r="W41" s="761">
        <v>0.1813282883622836</v>
      </c>
      <c r="X41" s="761">
        <v>0.18131236740719278</v>
      </c>
      <c r="Y41" s="761">
        <v>0.18131236740719278</v>
      </c>
      <c r="Z41" s="761">
        <v>0.17820091325813023</v>
      </c>
      <c r="AA41" s="761">
        <v>0.17820091325813023</v>
      </c>
      <c r="AB41" s="761">
        <v>0.17377339664716898</v>
      </c>
      <c r="AC41" s="761">
        <v>4.8757463232674998E-2</v>
      </c>
      <c r="AD41" s="761">
        <v>4.8757463232674998E-2</v>
      </c>
      <c r="AE41" s="761">
        <v>4.8757463232674998E-2</v>
      </c>
      <c r="AF41" s="761">
        <v>4.8757463232674998E-2</v>
      </c>
      <c r="AG41" s="761">
        <v>0</v>
      </c>
      <c r="AH41" s="761">
        <v>0</v>
      </c>
      <c r="AI41" s="761">
        <v>0</v>
      </c>
      <c r="AJ41" s="761">
        <v>0</v>
      </c>
      <c r="AK41" s="761">
        <v>0</v>
      </c>
      <c r="AL41" s="761">
        <v>0</v>
      </c>
      <c r="AM41" s="761">
        <v>0</v>
      </c>
      <c r="AN41" s="761">
        <v>0</v>
      </c>
      <c r="AO41" s="762">
        <v>0</v>
      </c>
      <c r="AP41" s="633"/>
      <c r="AQ41" s="760">
        <v>0</v>
      </c>
      <c r="AR41" s="761">
        <v>22510.122492356404</v>
      </c>
      <c r="AS41" s="761">
        <v>22510.122492356404</v>
      </c>
      <c r="AT41" s="761">
        <v>22510.122492356404</v>
      </c>
      <c r="AU41" s="761">
        <v>22510.122492356404</v>
      </c>
      <c r="AV41" s="761">
        <v>20235.168126726221</v>
      </c>
      <c r="AW41" s="761">
        <v>16454.081960270578</v>
      </c>
      <c r="AX41" s="761">
        <v>11223.37148495813</v>
      </c>
      <c r="AY41" s="761">
        <v>11200.041646413132</v>
      </c>
      <c r="AZ41" s="761">
        <v>11200.041646413132</v>
      </c>
      <c r="BA41" s="761">
        <v>5688.7688676158023</v>
      </c>
      <c r="BB41" s="761">
        <v>4221.8085134287094</v>
      </c>
      <c r="BC41" s="761">
        <v>4090.601630477182</v>
      </c>
      <c r="BD41" s="761">
        <v>4090.601630477182</v>
      </c>
      <c r="BE41" s="761">
        <v>3805.0167379461541</v>
      </c>
      <c r="BF41" s="761">
        <v>3805.0167379461541</v>
      </c>
      <c r="BG41" s="761">
        <v>3752.9659829594211</v>
      </c>
      <c r="BH41" s="761">
        <v>1053.0098649056079</v>
      </c>
      <c r="BI41" s="761">
        <v>1053.0098649056079</v>
      </c>
      <c r="BJ41" s="761">
        <v>1053.0098649056079</v>
      </c>
      <c r="BK41" s="761">
        <v>1053.0098649056079</v>
      </c>
      <c r="BL41" s="761">
        <v>0</v>
      </c>
      <c r="BM41" s="761">
        <v>0</v>
      </c>
      <c r="BN41" s="761">
        <v>0</v>
      </c>
      <c r="BO41" s="761">
        <v>0</v>
      </c>
      <c r="BP41" s="761">
        <v>0</v>
      </c>
      <c r="BQ41" s="761">
        <v>0</v>
      </c>
      <c r="BR41" s="761">
        <v>0</v>
      </c>
      <c r="BS41" s="761">
        <v>0</v>
      </c>
      <c r="BT41" s="762">
        <v>0</v>
      </c>
      <c r="BU41" s="16"/>
    </row>
    <row r="42" spans="2:73" s="17" customFormat="1" ht="15.75">
      <c r="B42" s="759" t="s">
        <v>773</v>
      </c>
      <c r="C42" s="759" t="s">
        <v>767</v>
      </c>
      <c r="D42" s="759" t="s">
        <v>4</v>
      </c>
      <c r="E42" s="759" t="s">
        <v>747</v>
      </c>
      <c r="F42" s="759" t="s">
        <v>29</v>
      </c>
      <c r="G42" s="759" t="s">
        <v>768</v>
      </c>
      <c r="H42" s="759">
        <v>2012</v>
      </c>
      <c r="I42" s="644" t="s">
        <v>567</v>
      </c>
      <c r="J42" s="644" t="s">
        <v>584</v>
      </c>
      <c r="K42" s="633"/>
      <c r="L42" s="760">
        <v>0</v>
      </c>
      <c r="M42" s="761">
        <v>0.19366536072512533</v>
      </c>
      <c r="N42" s="761">
        <v>0.19366536072512533</v>
      </c>
      <c r="O42" s="761">
        <v>0.19366536072512533</v>
      </c>
      <c r="P42" s="761">
        <v>0.19366536072512533</v>
      </c>
      <c r="Q42" s="761">
        <v>0.19284785747842975</v>
      </c>
      <c r="R42" s="761">
        <v>0.19284785747842975</v>
      </c>
      <c r="S42" s="761">
        <v>0.16448923730402029</v>
      </c>
      <c r="T42" s="761">
        <v>0.16414582163209501</v>
      </c>
      <c r="U42" s="761">
        <v>0.16414582163209501</v>
      </c>
      <c r="V42" s="761">
        <v>0.16414582163209501</v>
      </c>
      <c r="W42" s="761">
        <v>3.0194112422624068E-3</v>
      </c>
      <c r="X42" s="761">
        <v>3.0173318179929766E-3</v>
      </c>
      <c r="Y42" s="761">
        <v>3.0173318179929766E-3</v>
      </c>
      <c r="Z42" s="761">
        <v>2.9086803984133998E-3</v>
      </c>
      <c r="AA42" s="761">
        <v>2.9086803984133998E-3</v>
      </c>
      <c r="AB42" s="761">
        <v>2.7169375530568104E-3</v>
      </c>
      <c r="AC42" s="761">
        <v>0</v>
      </c>
      <c r="AD42" s="761">
        <v>0</v>
      </c>
      <c r="AE42" s="761">
        <v>0</v>
      </c>
      <c r="AF42" s="761">
        <v>0</v>
      </c>
      <c r="AG42" s="761">
        <v>0</v>
      </c>
      <c r="AH42" s="761">
        <v>0</v>
      </c>
      <c r="AI42" s="761">
        <v>0</v>
      </c>
      <c r="AJ42" s="761">
        <v>0</v>
      </c>
      <c r="AK42" s="761">
        <v>0</v>
      </c>
      <c r="AL42" s="761">
        <v>0</v>
      </c>
      <c r="AM42" s="761">
        <v>0</v>
      </c>
      <c r="AN42" s="761">
        <v>0</v>
      </c>
      <c r="AO42" s="762">
        <v>0</v>
      </c>
      <c r="AP42" s="633"/>
      <c r="AQ42" s="760">
        <v>0</v>
      </c>
      <c r="AR42" s="761">
        <v>1175.1951980203241</v>
      </c>
      <c r="AS42" s="761">
        <v>1175.1951980203241</v>
      </c>
      <c r="AT42" s="761">
        <v>1175.1951980203241</v>
      </c>
      <c r="AU42" s="761">
        <v>1175.1951980203241</v>
      </c>
      <c r="AV42" s="761">
        <v>1157.5396653841246</v>
      </c>
      <c r="AW42" s="761">
        <v>1157.5396653841246</v>
      </c>
      <c r="AX42" s="761">
        <v>545.08149346774235</v>
      </c>
      <c r="AY42" s="761">
        <v>542.0731721816768</v>
      </c>
      <c r="AZ42" s="761">
        <v>542.0731721816768</v>
      </c>
      <c r="BA42" s="761">
        <v>542.0731721816768</v>
      </c>
      <c r="BB42" s="761">
        <v>88.040992329951479</v>
      </c>
      <c r="BC42" s="761">
        <v>70.904157562842073</v>
      </c>
      <c r="BD42" s="761">
        <v>70.904157562842073</v>
      </c>
      <c r="BE42" s="761">
        <v>60.931584451544381</v>
      </c>
      <c r="BF42" s="761">
        <v>60.931584451544381</v>
      </c>
      <c r="BG42" s="761">
        <v>58.677417897000836</v>
      </c>
      <c r="BH42" s="761">
        <v>0</v>
      </c>
      <c r="BI42" s="761">
        <v>0</v>
      </c>
      <c r="BJ42" s="761">
        <v>0</v>
      </c>
      <c r="BK42" s="761">
        <v>0</v>
      </c>
      <c r="BL42" s="761">
        <v>0</v>
      </c>
      <c r="BM42" s="761">
        <v>0</v>
      </c>
      <c r="BN42" s="761">
        <v>0</v>
      </c>
      <c r="BO42" s="761">
        <v>0</v>
      </c>
      <c r="BP42" s="761">
        <v>0</v>
      </c>
      <c r="BQ42" s="761">
        <v>0</v>
      </c>
      <c r="BR42" s="761">
        <v>0</v>
      </c>
      <c r="BS42" s="761">
        <v>0</v>
      </c>
      <c r="BT42" s="762">
        <v>0</v>
      </c>
      <c r="BU42" s="16"/>
    </row>
    <row r="43" spans="2:73" s="17" customFormat="1" ht="15.75">
      <c r="B43" s="759" t="s">
        <v>773</v>
      </c>
      <c r="C43" s="759" t="s">
        <v>769</v>
      </c>
      <c r="D43" s="759" t="s">
        <v>21</v>
      </c>
      <c r="E43" s="759" t="s">
        <v>747</v>
      </c>
      <c r="F43" s="759" t="s">
        <v>772</v>
      </c>
      <c r="G43" s="759" t="s">
        <v>768</v>
      </c>
      <c r="H43" s="759">
        <v>2012</v>
      </c>
      <c r="I43" s="644" t="s">
        <v>567</v>
      </c>
      <c r="J43" s="644" t="s">
        <v>584</v>
      </c>
      <c r="K43" s="633"/>
      <c r="L43" s="760">
        <v>0</v>
      </c>
      <c r="M43" s="761">
        <v>14.936983217107015</v>
      </c>
      <c r="N43" s="761">
        <v>14.936983217107015</v>
      </c>
      <c r="O43" s="761">
        <v>14.936983217107015</v>
      </c>
      <c r="P43" s="761">
        <v>13.023303290678335</v>
      </c>
      <c r="Q43" s="761">
        <v>13.023303290678335</v>
      </c>
      <c r="R43" s="761">
        <v>3.4824117832228043</v>
      </c>
      <c r="S43" s="761">
        <v>3.4824117832228043</v>
      </c>
      <c r="T43" s="761">
        <v>3.4824117832228043</v>
      </c>
      <c r="U43" s="761">
        <v>3.4824117832228043</v>
      </c>
      <c r="V43" s="761">
        <v>3.4824117832228043</v>
      </c>
      <c r="W43" s="761">
        <v>3.4824117832228043</v>
      </c>
      <c r="X43" s="761">
        <v>3.4824117832228043</v>
      </c>
      <c r="Y43" s="761">
        <v>0</v>
      </c>
      <c r="Z43" s="761">
        <v>0</v>
      </c>
      <c r="AA43" s="761">
        <v>0</v>
      </c>
      <c r="AB43" s="761">
        <v>0</v>
      </c>
      <c r="AC43" s="761">
        <v>0</v>
      </c>
      <c r="AD43" s="761">
        <v>0</v>
      </c>
      <c r="AE43" s="761">
        <v>0</v>
      </c>
      <c r="AF43" s="761">
        <v>0</v>
      </c>
      <c r="AG43" s="761">
        <v>0</v>
      </c>
      <c r="AH43" s="761">
        <v>0</v>
      </c>
      <c r="AI43" s="761">
        <v>0</v>
      </c>
      <c r="AJ43" s="761">
        <v>0</v>
      </c>
      <c r="AK43" s="761">
        <v>0</v>
      </c>
      <c r="AL43" s="761">
        <v>0</v>
      </c>
      <c r="AM43" s="761">
        <v>0</v>
      </c>
      <c r="AN43" s="761">
        <v>0</v>
      </c>
      <c r="AO43" s="762">
        <v>0</v>
      </c>
      <c r="AP43" s="633"/>
      <c r="AQ43" s="760">
        <v>0</v>
      </c>
      <c r="AR43" s="761">
        <v>51442.032011675408</v>
      </c>
      <c r="AS43" s="761">
        <v>51442.032011675416</v>
      </c>
      <c r="AT43" s="761">
        <v>51442.032011675416</v>
      </c>
      <c r="AU43" s="761">
        <v>43647.417523386008</v>
      </c>
      <c r="AV43" s="761">
        <v>43647.417523386008</v>
      </c>
      <c r="AW43" s="761">
        <v>11954.144295036102</v>
      </c>
      <c r="AX43" s="761">
        <v>11954.144295036102</v>
      </c>
      <c r="AY43" s="761">
        <v>11954.144295036102</v>
      </c>
      <c r="AZ43" s="761">
        <v>11954.144295036102</v>
      </c>
      <c r="BA43" s="761">
        <v>11954.144295036102</v>
      </c>
      <c r="BB43" s="761">
        <v>11954.144295036102</v>
      </c>
      <c r="BC43" s="761">
        <v>11954.144295036102</v>
      </c>
      <c r="BD43" s="761">
        <v>0</v>
      </c>
      <c r="BE43" s="761">
        <v>0</v>
      </c>
      <c r="BF43" s="761">
        <v>0</v>
      </c>
      <c r="BG43" s="761">
        <v>0</v>
      </c>
      <c r="BH43" s="761">
        <v>0</v>
      </c>
      <c r="BI43" s="761">
        <v>0</v>
      </c>
      <c r="BJ43" s="761">
        <v>0</v>
      </c>
      <c r="BK43" s="761">
        <v>0</v>
      </c>
      <c r="BL43" s="761">
        <v>0</v>
      </c>
      <c r="BM43" s="761">
        <v>0</v>
      </c>
      <c r="BN43" s="761">
        <v>0</v>
      </c>
      <c r="BO43" s="761">
        <v>0</v>
      </c>
      <c r="BP43" s="761">
        <v>0</v>
      </c>
      <c r="BQ43" s="761">
        <v>0</v>
      </c>
      <c r="BR43" s="761">
        <v>0</v>
      </c>
      <c r="BS43" s="761">
        <v>0</v>
      </c>
      <c r="BT43" s="762">
        <v>0</v>
      </c>
      <c r="BU43" s="16"/>
    </row>
    <row r="44" spans="2:73" s="17" customFormat="1" ht="15.75">
      <c r="B44" s="759" t="s">
        <v>773</v>
      </c>
      <c r="C44" s="759" t="s">
        <v>771</v>
      </c>
      <c r="D44" s="759" t="s">
        <v>17</v>
      </c>
      <c r="E44" s="759" t="s">
        <v>747</v>
      </c>
      <c r="F44" s="759" t="s">
        <v>772</v>
      </c>
      <c r="G44" s="759" t="s">
        <v>768</v>
      </c>
      <c r="H44" s="759">
        <v>2012</v>
      </c>
      <c r="I44" s="644" t="s">
        <v>567</v>
      </c>
      <c r="J44" s="644" t="s">
        <v>584</v>
      </c>
      <c r="K44" s="633"/>
      <c r="L44" s="760">
        <v>0</v>
      </c>
      <c r="M44" s="761">
        <v>9.4977028472043618E-2</v>
      </c>
      <c r="N44" s="761">
        <v>9.4977028472043618E-2</v>
      </c>
      <c r="O44" s="761">
        <v>9.4977028472043618E-2</v>
      </c>
      <c r="P44" s="761">
        <v>9.4977028472043618E-2</v>
      </c>
      <c r="Q44" s="761">
        <v>9.4977028472043618E-2</v>
      </c>
      <c r="R44" s="761">
        <v>9.4977028472043618E-2</v>
      </c>
      <c r="S44" s="761">
        <v>9.4977028472043618E-2</v>
      </c>
      <c r="T44" s="761">
        <v>9.4977028472043618E-2</v>
      </c>
      <c r="U44" s="761">
        <v>9.4977028472043618E-2</v>
      </c>
      <c r="V44" s="761">
        <v>9.4977028472043618E-2</v>
      </c>
      <c r="W44" s="761">
        <v>9.4977028472043618E-2</v>
      </c>
      <c r="X44" s="761">
        <v>9.4977028472043618E-2</v>
      </c>
      <c r="Y44" s="761">
        <v>0</v>
      </c>
      <c r="Z44" s="761">
        <v>0</v>
      </c>
      <c r="AA44" s="761">
        <v>0</v>
      </c>
      <c r="AB44" s="761">
        <v>0</v>
      </c>
      <c r="AC44" s="761">
        <v>0</v>
      </c>
      <c r="AD44" s="761">
        <v>0</v>
      </c>
      <c r="AE44" s="761">
        <v>0</v>
      </c>
      <c r="AF44" s="761">
        <v>0</v>
      </c>
      <c r="AG44" s="761">
        <v>0</v>
      </c>
      <c r="AH44" s="761">
        <v>0</v>
      </c>
      <c r="AI44" s="761">
        <v>0</v>
      </c>
      <c r="AJ44" s="761">
        <v>0</v>
      </c>
      <c r="AK44" s="761">
        <v>0</v>
      </c>
      <c r="AL44" s="761">
        <v>0</v>
      </c>
      <c r="AM44" s="761">
        <v>0</v>
      </c>
      <c r="AN44" s="761">
        <v>0</v>
      </c>
      <c r="AO44" s="762">
        <v>0</v>
      </c>
      <c r="AP44" s="633"/>
      <c r="AQ44" s="760">
        <v>0</v>
      </c>
      <c r="AR44" s="761">
        <v>92.017191252890512</v>
      </c>
      <c r="AS44" s="761">
        <v>92.017191252890512</v>
      </c>
      <c r="AT44" s="761">
        <v>92.017191252890512</v>
      </c>
      <c r="AU44" s="761">
        <v>92.017191252890512</v>
      </c>
      <c r="AV44" s="761">
        <v>92.017191252890512</v>
      </c>
      <c r="AW44" s="761">
        <v>92.017191252890512</v>
      </c>
      <c r="AX44" s="761">
        <v>92.017191252890512</v>
      </c>
      <c r="AY44" s="761">
        <v>92.017191252890512</v>
      </c>
      <c r="AZ44" s="761">
        <v>92.017191252890512</v>
      </c>
      <c r="BA44" s="761">
        <v>92.017191252890512</v>
      </c>
      <c r="BB44" s="761">
        <v>92.017191252890512</v>
      </c>
      <c r="BC44" s="761">
        <v>92.017191252890512</v>
      </c>
      <c r="BD44" s="761">
        <v>0</v>
      </c>
      <c r="BE44" s="761">
        <v>0</v>
      </c>
      <c r="BF44" s="761">
        <v>0</v>
      </c>
      <c r="BG44" s="761">
        <v>0</v>
      </c>
      <c r="BH44" s="761">
        <v>0</v>
      </c>
      <c r="BI44" s="761">
        <v>0</v>
      </c>
      <c r="BJ44" s="761">
        <v>0</v>
      </c>
      <c r="BK44" s="761">
        <v>0</v>
      </c>
      <c r="BL44" s="761">
        <v>0</v>
      </c>
      <c r="BM44" s="761">
        <v>0</v>
      </c>
      <c r="BN44" s="761">
        <v>0</v>
      </c>
      <c r="BO44" s="761">
        <v>0</v>
      </c>
      <c r="BP44" s="761">
        <v>0</v>
      </c>
      <c r="BQ44" s="761">
        <v>0</v>
      </c>
      <c r="BR44" s="761">
        <v>0</v>
      </c>
      <c r="BS44" s="761">
        <v>0</v>
      </c>
      <c r="BT44" s="762">
        <v>0</v>
      </c>
      <c r="BU44" s="16"/>
    </row>
    <row r="45" spans="2:73" s="17" customFormat="1" ht="15.75">
      <c r="B45" s="759" t="s">
        <v>773</v>
      </c>
      <c r="C45" s="759" t="s">
        <v>767</v>
      </c>
      <c r="D45" s="759" t="s">
        <v>774</v>
      </c>
      <c r="E45" s="759" t="s">
        <v>747</v>
      </c>
      <c r="F45" s="759" t="s">
        <v>29</v>
      </c>
      <c r="G45" s="759" t="s">
        <v>768</v>
      </c>
      <c r="H45" s="759">
        <v>2012</v>
      </c>
      <c r="I45" s="644" t="s">
        <v>568</v>
      </c>
      <c r="J45" s="644" t="s">
        <v>584</v>
      </c>
      <c r="K45" s="633"/>
      <c r="L45" s="760">
        <v>0</v>
      </c>
      <c r="M45" s="761">
        <v>3.4312300872750856E-3</v>
      </c>
      <c r="N45" s="761">
        <v>3.4312300872750856E-3</v>
      </c>
      <c r="O45" s="761">
        <v>3.4312300872750856E-3</v>
      </c>
      <c r="P45" s="761">
        <v>3.4312300872750856E-3</v>
      </c>
      <c r="Q45" s="761">
        <v>3.4312300872750856E-3</v>
      </c>
      <c r="R45" s="761">
        <v>3.4312300872750856E-3</v>
      </c>
      <c r="S45" s="761">
        <v>3.4312300872750856E-3</v>
      </c>
      <c r="T45" s="761">
        <v>3.4312300872750856E-3</v>
      </c>
      <c r="U45" s="761">
        <v>3.4312300872750856E-3</v>
      </c>
      <c r="V45" s="761">
        <v>3.4312300872750856E-3</v>
      </c>
      <c r="W45" s="761">
        <v>3.4312300872750856E-3</v>
      </c>
      <c r="X45" s="761">
        <v>3.4312300872750856E-3</v>
      </c>
      <c r="Y45" s="761">
        <v>3.4312300872750856E-3</v>
      </c>
      <c r="Z45" s="761">
        <v>3.4312300872750856E-3</v>
      </c>
      <c r="AA45" s="761">
        <v>3.4312300872750856E-3</v>
      </c>
      <c r="AB45" s="761">
        <v>3.4312300872750856E-3</v>
      </c>
      <c r="AC45" s="761">
        <v>3.4312300872750856E-3</v>
      </c>
      <c r="AD45" s="761">
        <v>3.4312300872750856E-3</v>
      </c>
      <c r="AE45" s="761">
        <v>3.4312300872750856E-3</v>
      </c>
      <c r="AF45" s="761">
        <v>2.9491960391108607E-3</v>
      </c>
      <c r="AG45" s="761">
        <v>0</v>
      </c>
      <c r="AH45" s="761">
        <v>0</v>
      </c>
      <c r="AI45" s="761">
        <v>0</v>
      </c>
      <c r="AJ45" s="761">
        <v>0</v>
      </c>
      <c r="AK45" s="761">
        <v>0</v>
      </c>
      <c r="AL45" s="761">
        <v>0</v>
      </c>
      <c r="AM45" s="761">
        <v>0</v>
      </c>
      <c r="AN45" s="761">
        <v>0</v>
      </c>
      <c r="AO45" s="762">
        <v>0</v>
      </c>
      <c r="AP45" s="633"/>
      <c r="AQ45" s="760">
        <v>0</v>
      </c>
      <c r="AR45" s="761">
        <v>6.9761425843594598</v>
      </c>
      <c r="AS45" s="761">
        <v>6.9761425843594598</v>
      </c>
      <c r="AT45" s="761">
        <v>6.9761425843594598</v>
      </c>
      <c r="AU45" s="761">
        <v>6.9761425843594598</v>
      </c>
      <c r="AV45" s="761">
        <v>6.9761425843594598</v>
      </c>
      <c r="AW45" s="761">
        <v>6.9761425843594598</v>
      </c>
      <c r="AX45" s="761">
        <v>6.9761425843594598</v>
      </c>
      <c r="AY45" s="761">
        <v>6.9761425843594598</v>
      </c>
      <c r="AZ45" s="761">
        <v>6.9761425843594598</v>
      </c>
      <c r="BA45" s="761">
        <v>6.9761425843594598</v>
      </c>
      <c r="BB45" s="761">
        <v>6.9761425843594598</v>
      </c>
      <c r="BC45" s="761">
        <v>6.9761425843594598</v>
      </c>
      <c r="BD45" s="761">
        <v>6.9761425843594598</v>
      </c>
      <c r="BE45" s="761">
        <v>6.9761425843594598</v>
      </c>
      <c r="BF45" s="761">
        <v>6.9761425843594598</v>
      </c>
      <c r="BG45" s="761">
        <v>6.9761425843594598</v>
      </c>
      <c r="BH45" s="761">
        <v>6.9761425843594598</v>
      </c>
      <c r="BI45" s="761">
        <v>6.9761425843594598</v>
      </c>
      <c r="BJ45" s="761">
        <v>6.492988766621389</v>
      </c>
      <c r="BK45" s="761">
        <v>0</v>
      </c>
      <c r="BL45" s="761">
        <v>0</v>
      </c>
      <c r="BM45" s="761">
        <v>0</v>
      </c>
      <c r="BN45" s="761">
        <v>0</v>
      </c>
      <c r="BO45" s="761">
        <v>0</v>
      </c>
      <c r="BP45" s="761">
        <v>0</v>
      </c>
      <c r="BQ45" s="761">
        <v>0</v>
      </c>
      <c r="BR45" s="761">
        <v>0</v>
      </c>
      <c r="BS45" s="761">
        <v>0</v>
      </c>
      <c r="BT45" s="762">
        <v>0</v>
      </c>
      <c r="BU45" s="16"/>
    </row>
    <row r="46" spans="2:73" s="17" customFormat="1" ht="15.75">
      <c r="B46" s="759" t="s">
        <v>208</v>
      </c>
      <c r="C46" s="759" t="s">
        <v>767</v>
      </c>
      <c r="D46" s="759" t="s">
        <v>3</v>
      </c>
      <c r="E46" s="759" t="s">
        <v>747</v>
      </c>
      <c r="F46" s="759" t="s">
        <v>29</v>
      </c>
      <c r="G46" s="759" t="s">
        <v>768</v>
      </c>
      <c r="H46" s="759">
        <v>2012</v>
      </c>
      <c r="I46" s="644" t="s">
        <v>567</v>
      </c>
      <c r="J46" s="644" t="s">
        <v>584</v>
      </c>
      <c r="K46" s="633"/>
      <c r="L46" s="760">
        <v>0</v>
      </c>
      <c r="M46" s="761">
        <v>0.17151806339944087</v>
      </c>
      <c r="N46" s="761">
        <v>0.17151806339944087</v>
      </c>
      <c r="O46" s="761">
        <v>0.17151806339944087</v>
      </c>
      <c r="P46" s="761">
        <v>0.17151806339944087</v>
      </c>
      <c r="Q46" s="761">
        <v>0.17151806339944087</v>
      </c>
      <c r="R46" s="761">
        <v>0.17151806339944087</v>
      </c>
      <c r="S46" s="761">
        <v>0.17151806339944087</v>
      </c>
      <c r="T46" s="761">
        <v>0.17151806339944087</v>
      </c>
      <c r="U46" s="761">
        <v>0.17151806339944087</v>
      </c>
      <c r="V46" s="761">
        <v>0.17151806339944087</v>
      </c>
      <c r="W46" s="761">
        <v>0.17151806339944087</v>
      </c>
      <c r="X46" s="761">
        <v>0.17151806339944087</v>
      </c>
      <c r="Y46" s="761">
        <v>0.17151806339944087</v>
      </c>
      <c r="Z46" s="761">
        <v>0.17151806339944087</v>
      </c>
      <c r="AA46" s="761">
        <v>0.17151806339944087</v>
      </c>
      <c r="AB46" s="761">
        <v>0.17151806339944087</v>
      </c>
      <c r="AC46" s="761">
        <v>0.17151806339944087</v>
      </c>
      <c r="AD46" s="761">
        <v>0.17151806339944087</v>
      </c>
      <c r="AE46" s="761">
        <v>0.13752831737631147</v>
      </c>
      <c r="AF46" s="761">
        <v>0</v>
      </c>
      <c r="AG46" s="761">
        <v>0</v>
      </c>
      <c r="AH46" s="761">
        <v>0</v>
      </c>
      <c r="AI46" s="761">
        <v>0</v>
      </c>
      <c r="AJ46" s="761">
        <v>0</v>
      </c>
      <c r="AK46" s="761">
        <v>0</v>
      </c>
      <c r="AL46" s="761">
        <v>0</v>
      </c>
      <c r="AM46" s="761">
        <v>0</v>
      </c>
      <c r="AN46" s="761">
        <v>0</v>
      </c>
      <c r="AO46" s="762">
        <v>0</v>
      </c>
      <c r="AP46" s="633"/>
      <c r="AQ46" s="760">
        <v>0</v>
      </c>
      <c r="AR46" s="761">
        <v>295.88573886220655</v>
      </c>
      <c r="AS46" s="761">
        <v>295.88573886220655</v>
      </c>
      <c r="AT46" s="761">
        <v>295.88573886220655</v>
      </c>
      <c r="AU46" s="761">
        <v>295.88573886220655</v>
      </c>
      <c r="AV46" s="761">
        <v>295.88573886220655</v>
      </c>
      <c r="AW46" s="761">
        <v>295.88573886220655</v>
      </c>
      <c r="AX46" s="761">
        <v>295.88573886220655</v>
      </c>
      <c r="AY46" s="761">
        <v>295.88573886220655</v>
      </c>
      <c r="AZ46" s="761">
        <v>295.88573886220655</v>
      </c>
      <c r="BA46" s="761">
        <v>295.88573886220655</v>
      </c>
      <c r="BB46" s="761">
        <v>295.88573886220655</v>
      </c>
      <c r="BC46" s="761">
        <v>295.88573886220655</v>
      </c>
      <c r="BD46" s="761">
        <v>295.88573886220655</v>
      </c>
      <c r="BE46" s="761">
        <v>295.88573886220655</v>
      </c>
      <c r="BF46" s="761">
        <v>295.88573886220655</v>
      </c>
      <c r="BG46" s="761">
        <v>295.88573886220655</v>
      </c>
      <c r="BH46" s="761">
        <v>295.88573886220655</v>
      </c>
      <c r="BI46" s="761">
        <v>295.88573886220655</v>
      </c>
      <c r="BJ46" s="761">
        <v>265.4902582354639</v>
      </c>
      <c r="BK46" s="761">
        <v>0</v>
      </c>
      <c r="BL46" s="761">
        <v>0</v>
      </c>
      <c r="BM46" s="761">
        <v>0</v>
      </c>
      <c r="BN46" s="761">
        <v>0</v>
      </c>
      <c r="BO46" s="761">
        <v>0</v>
      </c>
      <c r="BP46" s="761">
        <v>0</v>
      </c>
      <c r="BQ46" s="761">
        <v>0</v>
      </c>
      <c r="BR46" s="761">
        <v>0</v>
      </c>
      <c r="BS46" s="761">
        <v>0</v>
      </c>
      <c r="BT46" s="762">
        <v>0</v>
      </c>
      <c r="BU46" s="16"/>
    </row>
    <row r="47" spans="2:73" s="17" customFormat="1" ht="15.75">
      <c r="B47" s="759" t="s">
        <v>208</v>
      </c>
      <c r="C47" s="759" t="s">
        <v>767</v>
      </c>
      <c r="D47" s="759" t="s">
        <v>775</v>
      </c>
      <c r="E47" s="759" t="s">
        <v>747</v>
      </c>
      <c r="F47" s="759" t="s">
        <v>29</v>
      </c>
      <c r="G47" s="759" t="s">
        <v>768</v>
      </c>
      <c r="H47" s="759">
        <v>2013</v>
      </c>
      <c r="I47" s="644" t="s">
        <v>568</v>
      </c>
      <c r="J47" s="644" t="s">
        <v>584</v>
      </c>
      <c r="K47" s="633"/>
      <c r="L47" s="760">
        <v>0</v>
      </c>
      <c r="M47" s="761">
        <v>0</v>
      </c>
      <c r="N47" s="761">
        <v>0.43419280900000001</v>
      </c>
      <c r="O47" s="761">
        <v>0.43419280900000001</v>
      </c>
      <c r="P47" s="761">
        <v>0.41852076500000002</v>
      </c>
      <c r="Q47" s="761">
        <v>0.35877615000000002</v>
      </c>
      <c r="R47" s="761">
        <v>0.35877615000000002</v>
      </c>
      <c r="S47" s="761">
        <v>0.35877615000000002</v>
      </c>
      <c r="T47" s="761">
        <v>0.35877615000000002</v>
      </c>
      <c r="U47" s="761">
        <v>0.35827412400000003</v>
      </c>
      <c r="V47" s="761">
        <v>0.26796829500000002</v>
      </c>
      <c r="W47" s="761">
        <v>0.26796829500000002</v>
      </c>
      <c r="X47" s="761">
        <v>0.21524979299999999</v>
      </c>
      <c r="Y47" s="761">
        <v>0.215243769</v>
      </c>
      <c r="Z47" s="761">
        <v>0.215243769</v>
      </c>
      <c r="AA47" s="761">
        <v>0.21492288200000001</v>
      </c>
      <c r="AB47" s="761">
        <v>0.21492288200000001</v>
      </c>
      <c r="AC47" s="761">
        <v>0.21466001400000001</v>
      </c>
      <c r="AD47" s="761">
        <v>0.20802674299999999</v>
      </c>
      <c r="AE47" s="761">
        <v>0.12210708300000001</v>
      </c>
      <c r="AF47" s="761">
        <v>0.12210708300000001</v>
      </c>
      <c r="AG47" s="761">
        <v>0.12210708300000001</v>
      </c>
      <c r="AH47" s="761">
        <v>0</v>
      </c>
      <c r="AI47" s="761">
        <v>0</v>
      </c>
      <c r="AJ47" s="761">
        <v>0</v>
      </c>
      <c r="AK47" s="761">
        <v>0</v>
      </c>
      <c r="AL47" s="761">
        <v>0</v>
      </c>
      <c r="AM47" s="761">
        <v>0</v>
      </c>
      <c r="AN47" s="761">
        <v>0</v>
      </c>
      <c r="AO47" s="762">
        <v>0</v>
      </c>
      <c r="AP47" s="633"/>
      <c r="AQ47" s="760">
        <v>0</v>
      </c>
      <c r="AR47" s="761">
        <v>0</v>
      </c>
      <c r="AS47" s="761">
        <v>6478.2511079129999</v>
      </c>
      <c r="AT47" s="761">
        <v>6478.2511079129999</v>
      </c>
      <c r="AU47" s="761">
        <v>6228.6060160019997</v>
      </c>
      <c r="AV47" s="761">
        <v>5276.914636947</v>
      </c>
      <c r="AW47" s="761">
        <v>5276.914636947</v>
      </c>
      <c r="AX47" s="761">
        <v>5276.914636947</v>
      </c>
      <c r="AY47" s="761">
        <v>5276.914636947</v>
      </c>
      <c r="AZ47" s="761">
        <v>5272.5168824390003</v>
      </c>
      <c r="BA47" s="761">
        <v>3834.0059888360001</v>
      </c>
      <c r="BB47" s="761">
        <v>3834.0059888360001</v>
      </c>
      <c r="BC47" s="761">
        <v>3486.0550897389999</v>
      </c>
      <c r="BD47" s="761">
        <v>3436.4121319589999</v>
      </c>
      <c r="BE47" s="761">
        <v>3436.4121319589999</v>
      </c>
      <c r="BF47" s="761">
        <v>3422.2855624680001</v>
      </c>
      <c r="BG47" s="761">
        <v>3422.2855624680001</v>
      </c>
      <c r="BH47" s="761">
        <v>3419.3891318000001</v>
      </c>
      <c r="BI47" s="761">
        <v>3313.725605434</v>
      </c>
      <c r="BJ47" s="761">
        <v>1945.0834066279999</v>
      </c>
      <c r="BK47" s="761">
        <v>1945.0834066279999</v>
      </c>
      <c r="BL47" s="761">
        <v>1945.0834066279999</v>
      </c>
      <c r="BM47" s="761">
        <v>0</v>
      </c>
      <c r="BN47" s="761">
        <v>0</v>
      </c>
      <c r="BO47" s="761">
        <v>0</v>
      </c>
      <c r="BP47" s="761">
        <v>0</v>
      </c>
      <c r="BQ47" s="761">
        <v>0</v>
      </c>
      <c r="BR47" s="761">
        <v>0</v>
      </c>
      <c r="BS47" s="761">
        <v>0</v>
      </c>
      <c r="BT47" s="762">
        <v>0</v>
      </c>
      <c r="BU47" s="16"/>
    </row>
    <row r="48" spans="2:73" s="17" customFormat="1" ht="15.75">
      <c r="B48" s="759" t="s">
        <v>208</v>
      </c>
      <c r="C48" s="759" t="s">
        <v>767</v>
      </c>
      <c r="D48" s="759" t="s">
        <v>2</v>
      </c>
      <c r="E48" s="759" t="s">
        <v>747</v>
      </c>
      <c r="F48" s="759" t="s">
        <v>29</v>
      </c>
      <c r="G48" s="759" t="s">
        <v>768</v>
      </c>
      <c r="H48" s="759">
        <v>2013</v>
      </c>
      <c r="I48" s="644" t="s">
        <v>568</v>
      </c>
      <c r="J48" s="644" t="s">
        <v>584</v>
      </c>
      <c r="K48" s="633"/>
      <c r="L48" s="760">
        <v>0</v>
      </c>
      <c r="M48" s="761">
        <v>0</v>
      </c>
      <c r="N48" s="761">
        <v>0.20719409899999999</v>
      </c>
      <c r="O48" s="761">
        <v>0.20719409899999999</v>
      </c>
      <c r="P48" s="761">
        <v>0.20719409899999999</v>
      </c>
      <c r="Q48" s="761">
        <v>0.20719409899999999</v>
      </c>
      <c r="R48" s="761">
        <v>0</v>
      </c>
      <c r="S48" s="761">
        <v>0</v>
      </c>
      <c r="T48" s="761">
        <v>0</v>
      </c>
      <c r="U48" s="761">
        <v>0</v>
      </c>
      <c r="V48" s="761">
        <v>0</v>
      </c>
      <c r="W48" s="761">
        <v>0</v>
      </c>
      <c r="X48" s="761">
        <v>0</v>
      </c>
      <c r="Y48" s="761">
        <v>0</v>
      </c>
      <c r="Z48" s="761">
        <v>0</v>
      </c>
      <c r="AA48" s="761">
        <v>0</v>
      </c>
      <c r="AB48" s="761">
        <v>0</v>
      </c>
      <c r="AC48" s="761">
        <v>0</v>
      </c>
      <c r="AD48" s="761">
        <v>0</v>
      </c>
      <c r="AE48" s="761">
        <v>0</v>
      </c>
      <c r="AF48" s="761">
        <v>0</v>
      </c>
      <c r="AG48" s="761">
        <v>0</v>
      </c>
      <c r="AH48" s="761">
        <v>0</v>
      </c>
      <c r="AI48" s="761">
        <v>0</v>
      </c>
      <c r="AJ48" s="761">
        <v>0</v>
      </c>
      <c r="AK48" s="761">
        <v>0</v>
      </c>
      <c r="AL48" s="761">
        <v>0</v>
      </c>
      <c r="AM48" s="761">
        <v>0</v>
      </c>
      <c r="AN48" s="761">
        <v>0</v>
      </c>
      <c r="AO48" s="762">
        <v>0</v>
      </c>
      <c r="AP48" s="633"/>
      <c r="AQ48" s="760">
        <v>0</v>
      </c>
      <c r="AR48" s="761">
        <v>0</v>
      </c>
      <c r="AS48" s="761">
        <v>369.43987800000002</v>
      </c>
      <c r="AT48" s="761">
        <v>369.43987800000002</v>
      </c>
      <c r="AU48" s="761">
        <v>369.43987800000002</v>
      </c>
      <c r="AV48" s="761">
        <v>369.43987800000002</v>
      </c>
      <c r="AW48" s="761">
        <v>0</v>
      </c>
      <c r="AX48" s="761">
        <v>0</v>
      </c>
      <c r="AY48" s="761">
        <v>0</v>
      </c>
      <c r="AZ48" s="761">
        <v>0</v>
      </c>
      <c r="BA48" s="761">
        <v>0</v>
      </c>
      <c r="BB48" s="761">
        <v>0</v>
      </c>
      <c r="BC48" s="761">
        <v>0</v>
      </c>
      <c r="BD48" s="761">
        <v>0</v>
      </c>
      <c r="BE48" s="761">
        <v>0</v>
      </c>
      <c r="BF48" s="761">
        <v>0</v>
      </c>
      <c r="BG48" s="761">
        <v>0</v>
      </c>
      <c r="BH48" s="761">
        <v>0</v>
      </c>
      <c r="BI48" s="761">
        <v>0</v>
      </c>
      <c r="BJ48" s="761">
        <v>0</v>
      </c>
      <c r="BK48" s="761">
        <v>0</v>
      </c>
      <c r="BL48" s="761">
        <v>0</v>
      </c>
      <c r="BM48" s="761">
        <v>0</v>
      </c>
      <c r="BN48" s="761">
        <v>0</v>
      </c>
      <c r="BO48" s="761">
        <v>0</v>
      </c>
      <c r="BP48" s="761">
        <v>0</v>
      </c>
      <c r="BQ48" s="761">
        <v>0</v>
      </c>
      <c r="BR48" s="761">
        <v>0</v>
      </c>
      <c r="BS48" s="761">
        <v>0</v>
      </c>
      <c r="BT48" s="762">
        <v>0</v>
      </c>
      <c r="BU48" s="16"/>
    </row>
    <row r="49" spans="2:73" s="773" customFormat="1" ht="15.75">
      <c r="B49" s="766" t="s">
        <v>208</v>
      </c>
      <c r="C49" s="766" t="s">
        <v>767</v>
      </c>
      <c r="D49" s="766" t="s">
        <v>1</v>
      </c>
      <c r="E49" s="766" t="s">
        <v>747</v>
      </c>
      <c r="F49" s="766" t="s">
        <v>29</v>
      </c>
      <c r="G49" s="766" t="s">
        <v>768</v>
      </c>
      <c r="H49" s="766">
        <v>2013</v>
      </c>
      <c r="I49" s="767" t="s">
        <v>568</v>
      </c>
      <c r="J49" s="767" t="s">
        <v>584</v>
      </c>
      <c r="K49" s="768"/>
      <c r="L49" s="769">
        <v>0</v>
      </c>
      <c r="M49" s="770">
        <v>0</v>
      </c>
      <c r="N49" s="770">
        <v>1.4032294639999998</v>
      </c>
      <c r="O49" s="770">
        <v>1.4032294639999998</v>
      </c>
      <c r="P49" s="770">
        <v>1.4032294639999998</v>
      </c>
      <c r="Q49" s="770">
        <v>1.4032294639999998</v>
      </c>
      <c r="R49" s="770">
        <v>0.91029387500000003</v>
      </c>
      <c r="S49" s="770">
        <v>0</v>
      </c>
      <c r="T49" s="770">
        <v>0</v>
      </c>
      <c r="U49" s="770">
        <v>0</v>
      </c>
      <c r="V49" s="770">
        <v>0</v>
      </c>
      <c r="W49" s="770">
        <v>0</v>
      </c>
      <c r="X49" s="770">
        <v>0</v>
      </c>
      <c r="Y49" s="770">
        <v>0</v>
      </c>
      <c r="Z49" s="770">
        <v>0</v>
      </c>
      <c r="AA49" s="770">
        <v>0</v>
      </c>
      <c r="AB49" s="770">
        <v>0</v>
      </c>
      <c r="AC49" s="770">
        <v>0</v>
      </c>
      <c r="AD49" s="770">
        <v>0</v>
      </c>
      <c r="AE49" s="770">
        <v>0</v>
      </c>
      <c r="AF49" s="770">
        <v>0</v>
      </c>
      <c r="AG49" s="770">
        <v>0</v>
      </c>
      <c r="AH49" s="770">
        <v>0</v>
      </c>
      <c r="AI49" s="770">
        <v>0</v>
      </c>
      <c r="AJ49" s="770">
        <v>0</v>
      </c>
      <c r="AK49" s="770">
        <v>0</v>
      </c>
      <c r="AL49" s="770">
        <v>0</v>
      </c>
      <c r="AM49" s="770">
        <v>0</v>
      </c>
      <c r="AN49" s="770">
        <v>0</v>
      </c>
      <c r="AO49" s="771">
        <v>0</v>
      </c>
      <c r="AP49" s="768"/>
      <c r="AQ49" s="769">
        <v>0</v>
      </c>
      <c r="AR49" s="770">
        <v>0</v>
      </c>
      <c r="AS49" s="770">
        <v>8852.7803914310007</v>
      </c>
      <c r="AT49" s="770">
        <v>8852.7803914310007</v>
      </c>
      <c r="AU49" s="770">
        <v>8852.7803914310007</v>
      </c>
      <c r="AV49" s="770">
        <v>8852.7803914310007</v>
      </c>
      <c r="AW49" s="770">
        <v>6193.7899231350002</v>
      </c>
      <c r="AX49" s="770">
        <v>0</v>
      </c>
      <c r="AY49" s="770">
        <v>0</v>
      </c>
      <c r="AZ49" s="770">
        <v>0</v>
      </c>
      <c r="BA49" s="770">
        <v>0</v>
      </c>
      <c r="BB49" s="770">
        <v>0</v>
      </c>
      <c r="BC49" s="770">
        <v>0</v>
      </c>
      <c r="BD49" s="770">
        <v>0</v>
      </c>
      <c r="BE49" s="770">
        <v>0</v>
      </c>
      <c r="BF49" s="770">
        <v>0</v>
      </c>
      <c r="BG49" s="770">
        <v>0</v>
      </c>
      <c r="BH49" s="770">
        <v>0</v>
      </c>
      <c r="BI49" s="770">
        <v>0</v>
      </c>
      <c r="BJ49" s="770">
        <v>0</v>
      </c>
      <c r="BK49" s="770">
        <v>0</v>
      </c>
      <c r="BL49" s="770">
        <v>0</v>
      </c>
      <c r="BM49" s="770">
        <v>0</v>
      </c>
      <c r="BN49" s="770">
        <v>0</v>
      </c>
      <c r="BO49" s="770">
        <v>0</v>
      </c>
      <c r="BP49" s="770">
        <v>0</v>
      </c>
      <c r="BQ49" s="770">
        <v>0</v>
      </c>
      <c r="BR49" s="770">
        <v>0</v>
      </c>
      <c r="BS49" s="770">
        <v>0</v>
      </c>
      <c r="BT49" s="771">
        <v>0</v>
      </c>
      <c r="BU49" s="772"/>
    </row>
    <row r="50" spans="2:73" s="17" customFormat="1" ht="15.75">
      <c r="B50" s="759" t="s">
        <v>208</v>
      </c>
      <c r="C50" s="759" t="s">
        <v>767</v>
      </c>
      <c r="D50" s="759" t="s">
        <v>1</v>
      </c>
      <c r="E50" s="759" t="s">
        <v>747</v>
      </c>
      <c r="F50" s="759" t="s">
        <v>29</v>
      </c>
      <c r="G50" s="759" t="s">
        <v>768</v>
      </c>
      <c r="H50" s="759">
        <v>2013</v>
      </c>
      <c r="I50" s="644" t="s">
        <v>568</v>
      </c>
      <c r="J50" s="644" t="s">
        <v>584</v>
      </c>
      <c r="K50" s="633"/>
      <c r="L50" s="760">
        <v>0</v>
      </c>
      <c r="M50" s="761">
        <v>0</v>
      </c>
      <c r="N50" s="761">
        <v>7.3449141085927302E-4</v>
      </c>
      <c r="O50" s="761">
        <v>7.3449141085927302E-4</v>
      </c>
      <c r="P50" s="761">
        <v>7.3449141085927302E-4</v>
      </c>
      <c r="Q50" s="761">
        <v>7.3449141085927302E-4</v>
      </c>
      <c r="R50" s="761">
        <v>4.0805667182613602E-4</v>
      </c>
      <c r="S50" s="761">
        <v>0</v>
      </c>
      <c r="T50" s="761">
        <v>0</v>
      </c>
      <c r="U50" s="761">
        <v>0</v>
      </c>
      <c r="V50" s="761">
        <v>0</v>
      </c>
      <c r="W50" s="761">
        <v>0</v>
      </c>
      <c r="X50" s="761">
        <v>0</v>
      </c>
      <c r="Y50" s="761">
        <v>0</v>
      </c>
      <c r="Z50" s="761">
        <v>0</v>
      </c>
      <c r="AA50" s="761">
        <v>0</v>
      </c>
      <c r="AB50" s="761">
        <v>0</v>
      </c>
      <c r="AC50" s="761">
        <v>0</v>
      </c>
      <c r="AD50" s="761">
        <v>0</v>
      </c>
      <c r="AE50" s="761">
        <v>0</v>
      </c>
      <c r="AF50" s="761">
        <v>0</v>
      </c>
      <c r="AG50" s="761">
        <v>0</v>
      </c>
      <c r="AH50" s="761">
        <v>0</v>
      </c>
      <c r="AI50" s="761">
        <v>0</v>
      </c>
      <c r="AJ50" s="761">
        <v>0</v>
      </c>
      <c r="AK50" s="761">
        <v>0</v>
      </c>
      <c r="AL50" s="761">
        <v>0</v>
      </c>
      <c r="AM50" s="761">
        <v>0</v>
      </c>
      <c r="AN50" s="761">
        <v>0</v>
      </c>
      <c r="AO50" s="762">
        <v>0</v>
      </c>
      <c r="AP50" s="633"/>
      <c r="AQ50" s="760">
        <v>0</v>
      </c>
      <c r="AR50" s="761">
        <v>0</v>
      </c>
      <c r="AS50" s="761">
        <v>5.14005812061305</v>
      </c>
      <c r="AT50" s="761">
        <v>5.14005812061305</v>
      </c>
      <c r="AU50" s="761">
        <v>5.14005812061305</v>
      </c>
      <c r="AV50" s="761">
        <v>5.14005812061305</v>
      </c>
      <c r="AW50" s="761">
        <v>2.7764850118204123</v>
      </c>
      <c r="AX50" s="761">
        <v>0</v>
      </c>
      <c r="AY50" s="761">
        <v>0</v>
      </c>
      <c r="AZ50" s="761">
        <v>0</v>
      </c>
      <c r="BA50" s="761">
        <v>0</v>
      </c>
      <c r="BB50" s="761">
        <v>0</v>
      </c>
      <c r="BC50" s="761">
        <v>0</v>
      </c>
      <c r="BD50" s="761">
        <v>0</v>
      </c>
      <c r="BE50" s="761">
        <v>0</v>
      </c>
      <c r="BF50" s="761">
        <v>0</v>
      </c>
      <c r="BG50" s="761">
        <v>0</v>
      </c>
      <c r="BH50" s="761">
        <v>0</v>
      </c>
      <c r="BI50" s="761">
        <v>0</v>
      </c>
      <c r="BJ50" s="761">
        <v>0</v>
      </c>
      <c r="BK50" s="761">
        <v>0</v>
      </c>
      <c r="BL50" s="761">
        <v>0</v>
      </c>
      <c r="BM50" s="761">
        <v>0</v>
      </c>
      <c r="BN50" s="761">
        <v>0</v>
      </c>
      <c r="BO50" s="761">
        <v>0</v>
      </c>
      <c r="BP50" s="761">
        <v>0</v>
      </c>
      <c r="BQ50" s="761">
        <v>0</v>
      </c>
      <c r="BR50" s="761">
        <v>0</v>
      </c>
      <c r="BS50" s="761">
        <v>0</v>
      </c>
      <c r="BT50" s="762">
        <v>0</v>
      </c>
      <c r="BU50" s="16"/>
    </row>
    <row r="51" spans="2:73" s="17" customFormat="1" ht="15.75">
      <c r="B51" s="759" t="s">
        <v>208</v>
      </c>
      <c r="C51" s="759" t="s">
        <v>767</v>
      </c>
      <c r="D51" s="759" t="s">
        <v>776</v>
      </c>
      <c r="E51" s="759" t="s">
        <v>747</v>
      </c>
      <c r="F51" s="759" t="s">
        <v>29</v>
      </c>
      <c r="G51" s="759" t="s">
        <v>768</v>
      </c>
      <c r="H51" s="759">
        <v>2013</v>
      </c>
      <c r="I51" s="644" t="s">
        <v>568</v>
      </c>
      <c r="J51" s="644" t="s">
        <v>584</v>
      </c>
      <c r="K51" s="633"/>
      <c r="L51" s="760">
        <v>0</v>
      </c>
      <c r="M51" s="761">
        <v>0</v>
      </c>
      <c r="N51" s="761">
        <v>0.99487308099999994</v>
      </c>
      <c r="O51" s="761">
        <v>0.99487308099999994</v>
      </c>
      <c r="P51" s="761">
        <v>0.94025501700000003</v>
      </c>
      <c r="Q51" s="761">
        <v>0.75385742600000005</v>
      </c>
      <c r="R51" s="761">
        <v>0.75385742600000005</v>
      </c>
      <c r="S51" s="761">
        <v>0.75385742600000005</v>
      </c>
      <c r="T51" s="761">
        <v>0.75385742600000005</v>
      </c>
      <c r="U51" s="761">
        <v>0.75243137900000001</v>
      </c>
      <c r="V51" s="761">
        <v>0.64670740299999996</v>
      </c>
      <c r="W51" s="761">
        <v>0.64670740299999996</v>
      </c>
      <c r="X51" s="761">
        <v>0.46926954999999998</v>
      </c>
      <c r="Y51" s="761">
        <v>0.30311414599999997</v>
      </c>
      <c r="Z51" s="761">
        <v>0.30311414599999997</v>
      </c>
      <c r="AA51" s="761">
        <v>0.29714301199999998</v>
      </c>
      <c r="AB51" s="761">
        <v>0.29714301199999998</v>
      </c>
      <c r="AC51" s="761">
        <v>0.29407965699999999</v>
      </c>
      <c r="AD51" s="761">
        <v>0.25384015599999998</v>
      </c>
      <c r="AE51" s="761">
        <v>0.14899843900000001</v>
      </c>
      <c r="AF51" s="761">
        <v>0.14899843900000001</v>
      </c>
      <c r="AG51" s="761">
        <v>0.14899843900000001</v>
      </c>
      <c r="AH51" s="761">
        <v>0</v>
      </c>
      <c r="AI51" s="761">
        <v>0</v>
      </c>
      <c r="AJ51" s="761">
        <v>0</v>
      </c>
      <c r="AK51" s="761">
        <v>0</v>
      </c>
      <c r="AL51" s="761">
        <v>0</v>
      </c>
      <c r="AM51" s="761">
        <v>0</v>
      </c>
      <c r="AN51" s="761">
        <v>0</v>
      </c>
      <c r="AO51" s="762">
        <v>0</v>
      </c>
      <c r="AP51" s="633"/>
      <c r="AQ51" s="760">
        <v>0</v>
      </c>
      <c r="AR51" s="761">
        <v>0</v>
      </c>
      <c r="AS51" s="761">
        <v>14439.736668996</v>
      </c>
      <c r="AT51" s="761">
        <v>14439.736668996</v>
      </c>
      <c r="AU51" s="761">
        <v>13569.707766706</v>
      </c>
      <c r="AV51" s="761">
        <v>10600.519963184999</v>
      </c>
      <c r="AW51" s="761">
        <v>10600.519963184999</v>
      </c>
      <c r="AX51" s="761">
        <v>10600.519963184999</v>
      </c>
      <c r="AY51" s="761">
        <v>10600.519963184999</v>
      </c>
      <c r="AZ51" s="761">
        <v>10588.027790960001</v>
      </c>
      <c r="BA51" s="761">
        <v>8903.9162168179992</v>
      </c>
      <c r="BB51" s="761">
        <v>8903.9162168179992</v>
      </c>
      <c r="BC51" s="761">
        <v>7747.8434664850001</v>
      </c>
      <c r="BD51" s="761">
        <v>4981.1145497810003</v>
      </c>
      <c r="BE51" s="761">
        <v>4981.1145497810003</v>
      </c>
      <c r="BF51" s="761">
        <v>4718.2442718869997</v>
      </c>
      <c r="BG51" s="761">
        <v>4718.2442718869997</v>
      </c>
      <c r="BH51" s="761">
        <v>4684.4904425969999</v>
      </c>
      <c r="BI51" s="761">
        <v>4043.5023524029993</v>
      </c>
      <c r="BJ51" s="761">
        <v>2373.444564207</v>
      </c>
      <c r="BK51" s="761">
        <v>2373.444564207</v>
      </c>
      <c r="BL51" s="761">
        <v>2373.444564207</v>
      </c>
      <c r="BM51" s="761">
        <v>0</v>
      </c>
      <c r="BN51" s="761">
        <v>0</v>
      </c>
      <c r="BO51" s="761">
        <v>0</v>
      </c>
      <c r="BP51" s="761">
        <v>0</v>
      </c>
      <c r="BQ51" s="761">
        <v>0</v>
      </c>
      <c r="BR51" s="761">
        <v>0</v>
      </c>
      <c r="BS51" s="761">
        <v>0</v>
      </c>
      <c r="BT51" s="762">
        <v>0</v>
      </c>
      <c r="BU51" s="16"/>
    </row>
    <row r="52" spans="2:73" s="17" customFormat="1" ht="15.75">
      <c r="B52" s="759" t="s">
        <v>208</v>
      </c>
      <c r="C52" s="759" t="s">
        <v>767</v>
      </c>
      <c r="D52" s="759" t="s">
        <v>4</v>
      </c>
      <c r="E52" s="759" t="s">
        <v>747</v>
      </c>
      <c r="F52" s="759" t="s">
        <v>29</v>
      </c>
      <c r="G52" s="759" t="s">
        <v>768</v>
      </c>
      <c r="H52" s="759">
        <v>2013</v>
      </c>
      <c r="I52" s="644" t="s">
        <v>569</v>
      </c>
      <c r="J52" s="644" t="s">
        <v>584</v>
      </c>
      <c r="K52" s="633"/>
      <c r="L52" s="760">
        <v>0</v>
      </c>
      <c r="M52" s="761">
        <v>0</v>
      </c>
      <c r="N52" s="761">
        <v>1E-3</v>
      </c>
      <c r="O52" s="761">
        <v>1E-3</v>
      </c>
      <c r="P52" s="761">
        <v>1E-3</v>
      </c>
      <c r="Q52" s="761">
        <v>1E-3</v>
      </c>
      <c r="R52" s="761">
        <v>1E-3</v>
      </c>
      <c r="S52" s="761">
        <v>1E-3</v>
      </c>
      <c r="T52" s="761">
        <v>1E-3</v>
      </c>
      <c r="U52" s="761">
        <v>1E-3</v>
      </c>
      <c r="V52" s="761">
        <v>1E-3</v>
      </c>
      <c r="W52" s="761">
        <v>1E-3</v>
      </c>
      <c r="X52" s="761">
        <v>1E-3</v>
      </c>
      <c r="Y52" s="761">
        <v>1E-3</v>
      </c>
      <c r="Z52" s="761">
        <v>1E-3</v>
      </c>
      <c r="AA52" s="761">
        <v>1E-3</v>
      </c>
      <c r="AB52" s="761">
        <v>1E-3</v>
      </c>
      <c r="AC52" s="761">
        <v>1E-3</v>
      </c>
      <c r="AD52" s="761">
        <v>0</v>
      </c>
      <c r="AE52" s="761">
        <v>0</v>
      </c>
      <c r="AF52" s="761">
        <v>0</v>
      </c>
      <c r="AG52" s="761">
        <v>0</v>
      </c>
      <c r="AH52" s="761">
        <v>0</v>
      </c>
      <c r="AI52" s="761">
        <v>0</v>
      </c>
      <c r="AJ52" s="761">
        <v>0</v>
      </c>
      <c r="AK52" s="761">
        <v>0</v>
      </c>
      <c r="AL52" s="761">
        <v>0</v>
      </c>
      <c r="AM52" s="761">
        <v>0</v>
      </c>
      <c r="AN52" s="761">
        <v>0</v>
      </c>
      <c r="AO52" s="762">
        <v>0</v>
      </c>
      <c r="AP52" s="633"/>
      <c r="AQ52" s="760">
        <v>0</v>
      </c>
      <c r="AR52" s="761">
        <v>0</v>
      </c>
      <c r="AS52" s="761">
        <v>20</v>
      </c>
      <c r="AT52" s="761">
        <v>20</v>
      </c>
      <c r="AU52" s="761">
        <v>19</v>
      </c>
      <c r="AV52" s="761">
        <v>16</v>
      </c>
      <c r="AW52" s="761">
        <v>16</v>
      </c>
      <c r="AX52" s="761">
        <v>16</v>
      </c>
      <c r="AY52" s="761">
        <v>16</v>
      </c>
      <c r="AZ52" s="761">
        <v>16</v>
      </c>
      <c r="BA52" s="761">
        <v>14</v>
      </c>
      <c r="BB52" s="761">
        <v>14</v>
      </c>
      <c r="BC52" s="761">
        <v>13</v>
      </c>
      <c r="BD52" s="761">
        <v>13</v>
      </c>
      <c r="BE52" s="761">
        <v>13</v>
      </c>
      <c r="BF52" s="761">
        <v>13</v>
      </c>
      <c r="BG52" s="761">
        <v>13</v>
      </c>
      <c r="BH52" s="761">
        <v>13</v>
      </c>
      <c r="BI52" s="761">
        <v>7</v>
      </c>
      <c r="BJ52" s="761">
        <v>7</v>
      </c>
      <c r="BK52" s="761">
        <v>7</v>
      </c>
      <c r="BL52" s="761">
        <v>7</v>
      </c>
      <c r="BM52" s="761">
        <v>0</v>
      </c>
      <c r="BN52" s="761">
        <v>0</v>
      </c>
      <c r="BO52" s="761">
        <v>0</v>
      </c>
      <c r="BP52" s="761">
        <v>0</v>
      </c>
      <c r="BQ52" s="761">
        <v>0</v>
      </c>
      <c r="BR52" s="761">
        <v>0</v>
      </c>
      <c r="BS52" s="761">
        <v>0</v>
      </c>
      <c r="BT52" s="762">
        <v>0</v>
      </c>
      <c r="BU52" s="16"/>
    </row>
    <row r="53" spans="2:73">
      <c r="B53" s="759" t="s">
        <v>208</v>
      </c>
      <c r="C53" s="759" t="s">
        <v>767</v>
      </c>
      <c r="D53" s="759" t="s">
        <v>14</v>
      </c>
      <c r="E53" s="759" t="s">
        <v>747</v>
      </c>
      <c r="F53" s="759" t="s">
        <v>29</v>
      </c>
      <c r="G53" s="759" t="s">
        <v>768</v>
      </c>
      <c r="H53" s="759">
        <v>2013</v>
      </c>
      <c r="I53" s="644" t="s">
        <v>568</v>
      </c>
      <c r="J53" s="644" t="s">
        <v>584</v>
      </c>
      <c r="K53" s="633"/>
      <c r="L53" s="760">
        <v>0</v>
      </c>
      <c r="M53" s="761">
        <v>0</v>
      </c>
      <c r="N53" s="761">
        <v>9.1457985000000006E-2</v>
      </c>
      <c r="O53" s="761">
        <v>9.1457985000000006E-2</v>
      </c>
      <c r="P53" s="761">
        <v>9.1457985000000006E-2</v>
      </c>
      <c r="Q53" s="761">
        <v>8.4853762999999999E-2</v>
      </c>
      <c r="R53" s="761">
        <v>8.1551652000000002E-2</v>
      </c>
      <c r="S53" s="761">
        <v>7.8249540000000006E-2</v>
      </c>
      <c r="T53" s="761">
        <v>7.8249540000000006E-2</v>
      </c>
      <c r="U53" s="761">
        <v>7.8249540000000006E-2</v>
      </c>
      <c r="V53" s="761">
        <v>5.4940521999999999E-2</v>
      </c>
      <c r="W53" s="761">
        <v>5.4940521999999999E-2</v>
      </c>
      <c r="X53" s="761">
        <v>0</v>
      </c>
      <c r="Y53" s="761">
        <v>0</v>
      </c>
      <c r="Z53" s="761">
        <v>0</v>
      </c>
      <c r="AA53" s="761">
        <v>0</v>
      </c>
      <c r="AB53" s="761">
        <v>0</v>
      </c>
      <c r="AC53" s="761">
        <v>0</v>
      </c>
      <c r="AD53" s="761">
        <v>0</v>
      </c>
      <c r="AE53" s="761">
        <v>0</v>
      </c>
      <c r="AF53" s="761">
        <v>0</v>
      </c>
      <c r="AG53" s="761">
        <v>0</v>
      </c>
      <c r="AH53" s="761">
        <v>0</v>
      </c>
      <c r="AI53" s="761">
        <v>0</v>
      </c>
      <c r="AJ53" s="761">
        <v>0</v>
      </c>
      <c r="AK53" s="761">
        <v>0</v>
      </c>
      <c r="AL53" s="761">
        <v>0</v>
      </c>
      <c r="AM53" s="761">
        <v>0</v>
      </c>
      <c r="AN53" s="761">
        <v>0</v>
      </c>
      <c r="AO53" s="762">
        <v>0</v>
      </c>
      <c r="AP53" s="633"/>
      <c r="AQ53" s="760">
        <v>0</v>
      </c>
      <c r="AR53" s="761">
        <v>0</v>
      </c>
      <c r="AS53" s="761">
        <v>1156.0408935549999</v>
      </c>
      <c r="AT53" s="761">
        <v>1156.0408935549999</v>
      </c>
      <c r="AU53" s="761">
        <v>1156.0408935549999</v>
      </c>
      <c r="AV53" s="761">
        <v>1028.905273438</v>
      </c>
      <c r="AW53" s="761">
        <v>965.33746337900004</v>
      </c>
      <c r="AX53" s="761">
        <v>901.76968383799999</v>
      </c>
      <c r="AY53" s="761">
        <v>901.76968383799999</v>
      </c>
      <c r="AZ53" s="761">
        <v>901.76968383799999</v>
      </c>
      <c r="BA53" s="761">
        <v>453.05578613300003</v>
      </c>
      <c r="BB53" s="761">
        <v>453.05578613300003</v>
      </c>
      <c r="BC53" s="761">
        <v>0</v>
      </c>
      <c r="BD53" s="761">
        <v>0</v>
      </c>
      <c r="BE53" s="761">
        <v>0</v>
      </c>
      <c r="BF53" s="761">
        <v>0</v>
      </c>
      <c r="BG53" s="761">
        <v>0</v>
      </c>
      <c r="BH53" s="761">
        <v>0</v>
      </c>
      <c r="BI53" s="761">
        <v>0</v>
      </c>
      <c r="BJ53" s="761">
        <v>0</v>
      </c>
      <c r="BK53" s="761">
        <v>0</v>
      </c>
      <c r="BL53" s="761">
        <v>0</v>
      </c>
      <c r="BM53" s="761">
        <v>0</v>
      </c>
      <c r="BN53" s="761">
        <v>0</v>
      </c>
      <c r="BO53" s="761">
        <v>0</v>
      </c>
      <c r="BP53" s="761">
        <v>0</v>
      </c>
      <c r="BQ53" s="761">
        <v>0</v>
      </c>
      <c r="BR53" s="761">
        <v>0</v>
      </c>
      <c r="BS53" s="761">
        <v>0</v>
      </c>
      <c r="BT53" s="762">
        <v>0</v>
      </c>
    </row>
    <row r="54" spans="2:73">
      <c r="B54" s="759" t="s">
        <v>208</v>
      </c>
      <c r="C54" s="759" t="s">
        <v>777</v>
      </c>
      <c r="D54" s="759" t="s">
        <v>14</v>
      </c>
      <c r="E54" s="759" t="s">
        <v>747</v>
      </c>
      <c r="F54" s="759" t="s">
        <v>29</v>
      </c>
      <c r="G54" s="759" t="s">
        <v>768</v>
      </c>
      <c r="H54" s="759">
        <v>2013</v>
      </c>
      <c r="I54" s="644" t="s">
        <v>569</v>
      </c>
      <c r="J54" s="644" t="s">
        <v>577</v>
      </c>
      <c r="K54" s="633"/>
      <c r="L54" s="760">
        <v>0</v>
      </c>
      <c r="M54" s="761">
        <v>0</v>
      </c>
      <c r="N54" s="761">
        <v>3.5741162750000002</v>
      </c>
      <c r="O54" s="761">
        <v>3.4681465669999998</v>
      </c>
      <c r="P54" s="761">
        <v>3.4585129659999998</v>
      </c>
      <c r="Q54" s="761">
        <v>3.2854763</v>
      </c>
      <c r="R54" s="761">
        <v>3.2244272700000001</v>
      </c>
      <c r="S54" s="761">
        <v>3.1764433830000001</v>
      </c>
      <c r="T54" s="761">
        <v>3.1764433830000001</v>
      </c>
      <c r="U54" s="761">
        <v>3.1764433830000001</v>
      </c>
      <c r="V54" s="761">
        <v>2.5038643120000001</v>
      </c>
      <c r="W54" s="761">
        <v>2.5038643120000001</v>
      </c>
      <c r="X54" s="761">
        <v>1.1949999710000001</v>
      </c>
      <c r="Y54" s="761">
        <v>1.1949999710000001</v>
      </c>
      <c r="Z54" s="761">
        <v>1.1949999710000001</v>
      </c>
      <c r="AA54" s="761">
        <v>1.1949999710000001</v>
      </c>
      <c r="AB54" s="761">
        <v>0.53819999900000004</v>
      </c>
      <c r="AC54" s="761">
        <v>0</v>
      </c>
      <c r="AD54" s="761">
        <v>0</v>
      </c>
      <c r="AE54" s="761">
        <v>0</v>
      </c>
      <c r="AF54" s="761">
        <v>0</v>
      </c>
      <c r="AG54" s="761">
        <v>0</v>
      </c>
      <c r="AH54" s="761">
        <v>0</v>
      </c>
      <c r="AI54" s="761">
        <v>0</v>
      </c>
      <c r="AJ54" s="761">
        <v>0</v>
      </c>
      <c r="AK54" s="761">
        <v>0</v>
      </c>
      <c r="AL54" s="761">
        <v>0</v>
      </c>
      <c r="AM54" s="761">
        <v>0</v>
      </c>
      <c r="AN54" s="761">
        <v>0</v>
      </c>
      <c r="AO54" s="762">
        <v>0</v>
      </c>
      <c r="AP54" s="633"/>
      <c r="AQ54" s="760">
        <v>0</v>
      </c>
      <c r="AR54" s="761">
        <v>0</v>
      </c>
      <c r="AS54" s="761">
        <v>42864.087500000001</v>
      </c>
      <c r="AT54" s="761">
        <v>40800.466630000003</v>
      </c>
      <c r="AU54" s="761">
        <v>40612.865160000001</v>
      </c>
      <c r="AV54" s="761">
        <v>37272.66764</v>
      </c>
      <c r="AW54" s="761">
        <v>36099.211219999997</v>
      </c>
      <c r="AX54" s="761">
        <v>35179.52016</v>
      </c>
      <c r="AY54" s="761">
        <v>35179.52016</v>
      </c>
      <c r="AZ54" s="761">
        <v>35117.544540000003</v>
      </c>
      <c r="BA54" s="761">
        <v>22129.892210000002</v>
      </c>
      <c r="BB54" s="761">
        <v>22129.892210000002</v>
      </c>
      <c r="BC54" s="761">
        <v>9846</v>
      </c>
      <c r="BD54" s="761">
        <v>9846</v>
      </c>
      <c r="BE54" s="761">
        <v>9846</v>
      </c>
      <c r="BF54" s="761">
        <v>9846</v>
      </c>
      <c r="BG54" s="761">
        <v>4446</v>
      </c>
      <c r="BH54" s="761">
        <v>0</v>
      </c>
      <c r="BI54" s="761">
        <v>0</v>
      </c>
      <c r="BJ54" s="761">
        <v>0</v>
      </c>
      <c r="BK54" s="761">
        <v>0</v>
      </c>
      <c r="BL54" s="761">
        <v>0</v>
      </c>
      <c r="BM54" s="761">
        <v>0</v>
      </c>
      <c r="BN54" s="761">
        <v>0</v>
      </c>
      <c r="BO54" s="761">
        <v>0</v>
      </c>
      <c r="BP54" s="761">
        <v>0</v>
      </c>
      <c r="BQ54" s="761">
        <v>0</v>
      </c>
      <c r="BR54" s="761">
        <v>0</v>
      </c>
      <c r="BS54" s="761">
        <v>0</v>
      </c>
      <c r="BT54" s="762">
        <v>0</v>
      </c>
    </row>
    <row r="55" spans="2:73">
      <c r="B55" s="759" t="s">
        <v>208</v>
      </c>
      <c r="C55" s="759" t="s">
        <v>769</v>
      </c>
      <c r="D55" s="759" t="s">
        <v>778</v>
      </c>
      <c r="E55" s="759" t="s">
        <v>747</v>
      </c>
      <c r="F55" s="759" t="s">
        <v>770</v>
      </c>
      <c r="G55" s="759" t="s">
        <v>768</v>
      </c>
      <c r="H55" s="759">
        <v>2013</v>
      </c>
      <c r="I55" s="644" t="s">
        <v>568</v>
      </c>
      <c r="J55" s="644" t="s">
        <v>584</v>
      </c>
      <c r="K55" s="633"/>
      <c r="L55" s="760">
        <v>0</v>
      </c>
      <c r="M55" s="761">
        <v>0</v>
      </c>
      <c r="N55" s="761">
        <v>53.236464781999999</v>
      </c>
      <c r="O55" s="761">
        <v>53.236464781999999</v>
      </c>
      <c r="P55" s="761">
        <v>47.733893047000002</v>
      </c>
      <c r="Q55" s="761">
        <v>29.348672201999999</v>
      </c>
      <c r="R55" s="761">
        <v>9.7969856409999991</v>
      </c>
      <c r="S55" s="761">
        <v>9.7969856409999991</v>
      </c>
      <c r="T55" s="761">
        <v>9.7969856409999991</v>
      </c>
      <c r="U55" s="761">
        <v>9.7969856409999991</v>
      </c>
      <c r="V55" s="761">
        <v>9.7969856409999991</v>
      </c>
      <c r="W55" s="761">
        <v>9.7969856409999991</v>
      </c>
      <c r="X55" s="761">
        <v>9.6724379149999997</v>
      </c>
      <c r="Y55" s="761">
        <v>9.6724379149999997</v>
      </c>
      <c r="Z55" s="761">
        <v>0</v>
      </c>
      <c r="AA55" s="761">
        <v>0</v>
      </c>
      <c r="AB55" s="761">
        <v>0</v>
      </c>
      <c r="AC55" s="761">
        <v>0</v>
      </c>
      <c r="AD55" s="761">
        <v>0</v>
      </c>
      <c r="AE55" s="761">
        <v>0</v>
      </c>
      <c r="AF55" s="761">
        <v>0</v>
      </c>
      <c r="AG55" s="761">
        <v>0</v>
      </c>
      <c r="AH55" s="761">
        <v>0</v>
      </c>
      <c r="AI55" s="761">
        <v>0</v>
      </c>
      <c r="AJ55" s="761">
        <v>0</v>
      </c>
      <c r="AK55" s="761">
        <v>0</v>
      </c>
      <c r="AL55" s="761">
        <v>0</v>
      </c>
      <c r="AM55" s="761">
        <v>0</v>
      </c>
      <c r="AN55" s="761">
        <v>0</v>
      </c>
      <c r="AO55" s="762">
        <v>0</v>
      </c>
      <c r="AP55" s="633"/>
      <c r="AQ55" s="760">
        <v>0</v>
      </c>
      <c r="AR55" s="761">
        <v>0</v>
      </c>
      <c r="AS55" s="761">
        <v>175236.79528030101</v>
      </c>
      <c r="AT55" s="761">
        <v>175236.79528030101</v>
      </c>
      <c r="AU55" s="761">
        <v>156112.18586451799</v>
      </c>
      <c r="AV55" s="761">
        <v>88654.122644992007</v>
      </c>
      <c r="AW55" s="761">
        <v>29646.143528727</v>
      </c>
      <c r="AX55" s="761">
        <v>29646.143528727</v>
      </c>
      <c r="AY55" s="761">
        <v>29646.143528727</v>
      </c>
      <c r="AZ55" s="761">
        <v>29646.143528727</v>
      </c>
      <c r="BA55" s="761">
        <v>29646.143528727</v>
      </c>
      <c r="BB55" s="761">
        <v>29646.143528727</v>
      </c>
      <c r="BC55" s="761">
        <v>28516.262139546001</v>
      </c>
      <c r="BD55" s="761">
        <v>28516.262139546001</v>
      </c>
      <c r="BE55" s="761">
        <v>0</v>
      </c>
      <c r="BF55" s="761">
        <v>0</v>
      </c>
      <c r="BG55" s="761">
        <v>0</v>
      </c>
      <c r="BH55" s="761">
        <v>0</v>
      </c>
      <c r="BI55" s="761">
        <v>0</v>
      </c>
      <c r="BJ55" s="761">
        <v>0</v>
      </c>
      <c r="BK55" s="761">
        <v>0</v>
      </c>
      <c r="BL55" s="761">
        <v>0</v>
      </c>
      <c r="BM55" s="761">
        <v>0</v>
      </c>
      <c r="BN55" s="761">
        <v>0</v>
      </c>
      <c r="BO55" s="761">
        <v>0</v>
      </c>
      <c r="BP55" s="761">
        <v>0</v>
      </c>
      <c r="BQ55" s="761">
        <v>0</v>
      </c>
      <c r="BR55" s="761">
        <v>0</v>
      </c>
      <c r="BS55" s="761">
        <v>0</v>
      </c>
      <c r="BT55" s="762">
        <v>0</v>
      </c>
    </row>
    <row r="56" spans="2:73" s="777" customFormat="1">
      <c r="B56" s="766" t="s">
        <v>208</v>
      </c>
      <c r="C56" s="766" t="s">
        <v>767</v>
      </c>
      <c r="D56" s="766" t="s">
        <v>2</v>
      </c>
      <c r="E56" s="766" t="s">
        <v>747</v>
      </c>
      <c r="F56" s="766" t="s">
        <v>29</v>
      </c>
      <c r="G56" s="766" t="s">
        <v>768</v>
      </c>
      <c r="H56" s="766">
        <v>2014</v>
      </c>
      <c r="I56" s="767" t="s">
        <v>569</v>
      </c>
      <c r="J56" s="767" t="s">
        <v>584</v>
      </c>
      <c r="K56" s="768"/>
      <c r="L56" s="769">
        <v>0</v>
      </c>
      <c r="M56" s="770">
        <v>0</v>
      </c>
      <c r="N56" s="770">
        <v>0</v>
      </c>
      <c r="O56" s="770">
        <v>2.0719409899999999E-4</v>
      </c>
      <c r="P56" s="770">
        <v>2.0719409899999999E-4</v>
      </c>
      <c r="Q56" s="770">
        <v>2.0719409899999999E-4</v>
      </c>
      <c r="R56" s="770">
        <v>2.0719409899999999E-4</v>
      </c>
      <c r="S56" s="770">
        <v>0</v>
      </c>
      <c r="T56" s="770">
        <v>0</v>
      </c>
      <c r="U56" s="770">
        <v>0</v>
      </c>
      <c r="V56" s="770">
        <v>0</v>
      </c>
      <c r="W56" s="770">
        <v>0</v>
      </c>
      <c r="X56" s="770">
        <v>0</v>
      </c>
      <c r="Y56" s="770">
        <v>0</v>
      </c>
      <c r="Z56" s="770">
        <v>0</v>
      </c>
      <c r="AA56" s="770">
        <v>0</v>
      </c>
      <c r="AB56" s="770">
        <v>0</v>
      </c>
      <c r="AC56" s="770">
        <v>0</v>
      </c>
      <c r="AD56" s="770">
        <v>0</v>
      </c>
      <c r="AE56" s="770">
        <v>0</v>
      </c>
      <c r="AF56" s="770">
        <v>0</v>
      </c>
      <c r="AG56" s="770">
        <v>0</v>
      </c>
      <c r="AH56" s="770">
        <v>0</v>
      </c>
      <c r="AI56" s="770">
        <v>0</v>
      </c>
      <c r="AJ56" s="770">
        <v>0</v>
      </c>
      <c r="AK56" s="770">
        <v>0</v>
      </c>
      <c r="AL56" s="770">
        <v>0</v>
      </c>
      <c r="AM56" s="770">
        <v>0</v>
      </c>
      <c r="AN56" s="770">
        <v>0</v>
      </c>
      <c r="AO56" s="771">
        <v>0</v>
      </c>
      <c r="AP56" s="768"/>
      <c r="AQ56" s="769">
        <v>0</v>
      </c>
      <c r="AR56" s="770">
        <v>0</v>
      </c>
      <c r="AS56" s="770">
        <v>0</v>
      </c>
      <c r="AT56" s="770">
        <v>0.369439878</v>
      </c>
      <c r="AU56" s="770">
        <v>0.369439878</v>
      </c>
      <c r="AV56" s="770">
        <v>0.369439878</v>
      </c>
      <c r="AW56" s="770">
        <v>0.369439878</v>
      </c>
      <c r="AX56" s="770">
        <v>0</v>
      </c>
      <c r="AY56" s="770">
        <v>0</v>
      </c>
      <c r="AZ56" s="770">
        <v>0</v>
      </c>
      <c r="BA56" s="770">
        <v>0</v>
      </c>
      <c r="BB56" s="770">
        <v>0</v>
      </c>
      <c r="BC56" s="770">
        <v>0</v>
      </c>
      <c r="BD56" s="770">
        <v>0</v>
      </c>
      <c r="BE56" s="770">
        <v>0</v>
      </c>
      <c r="BF56" s="770">
        <v>0</v>
      </c>
      <c r="BG56" s="770">
        <v>0</v>
      </c>
      <c r="BH56" s="770">
        <v>0</v>
      </c>
      <c r="BI56" s="770">
        <v>0</v>
      </c>
      <c r="BJ56" s="770">
        <v>0</v>
      </c>
      <c r="BK56" s="770">
        <v>0</v>
      </c>
      <c r="BL56" s="770">
        <v>0</v>
      </c>
      <c r="BM56" s="770">
        <v>0</v>
      </c>
      <c r="BN56" s="770">
        <v>0</v>
      </c>
      <c r="BO56" s="770">
        <v>0</v>
      </c>
      <c r="BP56" s="770">
        <v>0</v>
      </c>
      <c r="BQ56" s="770">
        <v>0</v>
      </c>
      <c r="BR56" s="770">
        <v>0</v>
      </c>
      <c r="BS56" s="770">
        <v>0</v>
      </c>
      <c r="BT56" s="771">
        <v>0</v>
      </c>
      <c r="BU56" s="772"/>
    </row>
    <row r="57" spans="2:73">
      <c r="B57" s="759" t="s">
        <v>208</v>
      </c>
      <c r="C57" s="759" t="s">
        <v>767</v>
      </c>
      <c r="D57" s="759" t="s">
        <v>1</v>
      </c>
      <c r="E57" s="759" t="s">
        <v>747</v>
      </c>
      <c r="F57" s="759" t="s">
        <v>29</v>
      </c>
      <c r="G57" s="759" t="s">
        <v>768</v>
      </c>
      <c r="H57" s="759">
        <v>2014</v>
      </c>
      <c r="I57" s="644" t="s">
        <v>569</v>
      </c>
      <c r="J57" s="644" t="s">
        <v>584</v>
      </c>
      <c r="K57" s="633"/>
      <c r="L57" s="760">
        <v>0</v>
      </c>
      <c r="M57" s="761">
        <v>0</v>
      </c>
      <c r="N57" s="761">
        <v>0</v>
      </c>
      <c r="O57" s="761">
        <v>0.11675429700000001</v>
      </c>
      <c r="P57" s="761">
        <v>0.11675429700000001</v>
      </c>
      <c r="Q57" s="761">
        <v>0.11675429700000001</v>
      </c>
      <c r="R57" s="761">
        <v>0</v>
      </c>
      <c r="S57" s="761">
        <v>0</v>
      </c>
      <c r="T57" s="761">
        <v>0</v>
      </c>
      <c r="U57" s="761">
        <v>0</v>
      </c>
      <c r="V57" s="761">
        <v>0</v>
      </c>
      <c r="W57" s="761">
        <v>0</v>
      </c>
      <c r="X57" s="761">
        <v>0</v>
      </c>
      <c r="Y57" s="761">
        <v>0</v>
      </c>
      <c r="Z57" s="761">
        <v>0</v>
      </c>
      <c r="AA57" s="761">
        <v>0</v>
      </c>
      <c r="AB57" s="761">
        <v>0</v>
      </c>
      <c r="AC57" s="761">
        <v>0</v>
      </c>
      <c r="AD57" s="761">
        <v>0</v>
      </c>
      <c r="AE57" s="761">
        <v>0</v>
      </c>
      <c r="AF57" s="761">
        <v>0</v>
      </c>
      <c r="AG57" s="761">
        <v>0</v>
      </c>
      <c r="AH57" s="761">
        <v>0</v>
      </c>
      <c r="AI57" s="761">
        <v>0</v>
      </c>
      <c r="AJ57" s="761">
        <v>0</v>
      </c>
      <c r="AK57" s="761">
        <v>0</v>
      </c>
      <c r="AL57" s="761">
        <v>0</v>
      </c>
      <c r="AM57" s="761">
        <v>0</v>
      </c>
      <c r="AN57" s="761">
        <v>0</v>
      </c>
      <c r="AO57" s="762">
        <v>0</v>
      </c>
      <c r="AP57" s="633"/>
      <c r="AQ57" s="760">
        <v>0</v>
      </c>
      <c r="AR57" s="761">
        <v>0</v>
      </c>
      <c r="AS57" s="761">
        <v>0</v>
      </c>
      <c r="AT57" s="761">
        <v>104.40804660000001</v>
      </c>
      <c r="AU57" s="761">
        <v>104.40804660000001</v>
      </c>
      <c r="AV57" s="761">
        <v>104.40804660000001</v>
      </c>
      <c r="AW57" s="761">
        <v>0</v>
      </c>
      <c r="AX57" s="761">
        <v>0</v>
      </c>
      <c r="AY57" s="761">
        <v>0</v>
      </c>
      <c r="AZ57" s="761">
        <v>0</v>
      </c>
      <c r="BA57" s="761">
        <v>0</v>
      </c>
      <c r="BB57" s="761">
        <v>0</v>
      </c>
      <c r="BC57" s="761">
        <v>0</v>
      </c>
      <c r="BD57" s="761">
        <v>0</v>
      </c>
      <c r="BE57" s="761">
        <v>0</v>
      </c>
      <c r="BF57" s="761">
        <v>0</v>
      </c>
      <c r="BG57" s="761">
        <v>0</v>
      </c>
      <c r="BH57" s="761">
        <v>0</v>
      </c>
      <c r="BI57" s="761">
        <v>0</v>
      </c>
      <c r="BJ57" s="761">
        <v>0</v>
      </c>
      <c r="BK57" s="761">
        <v>0</v>
      </c>
      <c r="BL57" s="761">
        <v>0</v>
      </c>
      <c r="BM57" s="761">
        <v>0</v>
      </c>
      <c r="BN57" s="761">
        <v>0</v>
      </c>
      <c r="BO57" s="761">
        <v>0</v>
      </c>
      <c r="BP57" s="761">
        <v>0</v>
      </c>
      <c r="BQ57" s="761">
        <v>0</v>
      </c>
      <c r="BR57" s="761">
        <v>0</v>
      </c>
      <c r="BS57" s="761">
        <v>0</v>
      </c>
      <c r="BT57" s="762">
        <v>0</v>
      </c>
    </row>
    <row r="58" spans="2:73">
      <c r="B58" s="759" t="s">
        <v>208</v>
      </c>
      <c r="C58" s="759" t="s">
        <v>767</v>
      </c>
      <c r="D58" s="759" t="s">
        <v>1</v>
      </c>
      <c r="E58" s="759" t="s">
        <v>747</v>
      </c>
      <c r="F58" s="759" t="s">
        <v>29</v>
      </c>
      <c r="G58" s="759" t="s">
        <v>768</v>
      </c>
      <c r="H58" s="759">
        <v>2014</v>
      </c>
      <c r="I58" s="644" t="s">
        <v>569</v>
      </c>
      <c r="J58" s="644" t="s">
        <v>584</v>
      </c>
      <c r="K58" s="633"/>
      <c r="L58" s="760">
        <v>0</v>
      </c>
      <c r="M58" s="761">
        <v>0</v>
      </c>
      <c r="N58" s="761">
        <v>0</v>
      </c>
      <c r="O58" s="761">
        <v>0</v>
      </c>
      <c r="P58" s="761">
        <v>0</v>
      </c>
      <c r="Q58" s="761">
        <v>0</v>
      </c>
      <c r="R58" s="761">
        <v>0</v>
      </c>
      <c r="S58" s="761">
        <v>0</v>
      </c>
      <c r="T58" s="761">
        <v>0</v>
      </c>
      <c r="U58" s="761">
        <v>0</v>
      </c>
      <c r="V58" s="761">
        <v>0</v>
      </c>
      <c r="W58" s="761">
        <v>0</v>
      </c>
      <c r="X58" s="761">
        <v>0</v>
      </c>
      <c r="Y58" s="761">
        <v>0</v>
      </c>
      <c r="Z58" s="761">
        <v>0</v>
      </c>
      <c r="AA58" s="761">
        <v>0</v>
      </c>
      <c r="AB58" s="761">
        <v>0</v>
      </c>
      <c r="AC58" s="761">
        <v>0</v>
      </c>
      <c r="AD58" s="761">
        <v>0</v>
      </c>
      <c r="AE58" s="761">
        <v>0</v>
      </c>
      <c r="AF58" s="761">
        <v>0</v>
      </c>
      <c r="AG58" s="761">
        <v>0</v>
      </c>
      <c r="AH58" s="761">
        <v>0</v>
      </c>
      <c r="AI58" s="761">
        <v>0</v>
      </c>
      <c r="AJ58" s="761">
        <v>0</v>
      </c>
      <c r="AK58" s="761">
        <v>0</v>
      </c>
      <c r="AL58" s="761">
        <v>0</v>
      </c>
      <c r="AM58" s="761">
        <v>0</v>
      </c>
      <c r="AN58" s="761">
        <v>0</v>
      </c>
      <c r="AO58" s="762">
        <v>0</v>
      </c>
      <c r="AP58" s="633"/>
      <c r="AQ58" s="760">
        <v>0</v>
      </c>
      <c r="AR58" s="761">
        <v>0</v>
      </c>
      <c r="AS58" s="761">
        <v>0</v>
      </c>
      <c r="AT58" s="761">
        <v>0</v>
      </c>
      <c r="AU58" s="761">
        <v>0</v>
      </c>
      <c r="AV58" s="761">
        <v>0</v>
      </c>
      <c r="AW58" s="761">
        <v>0</v>
      </c>
      <c r="AX58" s="761">
        <v>0</v>
      </c>
      <c r="AY58" s="761">
        <v>0</v>
      </c>
      <c r="AZ58" s="761">
        <v>0</v>
      </c>
      <c r="BA58" s="761">
        <v>0</v>
      </c>
      <c r="BB58" s="761">
        <v>0</v>
      </c>
      <c r="BC58" s="761">
        <v>0</v>
      </c>
      <c r="BD58" s="761">
        <v>0</v>
      </c>
      <c r="BE58" s="761">
        <v>0</v>
      </c>
      <c r="BF58" s="761">
        <v>0</v>
      </c>
      <c r="BG58" s="761">
        <v>0</v>
      </c>
      <c r="BH58" s="761">
        <v>0</v>
      </c>
      <c r="BI58" s="761">
        <v>0</v>
      </c>
      <c r="BJ58" s="761">
        <v>0</v>
      </c>
      <c r="BK58" s="761">
        <v>0</v>
      </c>
      <c r="BL58" s="761">
        <v>0</v>
      </c>
      <c r="BM58" s="761">
        <v>0</v>
      </c>
      <c r="BN58" s="761">
        <v>0</v>
      </c>
      <c r="BO58" s="761">
        <v>0</v>
      </c>
      <c r="BP58" s="761">
        <v>0</v>
      </c>
      <c r="BQ58" s="761">
        <v>0</v>
      </c>
      <c r="BR58" s="761">
        <v>0</v>
      </c>
      <c r="BS58" s="761">
        <v>0</v>
      </c>
      <c r="BT58" s="762">
        <v>0</v>
      </c>
    </row>
    <row r="59" spans="2:73">
      <c r="B59" s="759" t="s">
        <v>208</v>
      </c>
      <c r="C59" s="759" t="s">
        <v>767</v>
      </c>
      <c r="D59" s="759" t="s">
        <v>1</v>
      </c>
      <c r="E59" s="759" t="s">
        <v>747</v>
      </c>
      <c r="F59" s="759" t="s">
        <v>29</v>
      </c>
      <c r="G59" s="759" t="s">
        <v>768</v>
      </c>
      <c r="H59" s="759">
        <v>2014</v>
      </c>
      <c r="I59" s="644" t="s">
        <v>569</v>
      </c>
      <c r="J59" s="644" t="s">
        <v>584</v>
      </c>
      <c r="K59" s="633"/>
      <c r="L59" s="760">
        <v>0</v>
      </c>
      <c r="M59" s="761">
        <v>0</v>
      </c>
      <c r="N59" s="761">
        <v>0</v>
      </c>
      <c r="O59" s="761">
        <v>0.975157276134761</v>
      </c>
      <c r="P59" s="761">
        <v>0.975157276134761</v>
      </c>
      <c r="Q59" s="761">
        <v>0.975157276134761</v>
      </c>
      <c r="R59" s="761">
        <v>0.975157276134761</v>
      </c>
      <c r="S59" s="761">
        <v>0</v>
      </c>
      <c r="T59" s="761">
        <v>0</v>
      </c>
      <c r="U59" s="761">
        <v>0</v>
      </c>
      <c r="V59" s="761">
        <v>0</v>
      </c>
      <c r="W59" s="761">
        <v>0</v>
      </c>
      <c r="X59" s="761">
        <v>0</v>
      </c>
      <c r="Y59" s="761">
        <v>0</v>
      </c>
      <c r="Z59" s="761">
        <v>0</v>
      </c>
      <c r="AA59" s="761">
        <v>0</v>
      </c>
      <c r="AB59" s="761">
        <v>0</v>
      </c>
      <c r="AC59" s="761">
        <v>0</v>
      </c>
      <c r="AD59" s="761">
        <v>0</v>
      </c>
      <c r="AE59" s="761">
        <v>0</v>
      </c>
      <c r="AF59" s="761">
        <v>0</v>
      </c>
      <c r="AG59" s="761">
        <v>0</v>
      </c>
      <c r="AH59" s="761">
        <v>0</v>
      </c>
      <c r="AI59" s="761">
        <v>0</v>
      </c>
      <c r="AJ59" s="761">
        <v>0</v>
      </c>
      <c r="AK59" s="761">
        <v>0</v>
      </c>
      <c r="AL59" s="761">
        <v>0</v>
      </c>
      <c r="AM59" s="761">
        <v>0</v>
      </c>
      <c r="AN59" s="761">
        <v>0</v>
      </c>
      <c r="AO59" s="762">
        <v>0</v>
      </c>
      <c r="AP59" s="633"/>
      <c r="AQ59" s="760">
        <v>0</v>
      </c>
      <c r="AR59" s="761">
        <v>0</v>
      </c>
      <c r="AS59" s="761">
        <v>0</v>
      </c>
      <c r="AT59" s="761">
        <v>7060.6931183667984</v>
      </c>
      <c r="AU59" s="761">
        <v>7060.6931183667984</v>
      </c>
      <c r="AV59" s="761">
        <v>7060.6931183667984</v>
      </c>
      <c r="AW59" s="761">
        <v>7060.6931183667984</v>
      </c>
      <c r="AX59" s="761">
        <v>0</v>
      </c>
      <c r="AY59" s="761">
        <v>0</v>
      </c>
      <c r="AZ59" s="761">
        <v>0</v>
      </c>
      <c r="BA59" s="761">
        <v>0</v>
      </c>
      <c r="BB59" s="761">
        <v>0</v>
      </c>
      <c r="BC59" s="761">
        <v>0</v>
      </c>
      <c r="BD59" s="761">
        <v>0</v>
      </c>
      <c r="BE59" s="761">
        <v>0</v>
      </c>
      <c r="BF59" s="761">
        <v>0</v>
      </c>
      <c r="BG59" s="761">
        <v>0</v>
      </c>
      <c r="BH59" s="761">
        <v>0</v>
      </c>
      <c r="BI59" s="761">
        <v>0</v>
      </c>
      <c r="BJ59" s="761">
        <v>0</v>
      </c>
      <c r="BK59" s="761">
        <v>0</v>
      </c>
      <c r="BL59" s="761">
        <v>0</v>
      </c>
      <c r="BM59" s="761">
        <v>0</v>
      </c>
      <c r="BN59" s="761">
        <v>0</v>
      </c>
      <c r="BO59" s="761">
        <v>0</v>
      </c>
      <c r="BP59" s="761">
        <v>0</v>
      </c>
      <c r="BQ59" s="761">
        <v>0</v>
      </c>
      <c r="BR59" s="761">
        <v>0</v>
      </c>
      <c r="BS59" s="761">
        <v>0</v>
      </c>
      <c r="BT59" s="762">
        <v>0</v>
      </c>
    </row>
    <row r="60" spans="2:73" ht="15.75">
      <c r="B60" s="759" t="s">
        <v>208</v>
      </c>
      <c r="C60" s="759" t="s">
        <v>767</v>
      </c>
      <c r="D60" s="759" t="s">
        <v>1</v>
      </c>
      <c r="E60" s="759" t="s">
        <v>747</v>
      </c>
      <c r="F60" s="759" t="s">
        <v>29</v>
      </c>
      <c r="G60" s="759" t="s">
        <v>768</v>
      </c>
      <c r="H60" s="759">
        <v>2014</v>
      </c>
      <c r="I60" s="644" t="s">
        <v>569</v>
      </c>
      <c r="J60" s="644" t="s">
        <v>584</v>
      </c>
      <c r="K60" s="633"/>
      <c r="L60" s="760">
        <v>0</v>
      </c>
      <c r="M60" s="761">
        <v>0</v>
      </c>
      <c r="N60" s="761">
        <v>0</v>
      </c>
      <c r="O60" s="761">
        <v>1.5602843347195228</v>
      </c>
      <c r="P60" s="761">
        <v>1.5602843347195228</v>
      </c>
      <c r="Q60" s="761">
        <v>1.5602843347195228</v>
      </c>
      <c r="R60" s="761">
        <v>1.5602843347195228</v>
      </c>
      <c r="S60" s="761">
        <v>1.5602843347195228</v>
      </c>
      <c r="T60" s="761">
        <v>0</v>
      </c>
      <c r="U60" s="761">
        <v>0</v>
      </c>
      <c r="V60" s="761">
        <v>0</v>
      </c>
      <c r="W60" s="761">
        <v>0</v>
      </c>
      <c r="X60" s="761">
        <v>0</v>
      </c>
      <c r="Y60" s="761">
        <v>0</v>
      </c>
      <c r="Z60" s="761">
        <v>0</v>
      </c>
      <c r="AA60" s="761">
        <v>0</v>
      </c>
      <c r="AB60" s="761">
        <v>0</v>
      </c>
      <c r="AC60" s="761">
        <v>0</v>
      </c>
      <c r="AD60" s="761">
        <v>0</v>
      </c>
      <c r="AE60" s="761">
        <v>0</v>
      </c>
      <c r="AF60" s="761">
        <v>0</v>
      </c>
      <c r="AG60" s="761">
        <v>0</v>
      </c>
      <c r="AH60" s="761">
        <v>0</v>
      </c>
      <c r="AI60" s="761">
        <v>0</v>
      </c>
      <c r="AJ60" s="761">
        <v>0</v>
      </c>
      <c r="AK60" s="761">
        <v>0</v>
      </c>
      <c r="AL60" s="761">
        <v>0</v>
      </c>
      <c r="AM60" s="761">
        <v>0</v>
      </c>
      <c r="AN60" s="761">
        <v>0</v>
      </c>
      <c r="AO60" s="762">
        <v>0</v>
      </c>
      <c r="AP60" s="633"/>
      <c r="AQ60" s="760">
        <v>0</v>
      </c>
      <c r="AR60" s="761">
        <v>0</v>
      </c>
      <c r="AS60" s="761">
        <v>0</v>
      </c>
      <c r="AT60" s="761">
        <v>10616.768154433814</v>
      </c>
      <c r="AU60" s="761">
        <v>10616.768154433814</v>
      </c>
      <c r="AV60" s="761">
        <v>10616.768154433814</v>
      </c>
      <c r="AW60" s="761">
        <v>10616.768154433814</v>
      </c>
      <c r="AX60" s="761">
        <v>10616.768154433814</v>
      </c>
      <c r="AY60" s="761">
        <v>0</v>
      </c>
      <c r="AZ60" s="761">
        <v>0</v>
      </c>
      <c r="BA60" s="761">
        <v>0</v>
      </c>
      <c r="BB60" s="761">
        <v>0</v>
      </c>
      <c r="BC60" s="761">
        <v>0</v>
      </c>
      <c r="BD60" s="761">
        <v>0</v>
      </c>
      <c r="BE60" s="761">
        <v>0</v>
      </c>
      <c r="BF60" s="761">
        <v>0</v>
      </c>
      <c r="BG60" s="761">
        <v>0</v>
      </c>
      <c r="BH60" s="761">
        <v>0</v>
      </c>
      <c r="BI60" s="761">
        <v>0</v>
      </c>
      <c r="BJ60" s="761">
        <v>0</v>
      </c>
      <c r="BK60" s="761">
        <v>0</v>
      </c>
      <c r="BL60" s="761">
        <v>0</v>
      </c>
      <c r="BM60" s="761">
        <v>0</v>
      </c>
      <c r="BN60" s="761">
        <v>0</v>
      </c>
      <c r="BO60" s="761">
        <v>0</v>
      </c>
      <c r="BP60" s="761">
        <v>0</v>
      </c>
      <c r="BQ60" s="761">
        <v>0</v>
      </c>
      <c r="BR60" s="761">
        <v>0</v>
      </c>
      <c r="BS60" s="761">
        <v>0</v>
      </c>
      <c r="BT60" s="762">
        <v>0</v>
      </c>
      <c r="BU60" s="163"/>
    </row>
    <row r="61" spans="2:73">
      <c r="B61" s="759" t="s">
        <v>208</v>
      </c>
      <c r="C61" s="759" t="s">
        <v>767</v>
      </c>
      <c r="D61" s="759" t="s">
        <v>5</v>
      </c>
      <c r="E61" s="759" t="s">
        <v>747</v>
      </c>
      <c r="F61" s="759" t="s">
        <v>29</v>
      </c>
      <c r="G61" s="759" t="s">
        <v>768</v>
      </c>
      <c r="H61" s="759">
        <v>2014</v>
      </c>
      <c r="I61" s="644" t="s">
        <v>569</v>
      </c>
      <c r="J61" s="644" t="s">
        <v>584</v>
      </c>
      <c r="K61" s="633"/>
      <c r="L61" s="760">
        <v>0</v>
      </c>
      <c r="M61" s="761">
        <v>0</v>
      </c>
      <c r="N61" s="761">
        <v>0</v>
      </c>
      <c r="O61" s="761">
        <v>6.7605220050000003</v>
      </c>
      <c r="P61" s="761">
        <v>5.9012019860000002</v>
      </c>
      <c r="Q61" s="761">
        <v>5.4533719730000003</v>
      </c>
      <c r="R61" s="761">
        <v>5.4533719730000003</v>
      </c>
      <c r="S61" s="761">
        <v>5.4533719730000003</v>
      </c>
      <c r="T61" s="761">
        <v>5.4533719730000003</v>
      </c>
      <c r="U61" s="761">
        <v>5.4533719730000003</v>
      </c>
      <c r="V61" s="761">
        <v>5.4492933929999996</v>
      </c>
      <c r="W61" s="761">
        <v>5.4492933929999996</v>
      </c>
      <c r="X61" s="761">
        <v>5.0872942380000001</v>
      </c>
      <c r="Y61" s="761">
        <v>4.6297501749999999</v>
      </c>
      <c r="Z61" s="761">
        <v>3.9218252769999995</v>
      </c>
      <c r="AA61" s="761">
        <v>3.9218252769999995</v>
      </c>
      <c r="AB61" s="761">
        <v>3.9029535360000001</v>
      </c>
      <c r="AC61" s="761">
        <v>3.9029535360000001</v>
      </c>
      <c r="AD61" s="761">
        <v>3.894981483</v>
      </c>
      <c r="AE61" s="761">
        <v>3.166364052</v>
      </c>
      <c r="AF61" s="761">
        <v>3.166364052</v>
      </c>
      <c r="AG61" s="761">
        <v>3.166364052</v>
      </c>
      <c r="AH61" s="761">
        <v>3.166364052</v>
      </c>
      <c r="AI61" s="761">
        <v>0</v>
      </c>
      <c r="AJ61" s="761">
        <v>0</v>
      </c>
      <c r="AK61" s="761">
        <v>0</v>
      </c>
      <c r="AL61" s="761">
        <v>0</v>
      </c>
      <c r="AM61" s="761">
        <v>0</v>
      </c>
      <c r="AN61" s="761">
        <v>0</v>
      </c>
      <c r="AO61" s="762">
        <v>0</v>
      </c>
      <c r="AP61" s="633"/>
      <c r="AQ61" s="760">
        <v>0</v>
      </c>
      <c r="AR61" s="761">
        <v>0</v>
      </c>
      <c r="AS61" s="761">
        <v>0</v>
      </c>
      <c r="AT61" s="761">
        <v>103300.35219999999</v>
      </c>
      <c r="AU61" s="761">
        <v>89611.964340000006</v>
      </c>
      <c r="AV61" s="761">
        <v>82478.334510000001</v>
      </c>
      <c r="AW61" s="761">
        <v>82478.334510000001</v>
      </c>
      <c r="AX61" s="761">
        <v>82478.334510000001</v>
      </c>
      <c r="AY61" s="761">
        <v>82478.334510000001</v>
      </c>
      <c r="AZ61" s="761">
        <v>82478.334510000001</v>
      </c>
      <c r="BA61" s="761">
        <v>82442.606140000004</v>
      </c>
      <c r="BB61" s="761">
        <v>82442.606140000004</v>
      </c>
      <c r="BC61" s="761">
        <v>76676.203949999996</v>
      </c>
      <c r="BD61" s="761">
        <v>74543.871939999997</v>
      </c>
      <c r="BE61" s="761">
        <v>63034.92136</v>
      </c>
      <c r="BF61" s="761">
        <v>63034.92136</v>
      </c>
      <c r="BG61" s="761">
        <v>62132.266710000004</v>
      </c>
      <c r="BH61" s="761">
        <v>62132.266710000004</v>
      </c>
      <c r="BI61" s="761">
        <v>62044.425969999997</v>
      </c>
      <c r="BJ61" s="761">
        <v>50438.042099999999</v>
      </c>
      <c r="BK61" s="761">
        <v>50438.042099999999</v>
      </c>
      <c r="BL61" s="761">
        <v>50438.042099999999</v>
      </c>
      <c r="BM61" s="761">
        <v>50438.042099999999</v>
      </c>
      <c r="BN61" s="761">
        <v>0</v>
      </c>
      <c r="BO61" s="761">
        <v>0</v>
      </c>
      <c r="BP61" s="761">
        <v>0</v>
      </c>
      <c r="BQ61" s="761">
        <v>0</v>
      </c>
      <c r="BR61" s="761">
        <v>0</v>
      </c>
      <c r="BS61" s="761">
        <v>0</v>
      </c>
      <c r="BT61" s="762">
        <v>0</v>
      </c>
    </row>
    <row r="62" spans="2:73">
      <c r="B62" s="759" t="s">
        <v>208</v>
      </c>
      <c r="C62" s="759" t="s">
        <v>767</v>
      </c>
      <c r="D62" s="759" t="s">
        <v>4</v>
      </c>
      <c r="E62" s="759" t="s">
        <v>747</v>
      </c>
      <c r="F62" s="759" t="s">
        <v>29</v>
      </c>
      <c r="G62" s="759" t="s">
        <v>768</v>
      </c>
      <c r="H62" s="759">
        <v>2014</v>
      </c>
      <c r="I62" s="644" t="s">
        <v>569</v>
      </c>
      <c r="J62" s="644" t="s">
        <v>584</v>
      </c>
      <c r="K62" s="633"/>
      <c r="L62" s="760">
        <v>0</v>
      </c>
      <c r="M62" s="761">
        <v>0</v>
      </c>
      <c r="N62" s="761">
        <v>0</v>
      </c>
      <c r="O62" s="761">
        <v>1.7705884730000001</v>
      </c>
      <c r="P62" s="761">
        <v>1.6683144809999999</v>
      </c>
      <c r="Q62" s="761">
        <v>1.6189186820000001</v>
      </c>
      <c r="R62" s="761">
        <v>1.6189186820000001</v>
      </c>
      <c r="S62" s="761">
        <v>1.6189186820000001</v>
      </c>
      <c r="T62" s="761">
        <v>1.6189186820000001</v>
      </c>
      <c r="U62" s="761">
        <v>1.6189186820000001</v>
      </c>
      <c r="V62" s="761">
        <v>1.6142028239999999</v>
      </c>
      <c r="W62" s="761">
        <v>1.6142028239999999</v>
      </c>
      <c r="X62" s="761">
        <v>1.421955809</v>
      </c>
      <c r="Y62" s="761">
        <v>1.036152218</v>
      </c>
      <c r="Z62" s="761">
        <v>1.036126681</v>
      </c>
      <c r="AA62" s="761">
        <v>1.036126681</v>
      </c>
      <c r="AB62" s="761">
        <v>1.0340785480000001</v>
      </c>
      <c r="AC62" s="761">
        <v>1.0340785480000001</v>
      </c>
      <c r="AD62" s="761">
        <v>1.032294163</v>
      </c>
      <c r="AE62" s="761">
        <v>0.46518151400000002</v>
      </c>
      <c r="AF62" s="761">
        <v>0.46518151400000002</v>
      </c>
      <c r="AG62" s="761">
        <v>0.46518151400000002</v>
      </c>
      <c r="AH62" s="761">
        <v>0.46518151400000002</v>
      </c>
      <c r="AI62" s="761">
        <v>0</v>
      </c>
      <c r="AJ62" s="761">
        <v>0</v>
      </c>
      <c r="AK62" s="761">
        <v>0</v>
      </c>
      <c r="AL62" s="761">
        <v>0</v>
      </c>
      <c r="AM62" s="761">
        <v>0</v>
      </c>
      <c r="AN62" s="761">
        <v>0</v>
      </c>
      <c r="AO62" s="762">
        <v>0</v>
      </c>
      <c r="AP62" s="633"/>
      <c r="AQ62" s="760">
        <v>0</v>
      </c>
      <c r="AR62" s="761">
        <v>0</v>
      </c>
      <c r="AS62" s="761">
        <v>0</v>
      </c>
      <c r="AT62" s="761">
        <v>23666.12501</v>
      </c>
      <c r="AU62" s="761">
        <v>22036.969349999999</v>
      </c>
      <c r="AV62" s="761">
        <v>21250.127619999999</v>
      </c>
      <c r="AW62" s="761">
        <v>21250.127619999999</v>
      </c>
      <c r="AX62" s="761">
        <v>21250.127619999999</v>
      </c>
      <c r="AY62" s="761">
        <v>21250.127619999999</v>
      </c>
      <c r="AZ62" s="761">
        <v>21250.127619999999</v>
      </c>
      <c r="BA62" s="761">
        <v>21208.816699999999</v>
      </c>
      <c r="BB62" s="761">
        <v>21208.816699999999</v>
      </c>
      <c r="BC62" s="761">
        <v>18146.451509999999</v>
      </c>
      <c r="BD62" s="761">
        <v>16773.04623</v>
      </c>
      <c r="BE62" s="761">
        <v>16562.594929999999</v>
      </c>
      <c r="BF62" s="761">
        <v>16562.594929999999</v>
      </c>
      <c r="BG62" s="761">
        <v>16463.410629999998</v>
      </c>
      <c r="BH62" s="761">
        <v>16463.410629999998</v>
      </c>
      <c r="BI62" s="761">
        <v>16443.749230000001</v>
      </c>
      <c r="BJ62" s="761">
        <v>7410.0275259999999</v>
      </c>
      <c r="BK62" s="761">
        <v>7410.0275259999999</v>
      </c>
      <c r="BL62" s="761">
        <v>7410.0275259999999</v>
      </c>
      <c r="BM62" s="761">
        <v>7410.0275259999999</v>
      </c>
      <c r="BN62" s="761">
        <v>0</v>
      </c>
      <c r="BO62" s="761">
        <v>0</v>
      </c>
      <c r="BP62" s="761">
        <v>0</v>
      </c>
      <c r="BQ62" s="761">
        <v>0</v>
      </c>
      <c r="BR62" s="761">
        <v>0</v>
      </c>
      <c r="BS62" s="761">
        <v>0</v>
      </c>
      <c r="BT62" s="762">
        <v>0</v>
      </c>
    </row>
    <row r="63" spans="2:73">
      <c r="B63" s="759" t="s">
        <v>208</v>
      </c>
      <c r="C63" s="759" t="s">
        <v>769</v>
      </c>
      <c r="D63" s="759" t="s">
        <v>21</v>
      </c>
      <c r="E63" s="759" t="s">
        <v>747</v>
      </c>
      <c r="F63" s="759" t="s">
        <v>779</v>
      </c>
      <c r="G63" s="759" t="s">
        <v>768</v>
      </c>
      <c r="H63" s="759">
        <v>2014</v>
      </c>
      <c r="I63" s="644" t="s">
        <v>569</v>
      </c>
      <c r="J63" s="644" t="s">
        <v>584</v>
      </c>
      <c r="K63" s="633"/>
      <c r="L63" s="760">
        <v>0</v>
      </c>
      <c r="M63" s="761">
        <v>0</v>
      </c>
      <c r="N63" s="761">
        <v>0</v>
      </c>
      <c r="O63" s="761">
        <v>15.35525052</v>
      </c>
      <c r="P63" s="761">
        <v>15.165059469999999</v>
      </c>
      <c r="Q63" s="761">
        <v>14.210945690000001</v>
      </c>
      <c r="R63" s="761">
        <v>10.66641531</v>
      </c>
      <c r="S63" s="761">
        <v>10.66641531</v>
      </c>
      <c r="T63" s="761">
        <v>10.66641531</v>
      </c>
      <c r="U63" s="761">
        <v>10.66641531</v>
      </c>
      <c r="V63" s="761">
        <v>10.66641531</v>
      </c>
      <c r="W63" s="761">
        <v>10.66641531</v>
      </c>
      <c r="X63" s="761">
        <v>10.66641531</v>
      </c>
      <c r="Y63" s="761">
        <v>10.66641531</v>
      </c>
      <c r="Z63" s="761">
        <v>9.3498307440000001</v>
      </c>
      <c r="AA63" s="761">
        <v>0</v>
      </c>
      <c r="AB63" s="761">
        <v>0</v>
      </c>
      <c r="AC63" s="761">
        <v>0</v>
      </c>
      <c r="AD63" s="761">
        <v>0</v>
      </c>
      <c r="AE63" s="761">
        <v>0</v>
      </c>
      <c r="AF63" s="761">
        <v>0</v>
      </c>
      <c r="AG63" s="761">
        <v>0</v>
      </c>
      <c r="AH63" s="761">
        <v>0</v>
      </c>
      <c r="AI63" s="761">
        <v>0</v>
      </c>
      <c r="AJ63" s="761">
        <v>0</v>
      </c>
      <c r="AK63" s="761">
        <v>0</v>
      </c>
      <c r="AL63" s="761">
        <v>0</v>
      </c>
      <c r="AM63" s="761">
        <v>0</v>
      </c>
      <c r="AN63" s="761">
        <v>0</v>
      </c>
      <c r="AO63" s="762">
        <v>0</v>
      </c>
      <c r="AP63" s="633"/>
      <c r="AQ63" s="760">
        <v>0</v>
      </c>
      <c r="AR63" s="761">
        <v>0</v>
      </c>
      <c r="AS63" s="761">
        <v>0</v>
      </c>
      <c r="AT63" s="761">
        <v>52904.290760000004</v>
      </c>
      <c r="AU63" s="761">
        <v>52159.344129999998</v>
      </c>
      <c r="AV63" s="761">
        <v>48756.82748</v>
      </c>
      <c r="AW63" s="761">
        <v>36830.740850000002</v>
      </c>
      <c r="AX63" s="761">
        <v>36830.740850000002</v>
      </c>
      <c r="AY63" s="761">
        <v>36830.740850000002</v>
      </c>
      <c r="AZ63" s="761">
        <v>36830.740850000002</v>
      </c>
      <c r="BA63" s="761">
        <v>36830.740850000002</v>
      </c>
      <c r="BB63" s="761">
        <v>36830.740850000002</v>
      </c>
      <c r="BC63" s="761">
        <v>36830.740850000002</v>
      </c>
      <c r="BD63" s="761">
        <v>36830.740850000002</v>
      </c>
      <c r="BE63" s="761">
        <v>31942.319289999999</v>
      </c>
      <c r="BF63" s="761">
        <v>0</v>
      </c>
      <c r="BG63" s="761">
        <v>0</v>
      </c>
      <c r="BH63" s="761">
        <v>0</v>
      </c>
      <c r="BI63" s="761">
        <v>0</v>
      </c>
      <c r="BJ63" s="761">
        <v>0</v>
      </c>
      <c r="BK63" s="761">
        <v>0</v>
      </c>
      <c r="BL63" s="761">
        <v>0</v>
      </c>
      <c r="BM63" s="761">
        <v>0</v>
      </c>
      <c r="BN63" s="761">
        <v>0</v>
      </c>
      <c r="BO63" s="761">
        <v>0</v>
      </c>
      <c r="BP63" s="761">
        <v>0</v>
      </c>
      <c r="BQ63" s="761">
        <v>0</v>
      </c>
      <c r="BR63" s="761">
        <v>0</v>
      </c>
      <c r="BS63" s="761">
        <v>0</v>
      </c>
      <c r="BT63" s="762">
        <v>0</v>
      </c>
    </row>
    <row r="64" spans="2:73">
      <c r="B64" s="759" t="s">
        <v>208</v>
      </c>
      <c r="C64" s="759" t="s">
        <v>777</v>
      </c>
      <c r="D64" s="759" t="s">
        <v>14</v>
      </c>
      <c r="E64" s="759" t="s">
        <v>747</v>
      </c>
      <c r="F64" s="759" t="s">
        <v>29</v>
      </c>
      <c r="G64" s="759" t="s">
        <v>768</v>
      </c>
      <c r="H64" s="759">
        <v>2014</v>
      </c>
      <c r="I64" s="644" t="s">
        <v>569</v>
      </c>
      <c r="J64" s="644" t="s">
        <v>584</v>
      </c>
      <c r="K64" s="633"/>
      <c r="L64" s="760">
        <v>0</v>
      </c>
      <c r="M64" s="761">
        <v>0</v>
      </c>
      <c r="N64" s="761">
        <v>0</v>
      </c>
      <c r="O64" s="761">
        <v>7.4468560220000004</v>
      </c>
      <c r="P64" s="761">
        <v>7.4389760010000003</v>
      </c>
      <c r="Q64" s="761">
        <v>7.0080603950000002</v>
      </c>
      <c r="R64" s="761">
        <v>6.8241226619999997</v>
      </c>
      <c r="S64" s="761">
        <v>6.6365213509999998</v>
      </c>
      <c r="T64" s="761">
        <v>6.6365213509999998</v>
      </c>
      <c r="U64" s="761">
        <v>6.4708146129999999</v>
      </c>
      <c r="V64" s="761">
        <v>6.4708146129999999</v>
      </c>
      <c r="W64" s="761">
        <v>4.7660564059999997</v>
      </c>
      <c r="X64" s="761">
        <v>4.7660564059999997</v>
      </c>
      <c r="Y64" s="761">
        <v>0.758031236</v>
      </c>
      <c r="Z64" s="761">
        <v>0.758031236</v>
      </c>
      <c r="AA64" s="761">
        <v>0.758031236</v>
      </c>
      <c r="AB64" s="761">
        <v>0.758031236</v>
      </c>
      <c r="AC64" s="761">
        <v>0.59383124300000001</v>
      </c>
      <c r="AD64" s="761">
        <v>0</v>
      </c>
      <c r="AE64" s="761">
        <v>0</v>
      </c>
      <c r="AF64" s="761">
        <v>0</v>
      </c>
      <c r="AG64" s="761">
        <v>0</v>
      </c>
      <c r="AH64" s="761">
        <v>0</v>
      </c>
      <c r="AI64" s="761">
        <v>0</v>
      </c>
      <c r="AJ64" s="761">
        <v>0</v>
      </c>
      <c r="AK64" s="761">
        <v>0</v>
      </c>
      <c r="AL64" s="761">
        <v>0</v>
      </c>
      <c r="AM64" s="761">
        <v>0</v>
      </c>
      <c r="AN64" s="761">
        <v>0</v>
      </c>
      <c r="AO64" s="762">
        <v>0</v>
      </c>
      <c r="AP64" s="633"/>
      <c r="AQ64" s="760">
        <v>0</v>
      </c>
      <c r="AR64" s="761">
        <v>0</v>
      </c>
      <c r="AS64" s="761">
        <v>0</v>
      </c>
      <c r="AT64" s="761">
        <v>91975.496710000007</v>
      </c>
      <c r="AU64" s="761">
        <v>91822.043600000005</v>
      </c>
      <c r="AV64" s="761">
        <v>83543.472640000007</v>
      </c>
      <c r="AW64" s="761">
        <v>80018.000490000006</v>
      </c>
      <c r="AX64" s="761">
        <v>76421.368730000002</v>
      </c>
      <c r="AY64" s="761">
        <v>76421.368730000002</v>
      </c>
      <c r="AZ64" s="761">
        <v>73242.504719999997</v>
      </c>
      <c r="BA64" s="761">
        <v>73242.504719999997</v>
      </c>
      <c r="BB64" s="761">
        <v>40493.823400000001</v>
      </c>
      <c r="BC64" s="761">
        <v>40493.823400000001</v>
      </c>
      <c r="BD64" s="761">
        <v>6255.5625</v>
      </c>
      <c r="BE64" s="761">
        <v>6255.5625</v>
      </c>
      <c r="BF64" s="761">
        <v>6255.5625</v>
      </c>
      <c r="BG64" s="761">
        <v>6255.5625</v>
      </c>
      <c r="BH64" s="761">
        <v>4905.5625</v>
      </c>
      <c r="BI64" s="761">
        <v>0</v>
      </c>
      <c r="BJ64" s="761">
        <v>0</v>
      </c>
      <c r="BK64" s="761">
        <v>0</v>
      </c>
      <c r="BL64" s="761">
        <v>0</v>
      </c>
      <c r="BM64" s="761">
        <v>0</v>
      </c>
      <c r="BN64" s="761">
        <v>0</v>
      </c>
      <c r="BO64" s="761">
        <v>0</v>
      </c>
      <c r="BP64" s="761">
        <v>0</v>
      </c>
      <c r="BQ64" s="761">
        <v>0</v>
      </c>
      <c r="BR64" s="761">
        <v>0</v>
      </c>
      <c r="BS64" s="761">
        <v>0</v>
      </c>
      <c r="BT64" s="762">
        <v>0</v>
      </c>
    </row>
    <row r="65" spans="2:73">
      <c r="B65" s="759" t="s">
        <v>208</v>
      </c>
      <c r="C65" s="759" t="s">
        <v>767</v>
      </c>
      <c r="D65" s="759" t="s">
        <v>3</v>
      </c>
      <c r="E65" s="759" t="s">
        <v>747</v>
      </c>
      <c r="F65" s="759" t="s">
        <v>29</v>
      </c>
      <c r="G65" s="759" t="s">
        <v>768</v>
      </c>
      <c r="H65" s="759">
        <v>2014</v>
      </c>
      <c r="I65" s="644" t="s">
        <v>569</v>
      </c>
      <c r="J65" s="644" t="s">
        <v>584</v>
      </c>
      <c r="K65" s="633"/>
      <c r="L65" s="760">
        <v>0</v>
      </c>
      <c r="M65" s="761">
        <v>0</v>
      </c>
      <c r="N65" s="761">
        <v>0</v>
      </c>
      <c r="O65" s="761">
        <v>0.40295044899999999</v>
      </c>
      <c r="P65" s="761">
        <v>0.40295044899999999</v>
      </c>
      <c r="Q65" s="761">
        <v>0.40295044899999999</v>
      </c>
      <c r="R65" s="761">
        <v>0.40295044899999999</v>
      </c>
      <c r="S65" s="761">
        <v>0.40295044899999999</v>
      </c>
      <c r="T65" s="761">
        <v>0.40295044899999999</v>
      </c>
      <c r="U65" s="761">
        <v>0.40295044899999999</v>
      </c>
      <c r="V65" s="761">
        <v>0.40295044899999999</v>
      </c>
      <c r="W65" s="761">
        <v>0.40295044899999999</v>
      </c>
      <c r="X65" s="761">
        <v>0.40295044899999999</v>
      </c>
      <c r="Y65" s="761">
        <v>0.40295044899999999</v>
      </c>
      <c r="Z65" s="761">
        <v>0.40295044899999999</v>
      </c>
      <c r="AA65" s="761">
        <v>0.40295044899999999</v>
      </c>
      <c r="AB65" s="761">
        <v>0.40295044899999999</v>
      </c>
      <c r="AC65" s="761">
        <v>0.40295044899999999</v>
      </c>
      <c r="AD65" s="761">
        <v>0.40295044899999999</v>
      </c>
      <c r="AE65" s="761">
        <v>0.40295044899999999</v>
      </c>
      <c r="AF65" s="761">
        <v>0.40295044899999999</v>
      </c>
      <c r="AG65" s="761">
        <v>0.29743244699999999</v>
      </c>
      <c r="AH65" s="761">
        <v>0</v>
      </c>
      <c r="AI65" s="761">
        <v>0</v>
      </c>
      <c r="AJ65" s="761">
        <v>0</v>
      </c>
      <c r="AK65" s="761">
        <v>0</v>
      </c>
      <c r="AL65" s="761">
        <v>0</v>
      </c>
      <c r="AM65" s="761">
        <v>0</v>
      </c>
      <c r="AN65" s="761">
        <v>0</v>
      </c>
      <c r="AO65" s="762">
        <v>0</v>
      </c>
      <c r="AP65" s="633"/>
      <c r="AQ65" s="760">
        <v>0</v>
      </c>
      <c r="AR65" s="761">
        <v>0</v>
      </c>
      <c r="AS65" s="761">
        <v>0</v>
      </c>
      <c r="AT65" s="761">
        <v>675.85157537999999</v>
      </c>
      <c r="AU65" s="761">
        <v>675.85157537999999</v>
      </c>
      <c r="AV65" s="761">
        <v>675.85157537999999</v>
      </c>
      <c r="AW65" s="761">
        <v>675.85157537999999</v>
      </c>
      <c r="AX65" s="761">
        <v>675.85157537999999</v>
      </c>
      <c r="AY65" s="761">
        <v>675.85157537999999</v>
      </c>
      <c r="AZ65" s="761">
        <v>675.85157537999999</v>
      </c>
      <c r="BA65" s="761">
        <v>675.85157537999999</v>
      </c>
      <c r="BB65" s="761">
        <v>675.85157537999999</v>
      </c>
      <c r="BC65" s="761">
        <v>675.85157537999999</v>
      </c>
      <c r="BD65" s="761">
        <v>675.85157537999999</v>
      </c>
      <c r="BE65" s="761">
        <v>675.85157537999999</v>
      </c>
      <c r="BF65" s="761">
        <v>675.85157537999999</v>
      </c>
      <c r="BG65" s="761">
        <v>675.85157537999999</v>
      </c>
      <c r="BH65" s="761">
        <v>675.85157537999999</v>
      </c>
      <c r="BI65" s="761">
        <v>675.85157537999999</v>
      </c>
      <c r="BJ65" s="761">
        <v>675.85157537999999</v>
      </c>
      <c r="BK65" s="761">
        <v>675.85157537999999</v>
      </c>
      <c r="BL65" s="761">
        <v>581.4916356</v>
      </c>
      <c r="BM65" s="761">
        <v>0</v>
      </c>
      <c r="BN65" s="761">
        <v>0</v>
      </c>
      <c r="BO65" s="761">
        <v>0</v>
      </c>
      <c r="BP65" s="761">
        <v>0</v>
      </c>
      <c r="BQ65" s="761">
        <v>0</v>
      </c>
      <c r="BR65" s="761">
        <v>0</v>
      </c>
      <c r="BS65" s="761">
        <v>0</v>
      </c>
      <c r="BT65" s="762">
        <v>0</v>
      </c>
    </row>
    <row r="66" spans="2:73">
      <c r="B66" s="759" t="s">
        <v>208</v>
      </c>
      <c r="C66" s="759" t="s">
        <v>769</v>
      </c>
      <c r="D66" s="759" t="s">
        <v>22</v>
      </c>
      <c r="E66" s="759" t="s">
        <v>747</v>
      </c>
      <c r="F66" s="759" t="s">
        <v>779</v>
      </c>
      <c r="G66" s="759" t="s">
        <v>768</v>
      </c>
      <c r="H66" s="759">
        <v>2014</v>
      </c>
      <c r="I66" s="644" t="s">
        <v>569</v>
      </c>
      <c r="J66" s="644" t="s">
        <v>584</v>
      </c>
      <c r="K66" s="633"/>
      <c r="L66" s="760">
        <v>0</v>
      </c>
      <c r="M66" s="761">
        <v>0</v>
      </c>
      <c r="N66" s="761">
        <v>0</v>
      </c>
      <c r="O66" s="761">
        <v>10.99671745</v>
      </c>
      <c r="P66" s="761">
        <v>10.99671745</v>
      </c>
      <c r="Q66" s="761">
        <v>10.99671745</v>
      </c>
      <c r="R66" s="761">
        <v>10.99671745</v>
      </c>
      <c r="S66" s="761">
        <v>10.99671745</v>
      </c>
      <c r="T66" s="761">
        <v>10.99671745</v>
      </c>
      <c r="U66" s="761">
        <v>10.402329529999999</v>
      </c>
      <c r="V66" s="761">
        <v>10.402329529999999</v>
      </c>
      <c r="W66" s="761">
        <v>9.9266443150000008</v>
      </c>
      <c r="X66" s="761">
        <v>7.408528424</v>
      </c>
      <c r="Y66" s="761">
        <v>4.9440266599999996</v>
      </c>
      <c r="Z66" s="761">
        <v>4.9440266599999996</v>
      </c>
      <c r="AA66" s="761">
        <v>4.9440266599999996</v>
      </c>
      <c r="AB66" s="761">
        <v>4.9440266599999996</v>
      </c>
      <c r="AC66" s="761">
        <v>4.9440266599999996</v>
      </c>
      <c r="AD66" s="761">
        <v>3.882422434</v>
      </c>
      <c r="AE66" s="761">
        <v>0</v>
      </c>
      <c r="AF66" s="761">
        <v>0</v>
      </c>
      <c r="AG66" s="761">
        <v>0</v>
      </c>
      <c r="AH66" s="761">
        <v>0</v>
      </c>
      <c r="AI66" s="761">
        <v>0</v>
      </c>
      <c r="AJ66" s="761">
        <v>0</v>
      </c>
      <c r="AK66" s="761">
        <v>0</v>
      </c>
      <c r="AL66" s="761">
        <v>0</v>
      </c>
      <c r="AM66" s="761">
        <v>0</v>
      </c>
      <c r="AN66" s="761">
        <v>0</v>
      </c>
      <c r="AO66" s="762">
        <v>0</v>
      </c>
      <c r="AP66" s="633"/>
      <c r="AQ66" s="760">
        <v>0</v>
      </c>
      <c r="AR66" s="761">
        <v>0</v>
      </c>
      <c r="AS66" s="761">
        <v>0</v>
      </c>
      <c r="AT66" s="761">
        <v>28611.979080000001</v>
      </c>
      <c r="AU66" s="761">
        <v>28611.979080000001</v>
      </c>
      <c r="AV66" s="761">
        <v>28611.979080000001</v>
      </c>
      <c r="AW66" s="761">
        <v>28611.979080000001</v>
      </c>
      <c r="AX66" s="761">
        <v>28611.979080000001</v>
      </c>
      <c r="AY66" s="761">
        <v>28611.979080000001</v>
      </c>
      <c r="AZ66" s="761">
        <v>25741.23633</v>
      </c>
      <c r="BA66" s="761">
        <v>25741.23633</v>
      </c>
      <c r="BB66" s="761">
        <v>24084.192340000001</v>
      </c>
      <c r="BC66" s="761">
        <v>11922.331910000001</v>
      </c>
      <c r="BD66" s="761">
        <v>19.414094890000001</v>
      </c>
      <c r="BE66" s="761">
        <v>19.414094890000001</v>
      </c>
      <c r="BF66" s="761">
        <v>19.414094890000001</v>
      </c>
      <c r="BG66" s="761">
        <v>19.414094890000001</v>
      </c>
      <c r="BH66" s="761">
        <v>19.414094890000001</v>
      </c>
      <c r="BI66" s="761">
        <v>15.24541082</v>
      </c>
      <c r="BJ66" s="761">
        <v>0</v>
      </c>
      <c r="BK66" s="761">
        <v>0</v>
      </c>
      <c r="BL66" s="761">
        <v>0</v>
      </c>
      <c r="BM66" s="761">
        <v>0</v>
      </c>
      <c r="BN66" s="761">
        <v>0</v>
      </c>
      <c r="BO66" s="761">
        <v>0</v>
      </c>
      <c r="BP66" s="761">
        <v>0</v>
      </c>
      <c r="BQ66" s="761">
        <v>0</v>
      </c>
      <c r="BR66" s="761">
        <v>0</v>
      </c>
      <c r="BS66" s="761">
        <v>0</v>
      </c>
      <c r="BT66" s="762">
        <v>0</v>
      </c>
    </row>
    <row r="67" spans="2:73" s="777" customFormat="1">
      <c r="B67" s="766" t="s">
        <v>208</v>
      </c>
      <c r="C67" s="766" t="s">
        <v>489</v>
      </c>
      <c r="D67" s="766" t="s">
        <v>780</v>
      </c>
      <c r="E67" s="766" t="s">
        <v>747</v>
      </c>
      <c r="F67" s="766" t="s">
        <v>489</v>
      </c>
      <c r="G67" s="766" t="s">
        <v>768</v>
      </c>
      <c r="H67" s="766">
        <v>2014</v>
      </c>
      <c r="I67" s="767" t="s">
        <v>569</v>
      </c>
      <c r="J67" s="767" t="s">
        <v>584</v>
      </c>
      <c r="K67" s="768"/>
      <c r="L67" s="769">
        <v>0</v>
      </c>
      <c r="M67" s="770">
        <v>0</v>
      </c>
      <c r="N67" s="770">
        <v>0</v>
      </c>
      <c r="O67" s="770">
        <v>21.011144389999998</v>
      </c>
      <c r="P67" s="770">
        <v>0</v>
      </c>
      <c r="Q67" s="770">
        <v>0</v>
      </c>
      <c r="R67" s="770">
        <v>0</v>
      </c>
      <c r="S67" s="770">
        <v>0</v>
      </c>
      <c r="T67" s="770">
        <v>0</v>
      </c>
      <c r="U67" s="770">
        <v>0</v>
      </c>
      <c r="V67" s="770">
        <v>0</v>
      </c>
      <c r="W67" s="770">
        <v>0</v>
      </c>
      <c r="X67" s="770">
        <v>0</v>
      </c>
      <c r="Y67" s="770">
        <v>0</v>
      </c>
      <c r="Z67" s="770">
        <v>0</v>
      </c>
      <c r="AA67" s="770">
        <v>0</v>
      </c>
      <c r="AB67" s="770">
        <v>0</v>
      </c>
      <c r="AC67" s="770">
        <v>0</v>
      </c>
      <c r="AD67" s="770">
        <v>0</v>
      </c>
      <c r="AE67" s="770">
        <v>0</v>
      </c>
      <c r="AF67" s="770">
        <v>0</v>
      </c>
      <c r="AG67" s="770">
        <v>0</v>
      </c>
      <c r="AH67" s="770">
        <v>0</v>
      </c>
      <c r="AI67" s="770">
        <v>0</v>
      </c>
      <c r="AJ67" s="770">
        <v>0</v>
      </c>
      <c r="AK67" s="770">
        <v>0</v>
      </c>
      <c r="AL67" s="770">
        <v>0</v>
      </c>
      <c r="AM67" s="770">
        <v>0</v>
      </c>
      <c r="AN67" s="770">
        <v>0</v>
      </c>
      <c r="AO67" s="771">
        <v>0</v>
      </c>
      <c r="AP67" s="768"/>
      <c r="AQ67" s="769">
        <v>0</v>
      </c>
      <c r="AR67" s="770">
        <v>0</v>
      </c>
      <c r="AS67" s="770">
        <v>0</v>
      </c>
      <c r="AT67" s="770">
        <v>0</v>
      </c>
      <c r="AU67" s="770">
        <v>0</v>
      </c>
      <c r="AV67" s="770">
        <v>0</v>
      </c>
      <c r="AW67" s="770">
        <v>0</v>
      </c>
      <c r="AX67" s="770">
        <v>0</v>
      </c>
      <c r="AY67" s="770">
        <v>0</v>
      </c>
      <c r="AZ67" s="770">
        <v>0</v>
      </c>
      <c r="BA67" s="770">
        <v>0</v>
      </c>
      <c r="BB67" s="770">
        <v>0</v>
      </c>
      <c r="BC67" s="770">
        <v>0</v>
      </c>
      <c r="BD67" s="770">
        <v>0</v>
      </c>
      <c r="BE67" s="770">
        <v>0</v>
      </c>
      <c r="BF67" s="770">
        <v>0</v>
      </c>
      <c r="BG67" s="770">
        <v>0</v>
      </c>
      <c r="BH67" s="770">
        <v>0</v>
      </c>
      <c r="BI67" s="770">
        <v>0</v>
      </c>
      <c r="BJ67" s="770">
        <v>0</v>
      </c>
      <c r="BK67" s="770">
        <v>0</v>
      </c>
      <c r="BL67" s="770">
        <v>0</v>
      </c>
      <c r="BM67" s="770">
        <v>0</v>
      </c>
      <c r="BN67" s="770">
        <v>0</v>
      </c>
      <c r="BO67" s="770">
        <v>0</v>
      </c>
      <c r="BP67" s="770">
        <v>0</v>
      </c>
      <c r="BQ67" s="770">
        <v>0</v>
      </c>
      <c r="BR67" s="770">
        <v>0</v>
      </c>
      <c r="BS67" s="770">
        <v>0</v>
      </c>
      <c r="BT67" s="771">
        <v>0</v>
      </c>
      <c r="BU67" s="772"/>
    </row>
    <row r="68" spans="2:73">
      <c r="B68" s="759" t="s">
        <v>503</v>
      </c>
      <c r="C68" s="759" t="s">
        <v>767</v>
      </c>
      <c r="D68" s="759" t="s">
        <v>97</v>
      </c>
      <c r="E68" s="759" t="s">
        <v>747</v>
      </c>
      <c r="F68" s="759" t="s">
        <v>29</v>
      </c>
      <c r="G68" s="759" t="s">
        <v>768</v>
      </c>
      <c r="H68" s="759">
        <v>2015</v>
      </c>
      <c r="I68" s="644" t="s">
        <v>570</v>
      </c>
      <c r="J68" s="644" t="s">
        <v>584</v>
      </c>
      <c r="K68" s="633"/>
      <c r="L68" s="760"/>
      <c r="M68" s="761"/>
      <c r="N68" s="761"/>
      <c r="O68" s="761"/>
      <c r="P68" s="761">
        <v>2</v>
      </c>
      <c r="Q68" s="761">
        <v>2</v>
      </c>
      <c r="R68" s="761">
        <v>2</v>
      </c>
      <c r="S68" s="761">
        <v>2</v>
      </c>
      <c r="T68" s="761">
        <v>1</v>
      </c>
      <c r="U68" s="761">
        <v>0</v>
      </c>
      <c r="V68" s="761">
        <v>0</v>
      </c>
      <c r="W68" s="761">
        <v>0</v>
      </c>
      <c r="X68" s="761">
        <v>0</v>
      </c>
      <c r="Y68" s="761">
        <v>0</v>
      </c>
      <c r="Z68" s="761">
        <v>0</v>
      </c>
      <c r="AA68" s="761">
        <v>0</v>
      </c>
      <c r="AB68" s="761">
        <v>0</v>
      </c>
      <c r="AC68" s="761">
        <v>0</v>
      </c>
      <c r="AD68" s="761">
        <v>0</v>
      </c>
      <c r="AE68" s="761">
        <v>0</v>
      </c>
      <c r="AF68" s="761">
        <v>0</v>
      </c>
      <c r="AG68" s="761">
        <v>0</v>
      </c>
      <c r="AH68" s="761">
        <v>0</v>
      </c>
      <c r="AI68" s="761">
        <v>0</v>
      </c>
      <c r="AJ68" s="761">
        <v>0</v>
      </c>
      <c r="AK68" s="761">
        <v>0</v>
      </c>
      <c r="AL68" s="761">
        <v>0</v>
      </c>
      <c r="AM68" s="761">
        <v>0</v>
      </c>
      <c r="AN68" s="761">
        <v>0</v>
      </c>
      <c r="AO68" s="762">
        <v>0</v>
      </c>
      <c r="AP68" s="633"/>
      <c r="AQ68" s="760"/>
      <c r="AR68" s="761"/>
      <c r="AS68" s="761"/>
      <c r="AT68" s="761"/>
      <c r="AU68" s="761">
        <v>14859</v>
      </c>
      <c r="AV68" s="761">
        <v>14859</v>
      </c>
      <c r="AW68" s="761">
        <v>14859</v>
      </c>
      <c r="AX68" s="761">
        <v>14859</v>
      </c>
      <c r="AY68" s="761">
        <v>9767</v>
      </c>
      <c r="AZ68" s="761">
        <v>0</v>
      </c>
      <c r="BA68" s="761">
        <v>0</v>
      </c>
      <c r="BB68" s="761">
        <v>0</v>
      </c>
      <c r="BC68" s="761">
        <v>0</v>
      </c>
      <c r="BD68" s="761">
        <v>0</v>
      </c>
      <c r="BE68" s="761">
        <v>0</v>
      </c>
      <c r="BF68" s="761">
        <v>0</v>
      </c>
      <c r="BG68" s="761">
        <v>0</v>
      </c>
      <c r="BH68" s="761">
        <v>0</v>
      </c>
      <c r="BI68" s="761">
        <v>0</v>
      </c>
      <c r="BJ68" s="761">
        <v>0</v>
      </c>
      <c r="BK68" s="761">
        <v>0</v>
      </c>
      <c r="BL68" s="761">
        <v>0</v>
      </c>
      <c r="BM68" s="761">
        <v>0</v>
      </c>
      <c r="BN68" s="761">
        <v>0</v>
      </c>
      <c r="BO68" s="761">
        <v>0</v>
      </c>
      <c r="BP68" s="761">
        <v>0</v>
      </c>
      <c r="BQ68" s="761">
        <v>0</v>
      </c>
      <c r="BR68" s="761">
        <v>0</v>
      </c>
      <c r="BS68" s="761">
        <v>0</v>
      </c>
      <c r="BT68" s="762">
        <v>0</v>
      </c>
    </row>
    <row r="69" spans="2:73">
      <c r="B69" s="759" t="s">
        <v>503</v>
      </c>
      <c r="C69" s="759" t="s">
        <v>767</v>
      </c>
      <c r="D69" s="759" t="s">
        <v>96</v>
      </c>
      <c r="E69" s="759" t="s">
        <v>747</v>
      </c>
      <c r="F69" s="759" t="s">
        <v>29</v>
      </c>
      <c r="G69" s="759" t="s">
        <v>768</v>
      </c>
      <c r="H69" s="759">
        <v>2015</v>
      </c>
      <c r="I69" s="644" t="s">
        <v>570</v>
      </c>
      <c r="J69" s="644" t="s">
        <v>584</v>
      </c>
      <c r="K69" s="633"/>
      <c r="L69" s="760"/>
      <c r="M69" s="761"/>
      <c r="N69" s="761"/>
      <c r="O69" s="761"/>
      <c r="P69" s="761">
        <v>5</v>
      </c>
      <c r="Q69" s="761">
        <v>5</v>
      </c>
      <c r="R69" s="761">
        <v>5</v>
      </c>
      <c r="S69" s="761">
        <v>5</v>
      </c>
      <c r="T69" s="761">
        <v>5</v>
      </c>
      <c r="U69" s="761">
        <v>5</v>
      </c>
      <c r="V69" s="761">
        <v>5</v>
      </c>
      <c r="W69" s="761">
        <v>5</v>
      </c>
      <c r="X69" s="761">
        <v>5</v>
      </c>
      <c r="Y69" s="761">
        <v>5</v>
      </c>
      <c r="Z69" s="761">
        <v>4</v>
      </c>
      <c r="AA69" s="761">
        <v>4</v>
      </c>
      <c r="AB69" s="761">
        <v>4</v>
      </c>
      <c r="AC69" s="761">
        <v>4</v>
      </c>
      <c r="AD69" s="761">
        <v>4</v>
      </c>
      <c r="AE69" s="761">
        <v>4</v>
      </c>
      <c r="AF69" s="761">
        <v>2</v>
      </c>
      <c r="AG69" s="761">
        <v>2</v>
      </c>
      <c r="AH69" s="761">
        <v>2</v>
      </c>
      <c r="AI69" s="761">
        <v>2</v>
      </c>
      <c r="AJ69" s="761">
        <v>0</v>
      </c>
      <c r="AK69" s="761">
        <v>0</v>
      </c>
      <c r="AL69" s="761">
        <v>0</v>
      </c>
      <c r="AM69" s="761">
        <v>0</v>
      </c>
      <c r="AN69" s="761">
        <v>0</v>
      </c>
      <c r="AO69" s="762">
        <v>0</v>
      </c>
      <c r="AP69" s="633"/>
      <c r="AQ69" s="760"/>
      <c r="AR69" s="761"/>
      <c r="AS69" s="761"/>
      <c r="AT69" s="761"/>
      <c r="AU69" s="761">
        <v>77899</v>
      </c>
      <c r="AV69" s="761">
        <v>76515</v>
      </c>
      <c r="AW69" s="761">
        <v>76515</v>
      </c>
      <c r="AX69" s="761">
        <v>76515</v>
      </c>
      <c r="AY69" s="761">
        <v>76515</v>
      </c>
      <c r="AZ69" s="761">
        <v>76515</v>
      </c>
      <c r="BA69" s="761">
        <v>76515</v>
      </c>
      <c r="BB69" s="761">
        <v>76475</v>
      </c>
      <c r="BC69" s="761">
        <v>76475</v>
      </c>
      <c r="BD69" s="761">
        <v>76475</v>
      </c>
      <c r="BE69" s="761">
        <v>70521</v>
      </c>
      <c r="BF69" s="761">
        <v>66890</v>
      </c>
      <c r="BG69" s="761">
        <v>66890</v>
      </c>
      <c r="BH69" s="761">
        <v>65451</v>
      </c>
      <c r="BI69" s="761">
        <v>65451</v>
      </c>
      <c r="BJ69" s="761">
        <v>65298</v>
      </c>
      <c r="BK69" s="761">
        <v>24191</v>
      </c>
      <c r="BL69" s="761">
        <v>24191</v>
      </c>
      <c r="BM69" s="761">
        <v>24191</v>
      </c>
      <c r="BN69" s="761">
        <v>24191</v>
      </c>
      <c r="BO69" s="761">
        <v>0</v>
      </c>
      <c r="BP69" s="761">
        <v>0</v>
      </c>
      <c r="BQ69" s="761">
        <v>0</v>
      </c>
      <c r="BR69" s="761">
        <v>0</v>
      </c>
      <c r="BS69" s="761">
        <v>0</v>
      </c>
      <c r="BT69" s="762">
        <v>0</v>
      </c>
    </row>
    <row r="70" spans="2:73">
      <c r="B70" s="759" t="s">
        <v>503</v>
      </c>
      <c r="C70" s="759" t="s">
        <v>767</v>
      </c>
      <c r="D70" s="759" t="s">
        <v>95</v>
      </c>
      <c r="E70" s="759" t="s">
        <v>747</v>
      </c>
      <c r="F70" s="759" t="s">
        <v>29</v>
      </c>
      <c r="G70" s="759" t="s">
        <v>768</v>
      </c>
      <c r="H70" s="759">
        <v>2015</v>
      </c>
      <c r="I70" s="644" t="s">
        <v>570</v>
      </c>
      <c r="J70" s="644" t="s">
        <v>584</v>
      </c>
      <c r="K70" s="633"/>
      <c r="L70" s="760"/>
      <c r="M70" s="761"/>
      <c r="N70" s="761"/>
      <c r="O70" s="761"/>
      <c r="P70" s="761">
        <v>3</v>
      </c>
      <c r="Q70" s="761">
        <v>3</v>
      </c>
      <c r="R70" s="761">
        <v>3</v>
      </c>
      <c r="S70" s="761">
        <v>3</v>
      </c>
      <c r="T70" s="761">
        <v>3</v>
      </c>
      <c r="U70" s="761">
        <v>3</v>
      </c>
      <c r="V70" s="761">
        <v>3</v>
      </c>
      <c r="W70" s="761">
        <v>3</v>
      </c>
      <c r="X70" s="761">
        <v>3</v>
      </c>
      <c r="Y70" s="761">
        <v>3</v>
      </c>
      <c r="Z70" s="761">
        <v>2</v>
      </c>
      <c r="AA70" s="761">
        <v>2</v>
      </c>
      <c r="AB70" s="761">
        <v>2</v>
      </c>
      <c r="AC70" s="761">
        <v>2</v>
      </c>
      <c r="AD70" s="761">
        <v>2</v>
      </c>
      <c r="AE70" s="761">
        <v>2</v>
      </c>
      <c r="AF70" s="761">
        <v>1</v>
      </c>
      <c r="AG70" s="761">
        <v>1</v>
      </c>
      <c r="AH70" s="761">
        <v>1</v>
      </c>
      <c r="AI70" s="761">
        <v>1</v>
      </c>
      <c r="AJ70" s="761">
        <v>0</v>
      </c>
      <c r="AK70" s="761">
        <v>0</v>
      </c>
      <c r="AL70" s="761">
        <v>0</v>
      </c>
      <c r="AM70" s="761">
        <v>0</v>
      </c>
      <c r="AN70" s="761">
        <v>0</v>
      </c>
      <c r="AO70" s="762">
        <v>0</v>
      </c>
      <c r="AP70" s="633"/>
      <c r="AQ70" s="760"/>
      <c r="AR70" s="761"/>
      <c r="AS70" s="761"/>
      <c r="AT70" s="761"/>
      <c r="AU70" s="761">
        <v>42166</v>
      </c>
      <c r="AV70" s="761">
        <v>41782</v>
      </c>
      <c r="AW70" s="761">
        <v>41782</v>
      </c>
      <c r="AX70" s="761">
        <v>41782</v>
      </c>
      <c r="AY70" s="761">
        <v>41782</v>
      </c>
      <c r="AZ70" s="761">
        <v>41782</v>
      </c>
      <c r="BA70" s="761">
        <v>41782</v>
      </c>
      <c r="BB70" s="761">
        <v>41773</v>
      </c>
      <c r="BC70" s="761">
        <v>41773</v>
      </c>
      <c r="BD70" s="761">
        <v>41773</v>
      </c>
      <c r="BE70" s="761">
        <v>38540</v>
      </c>
      <c r="BF70" s="761">
        <v>38400</v>
      </c>
      <c r="BG70" s="761">
        <v>38400</v>
      </c>
      <c r="BH70" s="761">
        <v>38267</v>
      </c>
      <c r="BI70" s="761">
        <v>38267</v>
      </c>
      <c r="BJ70" s="761">
        <v>38250</v>
      </c>
      <c r="BK70" s="761">
        <v>14297</v>
      </c>
      <c r="BL70" s="761">
        <v>14297</v>
      </c>
      <c r="BM70" s="761">
        <v>14297</v>
      </c>
      <c r="BN70" s="761">
        <v>14297</v>
      </c>
      <c r="BO70" s="761">
        <v>0</v>
      </c>
      <c r="BP70" s="761">
        <v>0</v>
      </c>
      <c r="BQ70" s="761">
        <v>0</v>
      </c>
      <c r="BR70" s="761">
        <v>0</v>
      </c>
      <c r="BS70" s="761">
        <v>0</v>
      </c>
      <c r="BT70" s="762">
        <v>0</v>
      </c>
    </row>
    <row r="71" spans="2:73">
      <c r="B71" s="759" t="s">
        <v>503</v>
      </c>
      <c r="C71" s="759" t="s">
        <v>769</v>
      </c>
      <c r="D71" s="759" t="s">
        <v>101</v>
      </c>
      <c r="E71" s="759" t="s">
        <v>747</v>
      </c>
      <c r="F71" s="759" t="s">
        <v>770</v>
      </c>
      <c r="G71" s="759" t="s">
        <v>768</v>
      </c>
      <c r="H71" s="759">
        <v>2015</v>
      </c>
      <c r="I71" s="644" t="s">
        <v>570</v>
      </c>
      <c r="J71" s="644" t="s">
        <v>584</v>
      </c>
      <c r="K71" s="633"/>
      <c r="L71" s="760"/>
      <c r="M71" s="761"/>
      <c r="N71" s="761"/>
      <c r="O71" s="761"/>
      <c r="P71" s="761">
        <v>13</v>
      </c>
      <c r="Q71" s="761">
        <v>11</v>
      </c>
      <c r="R71" s="761">
        <v>6</v>
      </c>
      <c r="S71" s="761">
        <v>6</v>
      </c>
      <c r="T71" s="761">
        <v>6</v>
      </c>
      <c r="U71" s="761">
        <v>6</v>
      </c>
      <c r="V71" s="761">
        <v>6</v>
      </c>
      <c r="W71" s="761">
        <v>6</v>
      </c>
      <c r="X71" s="761">
        <v>6</v>
      </c>
      <c r="Y71" s="761">
        <v>6</v>
      </c>
      <c r="Z71" s="761">
        <v>6</v>
      </c>
      <c r="AA71" s="761">
        <v>3</v>
      </c>
      <c r="AB71" s="761">
        <v>0</v>
      </c>
      <c r="AC71" s="761">
        <v>0</v>
      </c>
      <c r="AD71" s="761">
        <v>0</v>
      </c>
      <c r="AE71" s="761">
        <v>0</v>
      </c>
      <c r="AF71" s="761">
        <v>0</v>
      </c>
      <c r="AG71" s="761">
        <v>0</v>
      </c>
      <c r="AH71" s="761">
        <v>0</v>
      </c>
      <c r="AI71" s="761">
        <v>0</v>
      </c>
      <c r="AJ71" s="761">
        <v>0</v>
      </c>
      <c r="AK71" s="761">
        <v>0</v>
      </c>
      <c r="AL71" s="761">
        <v>0</v>
      </c>
      <c r="AM71" s="761">
        <v>0</v>
      </c>
      <c r="AN71" s="761">
        <v>0</v>
      </c>
      <c r="AO71" s="762">
        <v>0</v>
      </c>
      <c r="AP71" s="633"/>
      <c r="AQ71" s="763"/>
      <c r="AR71" s="764"/>
      <c r="AS71" s="764"/>
      <c r="AT71" s="764"/>
      <c r="AU71" s="764">
        <v>52145</v>
      </c>
      <c r="AV71" s="764">
        <v>43452</v>
      </c>
      <c r="AW71" s="764">
        <v>26459</v>
      </c>
      <c r="AX71" s="764">
        <v>26114</v>
      </c>
      <c r="AY71" s="764">
        <v>26114</v>
      </c>
      <c r="AZ71" s="764">
        <v>26114</v>
      </c>
      <c r="BA71" s="764">
        <v>26114</v>
      </c>
      <c r="BB71" s="764">
        <v>26114</v>
      </c>
      <c r="BC71" s="764">
        <v>26114</v>
      </c>
      <c r="BD71" s="764">
        <v>26114</v>
      </c>
      <c r="BE71" s="764">
        <v>25640</v>
      </c>
      <c r="BF71" s="764">
        <v>11164</v>
      </c>
      <c r="BG71" s="764">
        <v>0</v>
      </c>
      <c r="BH71" s="764">
        <v>0</v>
      </c>
      <c r="BI71" s="764">
        <v>0</v>
      </c>
      <c r="BJ71" s="764">
        <v>0</v>
      </c>
      <c r="BK71" s="764">
        <v>0</v>
      </c>
      <c r="BL71" s="764">
        <v>0</v>
      </c>
      <c r="BM71" s="764">
        <v>0</v>
      </c>
      <c r="BN71" s="764">
        <v>0</v>
      </c>
      <c r="BO71" s="764">
        <v>0</v>
      </c>
      <c r="BP71" s="764">
        <v>0</v>
      </c>
      <c r="BQ71" s="764">
        <v>0</v>
      </c>
      <c r="BR71" s="764">
        <v>0</v>
      </c>
      <c r="BS71" s="764">
        <v>0</v>
      </c>
      <c r="BT71" s="765">
        <v>0</v>
      </c>
    </row>
    <row r="72" spans="2:73" s="777" customFormat="1">
      <c r="B72" s="766" t="s">
        <v>503</v>
      </c>
      <c r="C72" s="766"/>
      <c r="D72" s="766" t="s">
        <v>100</v>
      </c>
      <c r="E72" s="766" t="s">
        <v>747</v>
      </c>
      <c r="F72" s="766" t="s">
        <v>770</v>
      </c>
      <c r="G72" s="766" t="s">
        <v>768</v>
      </c>
      <c r="H72" s="766">
        <v>2015</v>
      </c>
      <c r="I72" s="767" t="s">
        <v>570</v>
      </c>
      <c r="J72" s="767" t="s">
        <v>584</v>
      </c>
      <c r="K72" s="768"/>
      <c r="L72" s="769"/>
      <c r="M72" s="770"/>
      <c r="N72" s="770"/>
      <c r="O72" s="770"/>
      <c r="P72" s="770">
        <v>2</v>
      </c>
      <c r="Q72" s="770">
        <v>2</v>
      </c>
      <c r="R72" s="770">
        <v>2</v>
      </c>
      <c r="S72" s="770">
        <v>2</v>
      </c>
      <c r="T72" s="770">
        <v>2</v>
      </c>
      <c r="U72" s="770">
        <v>2</v>
      </c>
      <c r="V72" s="770">
        <v>2</v>
      </c>
      <c r="W72" s="770">
        <v>2</v>
      </c>
      <c r="X72" s="770">
        <v>2</v>
      </c>
      <c r="Y72" s="770">
        <v>2</v>
      </c>
      <c r="Z72" s="770">
        <v>1</v>
      </c>
      <c r="AA72" s="770">
        <v>0</v>
      </c>
      <c r="AB72" s="770">
        <v>0</v>
      </c>
      <c r="AC72" s="770">
        <v>0</v>
      </c>
      <c r="AD72" s="770">
        <v>0</v>
      </c>
      <c r="AE72" s="770">
        <v>0</v>
      </c>
      <c r="AF72" s="770">
        <v>0</v>
      </c>
      <c r="AG72" s="770">
        <v>0</v>
      </c>
      <c r="AH72" s="770">
        <v>0</v>
      </c>
      <c r="AI72" s="770">
        <v>0</v>
      </c>
      <c r="AJ72" s="770">
        <v>0</v>
      </c>
      <c r="AK72" s="770">
        <v>0</v>
      </c>
      <c r="AL72" s="770">
        <v>0</v>
      </c>
      <c r="AM72" s="770">
        <v>0</v>
      </c>
      <c r="AN72" s="770">
        <v>0</v>
      </c>
      <c r="AO72" s="771">
        <v>0</v>
      </c>
      <c r="AP72" s="768"/>
      <c r="AQ72" s="774"/>
      <c r="AR72" s="775"/>
      <c r="AS72" s="775"/>
      <c r="AT72" s="775"/>
      <c r="AU72" s="775">
        <v>392698</v>
      </c>
      <c r="AV72" s="775">
        <v>392698</v>
      </c>
      <c r="AW72" s="775">
        <v>392698</v>
      </c>
      <c r="AX72" s="775">
        <v>392698</v>
      </c>
      <c r="AY72" s="775">
        <v>392698</v>
      </c>
      <c r="AZ72" s="775">
        <v>392698</v>
      </c>
      <c r="BA72" s="775">
        <v>392698</v>
      </c>
      <c r="BB72" s="775">
        <v>392698</v>
      </c>
      <c r="BC72" s="775">
        <v>390349</v>
      </c>
      <c r="BD72" s="775">
        <v>389455</v>
      </c>
      <c r="BE72" s="775">
        <v>380903</v>
      </c>
      <c r="BF72" s="775">
        <v>374666</v>
      </c>
      <c r="BG72" s="775">
        <v>0</v>
      </c>
      <c r="BH72" s="775">
        <v>0</v>
      </c>
      <c r="BI72" s="775">
        <v>0</v>
      </c>
      <c r="BJ72" s="775">
        <v>0</v>
      </c>
      <c r="BK72" s="775">
        <v>0</v>
      </c>
      <c r="BL72" s="775">
        <v>0</v>
      </c>
      <c r="BM72" s="775">
        <v>0</v>
      </c>
      <c r="BN72" s="775">
        <v>0</v>
      </c>
      <c r="BO72" s="775">
        <v>0</v>
      </c>
      <c r="BP72" s="775">
        <v>0</v>
      </c>
      <c r="BQ72" s="775">
        <v>0</v>
      </c>
      <c r="BR72" s="775">
        <v>0</v>
      </c>
      <c r="BS72" s="775">
        <v>0</v>
      </c>
      <c r="BT72" s="776">
        <v>0</v>
      </c>
      <c r="BU72" s="772"/>
    </row>
    <row r="73" spans="2:73">
      <c r="B73" s="759" t="s">
        <v>503</v>
      </c>
      <c r="C73" s="759"/>
      <c r="D73" s="759" t="s">
        <v>99</v>
      </c>
      <c r="E73" s="759" t="s">
        <v>747</v>
      </c>
      <c r="F73" s="759" t="s">
        <v>770</v>
      </c>
      <c r="G73" s="759" t="s">
        <v>768</v>
      </c>
      <c r="H73" s="759">
        <v>2015</v>
      </c>
      <c r="I73" s="644" t="s">
        <v>570</v>
      </c>
      <c r="J73" s="644" t="s">
        <v>584</v>
      </c>
      <c r="K73" s="633"/>
      <c r="L73" s="760"/>
      <c r="M73" s="761"/>
      <c r="N73" s="761"/>
      <c r="O73" s="761"/>
      <c r="P73" s="761">
        <v>0</v>
      </c>
      <c r="Q73" s="761">
        <v>0</v>
      </c>
      <c r="R73" s="761">
        <v>0</v>
      </c>
      <c r="S73" s="761">
        <v>0</v>
      </c>
      <c r="T73" s="761">
        <v>0</v>
      </c>
      <c r="U73" s="761">
        <v>0</v>
      </c>
      <c r="V73" s="761">
        <v>0</v>
      </c>
      <c r="W73" s="761">
        <v>0</v>
      </c>
      <c r="X73" s="761">
        <v>0</v>
      </c>
      <c r="Y73" s="761">
        <v>0</v>
      </c>
      <c r="Z73" s="761">
        <v>0</v>
      </c>
      <c r="AA73" s="761">
        <v>0</v>
      </c>
      <c r="AB73" s="761">
        <v>0</v>
      </c>
      <c r="AC73" s="761">
        <v>0</v>
      </c>
      <c r="AD73" s="761">
        <v>0</v>
      </c>
      <c r="AE73" s="761">
        <v>0</v>
      </c>
      <c r="AF73" s="761">
        <v>0</v>
      </c>
      <c r="AG73" s="761">
        <v>0</v>
      </c>
      <c r="AH73" s="761">
        <v>0</v>
      </c>
      <c r="AI73" s="761">
        <v>0</v>
      </c>
      <c r="AJ73" s="761">
        <v>0</v>
      </c>
      <c r="AK73" s="761">
        <v>0</v>
      </c>
      <c r="AL73" s="761">
        <v>0</v>
      </c>
      <c r="AM73" s="761">
        <v>0</v>
      </c>
      <c r="AN73" s="761">
        <v>0</v>
      </c>
      <c r="AO73" s="762">
        <v>0</v>
      </c>
      <c r="AP73" s="633"/>
      <c r="AQ73" s="760"/>
      <c r="AR73" s="761"/>
      <c r="AS73" s="761"/>
      <c r="AT73" s="761"/>
      <c r="AU73" s="761">
        <v>0</v>
      </c>
      <c r="AV73" s="761">
        <v>0</v>
      </c>
      <c r="AW73" s="761">
        <v>0</v>
      </c>
      <c r="AX73" s="761">
        <v>0</v>
      </c>
      <c r="AY73" s="761">
        <v>0</v>
      </c>
      <c r="AZ73" s="761">
        <v>0</v>
      </c>
      <c r="BA73" s="761">
        <v>0</v>
      </c>
      <c r="BB73" s="761">
        <v>0</v>
      </c>
      <c r="BC73" s="761">
        <v>0</v>
      </c>
      <c r="BD73" s="761">
        <v>0</v>
      </c>
      <c r="BE73" s="761">
        <v>0</v>
      </c>
      <c r="BF73" s="761">
        <v>0</v>
      </c>
      <c r="BG73" s="761">
        <v>0</v>
      </c>
      <c r="BH73" s="761">
        <v>0</v>
      </c>
      <c r="BI73" s="761">
        <v>0</v>
      </c>
      <c r="BJ73" s="761">
        <v>0</v>
      </c>
      <c r="BK73" s="761">
        <v>0</v>
      </c>
      <c r="BL73" s="761">
        <v>0</v>
      </c>
      <c r="BM73" s="761">
        <v>0</v>
      </c>
      <c r="BN73" s="761">
        <v>0</v>
      </c>
      <c r="BO73" s="761">
        <v>0</v>
      </c>
      <c r="BP73" s="761">
        <v>0</v>
      </c>
      <c r="BQ73" s="761">
        <v>0</v>
      </c>
      <c r="BR73" s="761">
        <v>0</v>
      </c>
      <c r="BS73" s="761">
        <v>0</v>
      </c>
      <c r="BT73" s="762">
        <v>0</v>
      </c>
    </row>
    <row r="74" spans="2:73">
      <c r="B74" s="759" t="s">
        <v>503</v>
      </c>
      <c r="C74" s="759" t="s">
        <v>767</v>
      </c>
      <c r="D74" s="759" t="s">
        <v>665</v>
      </c>
      <c r="E74" s="759" t="s">
        <v>747</v>
      </c>
      <c r="F74" s="759" t="s">
        <v>29</v>
      </c>
      <c r="G74" s="759" t="s">
        <v>768</v>
      </c>
      <c r="H74" s="759">
        <v>2015</v>
      </c>
      <c r="I74" s="644" t="s">
        <v>570</v>
      </c>
      <c r="J74" s="644" t="s">
        <v>584</v>
      </c>
      <c r="K74" s="633"/>
      <c r="L74" s="760"/>
      <c r="M74" s="761"/>
      <c r="N74" s="761"/>
      <c r="O74" s="761"/>
      <c r="P74" s="761">
        <v>0</v>
      </c>
      <c r="Q74" s="761">
        <v>0</v>
      </c>
      <c r="R74" s="761">
        <v>0</v>
      </c>
      <c r="S74" s="761">
        <v>0</v>
      </c>
      <c r="T74" s="761">
        <v>0</v>
      </c>
      <c r="U74" s="761">
        <v>0</v>
      </c>
      <c r="V74" s="761">
        <v>0</v>
      </c>
      <c r="W74" s="761">
        <v>0</v>
      </c>
      <c r="X74" s="761">
        <v>0</v>
      </c>
      <c r="Y74" s="761">
        <v>0</v>
      </c>
      <c r="Z74" s="761">
        <v>0</v>
      </c>
      <c r="AA74" s="761">
        <v>0</v>
      </c>
      <c r="AB74" s="761">
        <v>0</v>
      </c>
      <c r="AC74" s="761">
        <v>0</v>
      </c>
      <c r="AD74" s="761">
        <v>0</v>
      </c>
      <c r="AE74" s="761">
        <v>0</v>
      </c>
      <c r="AF74" s="761">
        <v>0</v>
      </c>
      <c r="AG74" s="761">
        <v>0</v>
      </c>
      <c r="AH74" s="761">
        <v>0</v>
      </c>
      <c r="AI74" s="761">
        <v>0</v>
      </c>
      <c r="AJ74" s="761">
        <v>0</v>
      </c>
      <c r="AK74" s="761">
        <v>0</v>
      </c>
      <c r="AL74" s="761">
        <v>0</v>
      </c>
      <c r="AM74" s="761">
        <v>0</v>
      </c>
      <c r="AN74" s="761">
        <v>0</v>
      </c>
      <c r="AO74" s="762">
        <v>0</v>
      </c>
      <c r="AP74" s="633"/>
      <c r="AQ74" s="760"/>
      <c r="AR74" s="761"/>
      <c r="AS74" s="761"/>
      <c r="AT74" s="761"/>
      <c r="AU74" s="761">
        <v>0</v>
      </c>
      <c r="AV74" s="761">
        <v>0</v>
      </c>
      <c r="AW74" s="761">
        <v>0</v>
      </c>
      <c r="AX74" s="761">
        <v>0</v>
      </c>
      <c r="AY74" s="761">
        <v>0</v>
      </c>
      <c r="AZ74" s="761">
        <v>0</v>
      </c>
      <c r="BA74" s="761">
        <v>0</v>
      </c>
      <c r="BB74" s="761">
        <v>0</v>
      </c>
      <c r="BC74" s="761">
        <v>0</v>
      </c>
      <c r="BD74" s="761">
        <v>0</v>
      </c>
      <c r="BE74" s="761">
        <v>0</v>
      </c>
      <c r="BF74" s="761">
        <v>0</v>
      </c>
      <c r="BG74" s="761">
        <v>0</v>
      </c>
      <c r="BH74" s="761">
        <v>0</v>
      </c>
      <c r="BI74" s="761">
        <v>0</v>
      </c>
      <c r="BJ74" s="761">
        <v>0</v>
      </c>
      <c r="BK74" s="761">
        <v>0</v>
      </c>
      <c r="BL74" s="761">
        <v>0</v>
      </c>
      <c r="BM74" s="761">
        <v>0</v>
      </c>
      <c r="BN74" s="761">
        <v>0</v>
      </c>
      <c r="BO74" s="761">
        <v>0</v>
      </c>
      <c r="BP74" s="761">
        <v>0</v>
      </c>
      <c r="BQ74" s="761">
        <v>0</v>
      </c>
      <c r="BR74" s="761">
        <v>0</v>
      </c>
      <c r="BS74" s="761">
        <v>0</v>
      </c>
      <c r="BT74" s="762">
        <v>0</v>
      </c>
    </row>
    <row r="75" spans="2:73">
      <c r="B75" s="759" t="s">
        <v>503</v>
      </c>
      <c r="C75" s="759" t="s">
        <v>767</v>
      </c>
      <c r="D75" s="759" t="s">
        <v>98</v>
      </c>
      <c r="E75" s="759" t="s">
        <v>747</v>
      </c>
      <c r="F75" s="759" t="s">
        <v>29</v>
      </c>
      <c r="G75" s="759" t="s">
        <v>768</v>
      </c>
      <c r="H75" s="759">
        <v>2015</v>
      </c>
      <c r="I75" s="644" t="s">
        <v>570</v>
      </c>
      <c r="J75" s="644" t="s">
        <v>584</v>
      </c>
      <c r="K75" s="633"/>
      <c r="L75" s="760"/>
      <c r="M75" s="761"/>
      <c r="N75" s="761"/>
      <c r="O75" s="761"/>
      <c r="P75" s="761">
        <v>0</v>
      </c>
      <c r="Q75" s="761">
        <v>0</v>
      </c>
      <c r="R75" s="761">
        <v>0</v>
      </c>
      <c r="S75" s="761">
        <v>0</v>
      </c>
      <c r="T75" s="761">
        <v>0</v>
      </c>
      <c r="U75" s="761">
        <v>0</v>
      </c>
      <c r="V75" s="761">
        <v>0</v>
      </c>
      <c r="W75" s="761">
        <v>0</v>
      </c>
      <c r="X75" s="761">
        <v>0</v>
      </c>
      <c r="Y75" s="761">
        <v>0</v>
      </c>
      <c r="Z75" s="761">
        <v>0</v>
      </c>
      <c r="AA75" s="761">
        <v>0</v>
      </c>
      <c r="AB75" s="761">
        <v>0</v>
      </c>
      <c r="AC75" s="761">
        <v>0</v>
      </c>
      <c r="AD75" s="761">
        <v>0</v>
      </c>
      <c r="AE75" s="761">
        <v>0</v>
      </c>
      <c r="AF75" s="761">
        <v>0</v>
      </c>
      <c r="AG75" s="761">
        <v>0</v>
      </c>
      <c r="AH75" s="761">
        <v>0</v>
      </c>
      <c r="AI75" s="761">
        <v>0</v>
      </c>
      <c r="AJ75" s="761">
        <v>0</v>
      </c>
      <c r="AK75" s="761">
        <v>0</v>
      </c>
      <c r="AL75" s="761">
        <v>0</v>
      </c>
      <c r="AM75" s="761">
        <v>0</v>
      </c>
      <c r="AN75" s="761">
        <v>0</v>
      </c>
      <c r="AO75" s="762">
        <v>0</v>
      </c>
      <c r="AP75" s="633"/>
      <c r="AQ75" s="760"/>
      <c r="AR75" s="761"/>
      <c r="AS75" s="761"/>
      <c r="AT75" s="761"/>
      <c r="AU75" s="761">
        <v>0</v>
      </c>
      <c r="AV75" s="761">
        <v>0</v>
      </c>
      <c r="AW75" s="761">
        <v>0</v>
      </c>
      <c r="AX75" s="761">
        <v>0</v>
      </c>
      <c r="AY75" s="761">
        <v>0</v>
      </c>
      <c r="AZ75" s="761">
        <v>0</v>
      </c>
      <c r="BA75" s="761">
        <v>0</v>
      </c>
      <c r="BB75" s="761">
        <v>0</v>
      </c>
      <c r="BC75" s="761">
        <v>0</v>
      </c>
      <c r="BD75" s="761">
        <v>0</v>
      </c>
      <c r="BE75" s="761">
        <v>0</v>
      </c>
      <c r="BF75" s="761">
        <v>0</v>
      </c>
      <c r="BG75" s="761">
        <v>0</v>
      </c>
      <c r="BH75" s="761">
        <v>0</v>
      </c>
      <c r="BI75" s="761">
        <v>0</v>
      </c>
      <c r="BJ75" s="761">
        <v>0</v>
      </c>
      <c r="BK75" s="761">
        <v>0</v>
      </c>
      <c r="BL75" s="761">
        <v>0</v>
      </c>
      <c r="BM75" s="761">
        <v>0</v>
      </c>
      <c r="BN75" s="761">
        <v>0</v>
      </c>
      <c r="BO75" s="761">
        <v>0</v>
      </c>
      <c r="BP75" s="761">
        <v>0</v>
      </c>
      <c r="BQ75" s="761">
        <v>0</v>
      </c>
      <c r="BR75" s="761">
        <v>0</v>
      </c>
      <c r="BS75" s="761">
        <v>0</v>
      </c>
      <c r="BT75" s="762">
        <v>0</v>
      </c>
    </row>
    <row r="76" spans="2:73">
      <c r="B76" s="759" t="s">
        <v>503</v>
      </c>
      <c r="C76" s="759" t="s">
        <v>767</v>
      </c>
      <c r="D76" s="759" t="s">
        <v>96</v>
      </c>
      <c r="E76" s="759" t="s">
        <v>747</v>
      </c>
      <c r="F76" s="759" t="s">
        <v>29</v>
      </c>
      <c r="G76" s="759" t="s">
        <v>768</v>
      </c>
      <c r="H76" s="759">
        <v>2015</v>
      </c>
      <c r="I76" s="644" t="s">
        <v>571</v>
      </c>
      <c r="J76" s="644" t="s">
        <v>577</v>
      </c>
      <c r="K76" s="633"/>
      <c r="L76" s="760"/>
      <c r="M76" s="761"/>
      <c r="N76" s="761"/>
      <c r="O76" s="761"/>
      <c r="P76" s="761"/>
      <c r="Q76" s="761"/>
      <c r="R76" s="761"/>
      <c r="S76" s="761"/>
      <c r="T76" s="761"/>
      <c r="U76" s="761"/>
      <c r="V76" s="761"/>
      <c r="W76" s="761"/>
      <c r="X76" s="761"/>
      <c r="Y76" s="761"/>
      <c r="Z76" s="761"/>
      <c r="AA76" s="761"/>
      <c r="AB76" s="761"/>
      <c r="AC76" s="761"/>
      <c r="AD76" s="761"/>
      <c r="AE76" s="761"/>
      <c r="AF76" s="761"/>
      <c r="AG76" s="761"/>
      <c r="AH76" s="761"/>
      <c r="AI76" s="761"/>
      <c r="AJ76" s="761">
        <v>0</v>
      </c>
      <c r="AK76" s="761">
        <v>0</v>
      </c>
      <c r="AL76" s="761">
        <v>0</v>
      </c>
      <c r="AM76" s="761">
        <v>0</v>
      </c>
      <c r="AN76" s="761">
        <v>0</v>
      </c>
      <c r="AO76" s="762">
        <v>0</v>
      </c>
      <c r="AP76" s="633"/>
      <c r="AQ76" s="760"/>
      <c r="AR76" s="761"/>
      <c r="AS76" s="761"/>
      <c r="AT76" s="761"/>
      <c r="AU76" s="761">
        <v>7042</v>
      </c>
      <c r="AV76" s="761">
        <v>6941</v>
      </c>
      <c r="AW76" s="761">
        <v>6941</v>
      </c>
      <c r="AX76" s="761">
        <v>6941</v>
      </c>
      <c r="AY76" s="761">
        <v>6941</v>
      </c>
      <c r="AZ76" s="761">
        <v>6941</v>
      </c>
      <c r="BA76" s="761">
        <v>6941</v>
      </c>
      <c r="BB76" s="761">
        <v>6938</v>
      </c>
      <c r="BC76" s="761">
        <v>6938</v>
      </c>
      <c r="BD76" s="761">
        <v>6938</v>
      </c>
      <c r="BE76" s="761">
        <v>6766</v>
      </c>
      <c r="BF76" s="761">
        <v>6758</v>
      </c>
      <c r="BG76" s="761">
        <v>6758</v>
      </c>
      <c r="BH76" s="761">
        <v>6743</v>
      </c>
      <c r="BI76" s="761">
        <v>6743</v>
      </c>
      <c r="BJ76" s="761">
        <v>6730</v>
      </c>
      <c r="BK76" s="761">
        <v>3488</v>
      </c>
      <c r="BL76" s="761">
        <v>3488</v>
      </c>
      <c r="BM76" s="761">
        <v>3488</v>
      </c>
      <c r="BN76" s="761">
        <v>3488</v>
      </c>
      <c r="BO76" s="761">
        <v>0</v>
      </c>
      <c r="BP76" s="761">
        <v>0</v>
      </c>
      <c r="BQ76" s="761">
        <v>0</v>
      </c>
      <c r="BR76" s="761">
        <v>0</v>
      </c>
      <c r="BS76" s="761">
        <v>0</v>
      </c>
      <c r="BT76" s="762">
        <v>0</v>
      </c>
    </row>
    <row r="77" spans="2:73">
      <c r="B77" s="759" t="s">
        <v>503</v>
      </c>
      <c r="C77" s="759" t="s">
        <v>767</v>
      </c>
      <c r="D77" s="759" t="s">
        <v>95</v>
      </c>
      <c r="E77" s="759" t="s">
        <v>747</v>
      </c>
      <c r="F77" s="759" t="s">
        <v>29</v>
      </c>
      <c r="G77" s="759" t="s">
        <v>768</v>
      </c>
      <c r="H77" s="759">
        <v>2015</v>
      </c>
      <c r="I77" s="644" t="s">
        <v>571</v>
      </c>
      <c r="J77" s="644" t="s">
        <v>577</v>
      </c>
      <c r="K77" s="633"/>
      <c r="L77" s="760"/>
      <c r="M77" s="761"/>
      <c r="N77" s="761"/>
      <c r="O77" s="761"/>
      <c r="P77" s="761"/>
      <c r="Q77" s="761"/>
      <c r="R77" s="761"/>
      <c r="S77" s="761"/>
      <c r="T77" s="761"/>
      <c r="U77" s="761"/>
      <c r="V77" s="761"/>
      <c r="W77" s="761"/>
      <c r="X77" s="761"/>
      <c r="Y77" s="761"/>
      <c r="Z77" s="761"/>
      <c r="AA77" s="761"/>
      <c r="AB77" s="761"/>
      <c r="AC77" s="761"/>
      <c r="AD77" s="761"/>
      <c r="AE77" s="761"/>
      <c r="AF77" s="761"/>
      <c r="AG77" s="761"/>
      <c r="AH77" s="761"/>
      <c r="AI77" s="761"/>
      <c r="AJ77" s="761">
        <v>0</v>
      </c>
      <c r="AK77" s="761">
        <v>0</v>
      </c>
      <c r="AL77" s="761">
        <v>0</v>
      </c>
      <c r="AM77" s="761">
        <v>0</v>
      </c>
      <c r="AN77" s="761">
        <v>0</v>
      </c>
      <c r="AO77" s="762">
        <v>0</v>
      </c>
      <c r="AP77" s="633"/>
      <c r="AQ77" s="760"/>
      <c r="AR77" s="761"/>
      <c r="AS77" s="761"/>
      <c r="AT77" s="761"/>
      <c r="AU77" s="761">
        <v>806</v>
      </c>
      <c r="AV77" s="761">
        <v>796</v>
      </c>
      <c r="AW77" s="761">
        <v>796</v>
      </c>
      <c r="AX77" s="761">
        <v>796</v>
      </c>
      <c r="AY77" s="761">
        <v>796</v>
      </c>
      <c r="AZ77" s="761">
        <v>796</v>
      </c>
      <c r="BA77" s="761">
        <v>796</v>
      </c>
      <c r="BB77" s="761">
        <v>794</v>
      </c>
      <c r="BC77" s="761">
        <v>794</v>
      </c>
      <c r="BD77" s="761">
        <v>794</v>
      </c>
      <c r="BE77" s="761">
        <v>674</v>
      </c>
      <c r="BF77" s="761">
        <v>668</v>
      </c>
      <c r="BG77" s="761">
        <v>668</v>
      </c>
      <c r="BH77" s="761">
        <v>648</v>
      </c>
      <c r="BI77" s="761">
        <v>648</v>
      </c>
      <c r="BJ77" s="761">
        <v>645</v>
      </c>
      <c r="BK77" s="761">
        <v>270</v>
      </c>
      <c r="BL77" s="761">
        <v>270</v>
      </c>
      <c r="BM77" s="761">
        <v>270</v>
      </c>
      <c r="BN77" s="761">
        <v>270</v>
      </c>
      <c r="BO77" s="761">
        <v>0</v>
      </c>
      <c r="BP77" s="761">
        <v>0</v>
      </c>
      <c r="BQ77" s="761">
        <v>0</v>
      </c>
      <c r="BR77" s="761">
        <v>0</v>
      </c>
      <c r="BS77" s="761">
        <v>0</v>
      </c>
      <c r="BT77" s="762">
        <v>0</v>
      </c>
    </row>
    <row r="78" spans="2:73">
      <c r="B78" s="759" t="s">
        <v>781</v>
      </c>
      <c r="C78" s="759" t="s">
        <v>782</v>
      </c>
      <c r="D78" s="759" t="s">
        <v>113</v>
      </c>
      <c r="E78" s="759" t="s">
        <v>747</v>
      </c>
      <c r="F78" s="759" t="s">
        <v>29</v>
      </c>
      <c r="G78" s="759" t="s">
        <v>768</v>
      </c>
      <c r="H78" s="759">
        <v>2016</v>
      </c>
      <c r="I78" s="644" t="s">
        <v>571</v>
      </c>
      <c r="J78" s="644" t="s">
        <v>584</v>
      </c>
      <c r="K78" s="633"/>
      <c r="L78" s="760"/>
      <c r="M78" s="761"/>
      <c r="N78" s="761"/>
      <c r="O78" s="761"/>
      <c r="P78" s="761"/>
      <c r="Q78" s="761">
        <v>24</v>
      </c>
      <c r="R78" s="761">
        <v>24</v>
      </c>
      <c r="S78" s="761">
        <v>24</v>
      </c>
      <c r="T78" s="761">
        <v>24</v>
      </c>
      <c r="U78" s="761">
        <v>24</v>
      </c>
      <c r="V78" s="761">
        <v>24</v>
      </c>
      <c r="W78" s="761">
        <v>24</v>
      </c>
      <c r="X78" s="761">
        <v>24</v>
      </c>
      <c r="Y78" s="761">
        <v>24</v>
      </c>
      <c r="Z78" s="761">
        <v>24</v>
      </c>
      <c r="AA78" s="761">
        <v>23</v>
      </c>
      <c r="AB78" s="761">
        <v>23</v>
      </c>
      <c r="AC78" s="761">
        <v>23</v>
      </c>
      <c r="AD78" s="761">
        <v>23</v>
      </c>
      <c r="AE78" s="761">
        <v>20</v>
      </c>
      <c r="AF78" s="761">
        <v>20</v>
      </c>
      <c r="AG78" s="761">
        <v>9</v>
      </c>
      <c r="AH78" s="761">
        <v>0</v>
      </c>
      <c r="AI78" s="761">
        <v>0</v>
      </c>
      <c r="AJ78" s="761">
        <v>0</v>
      </c>
      <c r="AK78" s="761">
        <v>0</v>
      </c>
      <c r="AL78" s="761">
        <v>0</v>
      </c>
      <c r="AM78" s="761">
        <v>0</v>
      </c>
      <c r="AN78" s="761">
        <v>0</v>
      </c>
      <c r="AO78" s="762">
        <v>0</v>
      </c>
      <c r="AP78" s="633"/>
      <c r="AQ78" s="760"/>
      <c r="AR78" s="761"/>
      <c r="AS78" s="761"/>
      <c r="AT78" s="761"/>
      <c r="AU78" s="761"/>
      <c r="AV78" s="761">
        <v>365671</v>
      </c>
      <c r="AW78" s="761">
        <v>365671</v>
      </c>
      <c r="AX78" s="761">
        <v>365671</v>
      </c>
      <c r="AY78" s="761">
        <v>365671</v>
      </c>
      <c r="AZ78" s="761">
        <v>365671</v>
      </c>
      <c r="BA78" s="761">
        <v>365671</v>
      </c>
      <c r="BB78" s="761">
        <v>365671</v>
      </c>
      <c r="BC78" s="761">
        <v>365620</v>
      </c>
      <c r="BD78" s="761">
        <v>365620</v>
      </c>
      <c r="BE78" s="761">
        <v>363986</v>
      </c>
      <c r="BF78" s="761">
        <v>359563</v>
      </c>
      <c r="BG78" s="761">
        <v>359363</v>
      </c>
      <c r="BH78" s="761">
        <v>359363</v>
      </c>
      <c r="BI78" s="761">
        <v>357436</v>
      </c>
      <c r="BJ78" s="761">
        <v>309804</v>
      </c>
      <c r="BK78" s="761">
        <v>309804</v>
      </c>
      <c r="BL78" s="761">
        <v>136286</v>
      </c>
      <c r="BM78" s="761">
        <v>0</v>
      </c>
      <c r="BN78" s="761">
        <v>0</v>
      </c>
      <c r="BO78" s="761">
        <v>0</v>
      </c>
      <c r="BP78" s="761">
        <v>0</v>
      </c>
      <c r="BQ78" s="761">
        <v>0</v>
      </c>
      <c r="BR78" s="761">
        <v>0</v>
      </c>
      <c r="BS78" s="761">
        <v>0</v>
      </c>
      <c r="BT78" s="762">
        <v>0</v>
      </c>
    </row>
    <row r="79" spans="2:73" ht="15.75">
      <c r="B79" s="759" t="s">
        <v>781</v>
      </c>
      <c r="C79" s="759" t="s">
        <v>782</v>
      </c>
      <c r="D79" s="759" t="s">
        <v>116</v>
      </c>
      <c r="E79" s="759" t="s">
        <v>747</v>
      </c>
      <c r="F79" s="759" t="s">
        <v>29</v>
      </c>
      <c r="G79" s="759" t="s">
        <v>768</v>
      </c>
      <c r="H79" s="759">
        <v>2016</v>
      </c>
      <c r="I79" s="644" t="s">
        <v>571</v>
      </c>
      <c r="J79" s="644" t="s">
        <v>584</v>
      </c>
      <c r="K79" s="633"/>
      <c r="L79" s="760"/>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c r="AP79" s="633"/>
      <c r="AQ79" s="760"/>
      <c r="AR79" s="761"/>
      <c r="AS79" s="761"/>
      <c r="AT79" s="761"/>
      <c r="AU79" s="761"/>
      <c r="AV79" s="761">
        <v>2719</v>
      </c>
      <c r="AW79" s="761">
        <v>2719</v>
      </c>
      <c r="AX79" s="761">
        <v>2719</v>
      </c>
      <c r="AY79" s="761">
        <v>2719</v>
      </c>
      <c r="AZ79" s="761">
        <v>2719</v>
      </c>
      <c r="BA79" s="761">
        <v>2719</v>
      </c>
      <c r="BB79" s="761">
        <v>2719</v>
      </c>
      <c r="BC79" s="761">
        <v>2719</v>
      </c>
      <c r="BD79" s="761">
        <v>2719</v>
      </c>
      <c r="BE79" s="761">
        <v>2719</v>
      </c>
      <c r="BF79" s="761">
        <v>1376</v>
      </c>
      <c r="BG79" s="761">
        <v>1376</v>
      </c>
      <c r="BH79" s="761">
        <v>1376</v>
      </c>
      <c r="BI79" s="761">
        <v>1376</v>
      </c>
      <c r="BJ79" s="761">
        <v>1376</v>
      </c>
      <c r="BK79" s="761">
        <v>1062</v>
      </c>
      <c r="BL79" s="761">
        <v>1062</v>
      </c>
      <c r="BM79" s="761">
        <v>1062</v>
      </c>
      <c r="BN79" s="761">
        <v>1062</v>
      </c>
      <c r="BO79" s="761">
        <v>1062</v>
      </c>
      <c r="BP79" s="761">
        <v>0</v>
      </c>
      <c r="BQ79" s="761">
        <v>0</v>
      </c>
      <c r="BR79" s="761">
        <v>0</v>
      </c>
      <c r="BS79" s="761">
        <v>0</v>
      </c>
      <c r="BT79" s="762">
        <v>0</v>
      </c>
      <c r="BU79" s="163"/>
    </row>
    <row r="80" spans="2:73" ht="15.75">
      <c r="B80" s="759" t="s">
        <v>781</v>
      </c>
      <c r="C80" s="759" t="s">
        <v>783</v>
      </c>
      <c r="D80" s="759" t="s">
        <v>118</v>
      </c>
      <c r="E80" s="759" t="s">
        <v>747</v>
      </c>
      <c r="F80" s="759" t="s">
        <v>779</v>
      </c>
      <c r="G80" s="759" t="s">
        <v>768</v>
      </c>
      <c r="H80" s="759">
        <v>2016</v>
      </c>
      <c r="I80" s="644" t="s">
        <v>571</v>
      </c>
      <c r="J80" s="644" t="s">
        <v>584</v>
      </c>
      <c r="K80" s="633"/>
      <c r="L80" s="760"/>
      <c r="M80" s="761"/>
      <c r="N80" s="761"/>
      <c r="O80" s="761"/>
      <c r="P80" s="761"/>
      <c r="Q80" s="761">
        <v>29</v>
      </c>
      <c r="R80" s="761">
        <v>29</v>
      </c>
      <c r="S80" s="761">
        <v>29</v>
      </c>
      <c r="T80" s="761">
        <v>29</v>
      </c>
      <c r="U80" s="761">
        <v>29</v>
      </c>
      <c r="V80" s="761">
        <v>29</v>
      </c>
      <c r="W80" s="761">
        <v>29</v>
      </c>
      <c r="X80" s="761">
        <v>29</v>
      </c>
      <c r="Y80" s="761">
        <v>29</v>
      </c>
      <c r="Z80" s="761">
        <v>29</v>
      </c>
      <c r="AA80" s="761">
        <v>29</v>
      </c>
      <c r="AB80" s="761">
        <v>29</v>
      </c>
      <c r="AC80" s="761">
        <v>29</v>
      </c>
      <c r="AD80" s="761">
        <v>29</v>
      </c>
      <c r="AE80" s="761">
        <v>28</v>
      </c>
      <c r="AF80" s="761">
        <v>0</v>
      </c>
      <c r="AG80" s="761">
        <v>0</v>
      </c>
      <c r="AH80" s="761">
        <v>0</v>
      </c>
      <c r="AI80" s="761">
        <v>0</v>
      </c>
      <c r="AJ80" s="761">
        <v>0</v>
      </c>
      <c r="AK80" s="761">
        <v>0</v>
      </c>
      <c r="AL80" s="761">
        <v>0</v>
      </c>
      <c r="AM80" s="761">
        <v>0</v>
      </c>
      <c r="AN80" s="761">
        <v>0</v>
      </c>
      <c r="AO80" s="762">
        <v>0</v>
      </c>
      <c r="AP80" s="633"/>
      <c r="AQ80" s="760"/>
      <c r="AR80" s="761"/>
      <c r="AS80" s="761"/>
      <c r="AT80" s="761"/>
      <c r="AU80" s="761"/>
      <c r="AV80" s="761">
        <v>102188</v>
      </c>
      <c r="AW80" s="761">
        <v>102188</v>
      </c>
      <c r="AX80" s="761">
        <v>102188</v>
      </c>
      <c r="AY80" s="761">
        <v>102188</v>
      </c>
      <c r="AZ80" s="761">
        <v>102188</v>
      </c>
      <c r="BA80" s="761">
        <v>102188</v>
      </c>
      <c r="BB80" s="761">
        <v>102188</v>
      </c>
      <c r="BC80" s="761">
        <v>102188</v>
      </c>
      <c r="BD80" s="761">
        <v>102188</v>
      </c>
      <c r="BE80" s="761">
        <v>102188</v>
      </c>
      <c r="BF80" s="761">
        <v>102188</v>
      </c>
      <c r="BG80" s="761">
        <v>102188</v>
      </c>
      <c r="BH80" s="761">
        <v>102188</v>
      </c>
      <c r="BI80" s="761">
        <v>102188</v>
      </c>
      <c r="BJ80" s="761">
        <v>100693</v>
      </c>
      <c r="BK80" s="761">
        <v>0</v>
      </c>
      <c r="BL80" s="761">
        <v>0</v>
      </c>
      <c r="BM80" s="761">
        <v>0</v>
      </c>
      <c r="BN80" s="761">
        <v>0</v>
      </c>
      <c r="BO80" s="761">
        <v>0</v>
      </c>
      <c r="BP80" s="761">
        <v>0</v>
      </c>
      <c r="BQ80" s="761">
        <v>0</v>
      </c>
      <c r="BR80" s="761">
        <v>0</v>
      </c>
      <c r="BS80" s="761">
        <v>0</v>
      </c>
      <c r="BT80" s="762">
        <v>0</v>
      </c>
      <c r="BU80" s="163"/>
    </row>
    <row r="81" spans="2:73">
      <c r="B81" s="759" t="s">
        <v>781</v>
      </c>
      <c r="C81" s="759" t="s">
        <v>783</v>
      </c>
      <c r="D81" s="759" t="s">
        <v>119</v>
      </c>
      <c r="E81" s="759" t="s">
        <v>747</v>
      </c>
      <c r="F81" s="759" t="s">
        <v>779</v>
      </c>
      <c r="G81" s="759" t="s">
        <v>768</v>
      </c>
      <c r="H81" s="759">
        <v>2016</v>
      </c>
      <c r="I81" s="644" t="s">
        <v>571</v>
      </c>
      <c r="J81" s="644" t="s">
        <v>584</v>
      </c>
      <c r="K81" s="633"/>
      <c r="L81" s="760"/>
      <c r="M81" s="761"/>
      <c r="N81" s="761"/>
      <c r="O81" s="761"/>
      <c r="P81" s="761"/>
      <c r="Q81" s="761">
        <v>3</v>
      </c>
      <c r="R81" s="761">
        <v>3</v>
      </c>
      <c r="S81" s="761">
        <v>3</v>
      </c>
      <c r="T81" s="761">
        <v>2</v>
      </c>
      <c r="U81" s="761">
        <v>2</v>
      </c>
      <c r="V81" s="761">
        <v>2</v>
      </c>
      <c r="W81" s="761">
        <v>2</v>
      </c>
      <c r="X81" s="761">
        <v>1</v>
      </c>
      <c r="Y81" s="761">
        <v>1</v>
      </c>
      <c r="Z81" s="761">
        <v>0</v>
      </c>
      <c r="AA81" s="761">
        <v>0</v>
      </c>
      <c r="AB81" s="761">
        <v>0</v>
      </c>
      <c r="AC81" s="761">
        <v>0</v>
      </c>
      <c r="AD81" s="761">
        <v>0</v>
      </c>
      <c r="AE81" s="761">
        <v>0</v>
      </c>
      <c r="AF81" s="761">
        <v>0</v>
      </c>
      <c r="AG81" s="761">
        <v>0</v>
      </c>
      <c r="AH81" s="761">
        <v>0</v>
      </c>
      <c r="AI81" s="761">
        <v>0</v>
      </c>
      <c r="AJ81" s="761">
        <v>0</v>
      </c>
      <c r="AK81" s="761">
        <v>0</v>
      </c>
      <c r="AL81" s="761">
        <v>0</v>
      </c>
      <c r="AM81" s="761">
        <v>0</v>
      </c>
      <c r="AN81" s="761">
        <v>0</v>
      </c>
      <c r="AO81" s="762">
        <v>0</v>
      </c>
      <c r="AP81" s="633"/>
      <c r="AQ81" s="760"/>
      <c r="AR81" s="761"/>
      <c r="AS81" s="761"/>
      <c r="AT81" s="761"/>
      <c r="AU81" s="761"/>
      <c r="AV81" s="761">
        <v>25226</v>
      </c>
      <c r="AW81" s="761">
        <v>25226</v>
      </c>
      <c r="AX81" s="761">
        <v>25226</v>
      </c>
      <c r="AY81" s="761">
        <v>14789</v>
      </c>
      <c r="AZ81" s="761">
        <v>14789</v>
      </c>
      <c r="BA81" s="761">
        <v>14789</v>
      </c>
      <c r="BB81" s="761">
        <v>9585</v>
      </c>
      <c r="BC81" s="761">
        <v>5818</v>
      </c>
      <c r="BD81" s="761">
        <v>5818</v>
      </c>
      <c r="BE81" s="761">
        <v>3719</v>
      </c>
      <c r="BF81" s="761">
        <v>3097</v>
      </c>
      <c r="BG81" s="761">
        <v>2106</v>
      </c>
      <c r="BH81" s="761">
        <v>2106</v>
      </c>
      <c r="BI81" s="761">
        <v>2106</v>
      </c>
      <c r="BJ81" s="761">
        <v>0</v>
      </c>
      <c r="BK81" s="761">
        <v>0</v>
      </c>
      <c r="BL81" s="761">
        <v>0</v>
      </c>
      <c r="BM81" s="761">
        <v>0</v>
      </c>
      <c r="BN81" s="761">
        <v>0</v>
      </c>
      <c r="BO81" s="761">
        <v>0</v>
      </c>
      <c r="BP81" s="761">
        <v>0</v>
      </c>
      <c r="BQ81" s="761">
        <v>0</v>
      </c>
      <c r="BR81" s="761">
        <v>0</v>
      </c>
      <c r="BS81" s="761">
        <v>0</v>
      </c>
      <c r="BT81" s="762">
        <v>0</v>
      </c>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110:AO122 AQ108:BT122">
    <cfRule type="cellIs" dxfId="14" priority="19" operator="equal">
      <formula>0</formula>
    </cfRule>
  </conditionalFormatting>
  <conditionalFormatting sqref="L82:AO86 AQ82:BT88">
    <cfRule type="cellIs" dxfId="13" priority="21" operator="equal">
      <formula>0</formula>
    </cfRule>
  </conditionalFormatting>
  <conditionalFormatting sqref="L91:AO105 AQ89:BT107">
    <cfRule type="cellIs" dxfId="12" priority="20" operator="equal">
      <formula>0</formula>
    </cfRule>
  </conditionalFormatting>
  <conditionalFormatting sqref="L87:AO90">
    <cfRule type="cellIs" dxfId="11" priority="15" operator="equal">
      <formula>0</formula>
    </cfRule>
  </conditionalFormatting>
  <conditionalFormatting sqref="L106:AO109">
    <cfRule type="cellIs" dxfId="10" priority="14" operator="equal">
      <formula>0</formula>
    </cfRule>
  </conditionalFormatting>
  <conditionalFormatting sqref="L27:AO69">
    <cfRule type="cellIs" dxfId="9" priority="10" operator="equal">
      <formula>0</formula>
    </cfRule>
  </conditionalFormatting>
  <conditionalFormatting sqref="L74:AO81">
    <cfRule type="cellIs" dxfId="8" priority="9" operator="equal">
      <formula>0</formula>
    </cfRule>
  </conditionalFormatting>
  <conditionalFormatting sqref="L27:AO32">
    <cfRule type="cellIs" dxfId="7" priority="8" operator="equal">
      <formula>0</formula>
    </cfRule>
  </conditionalFormatting>
  <conditionalFormatting sqref="L33:AO43">
    <cfRule type="cellIs" dxfId="6" priority="7" operator="equal">
      <formula>0</formula>
    </cfRule>
  </conditionalFormatting>
  <conditionalFormatting sqref="L70:AO73">
    <cfRule type="cellIs" dxfId="5" priority="6" operator="equal">
      <formula>0</formula>
    </cfRule>
  </conditionalFormatting>
  <conditionalFormatting sqref="AQ37:BT71">
    <cfRule type="cellIs" dxfId="4" priority="5" operator="equal">
      <formula>0</formula>
    </cfRule>
  </conditionalFormatting>
  <conditionalFormatting sqref="AQ72:BT81">
    <cfRule type="cellIs" dxfId="3" priority="4" operator="equal">
      <formula>0</formula>
    </cfRule>
  </conditionalFormatting>
  <conditionalFormatting sqref="AQ41:BT43">
    <cfRule type="cellIs" dxfId="2" priority="3" operator="equal">
      <formula>0</formula>
    </cfRule>
  </conditionalFormatting>
  <conditionalFormatting sqref="AQ27:BT28">
    <cfRule type="cellIs" dxfId="1" priority="2" operator="equal">
      <formula>0</formula>
    </cfRule>
  </conditionalFormatting>
  <conditionalFormatting sqref="AQ29:BT40">
    <cfRule type="cellIs" dxfId="0" priority="1" operator="equal">
      <formula>0</formula>
    </cfRule>
  </conditionalFormatting>
  <pageMargins left="0.70866141732283472" right="0.70866141732283472" top="0.74803149606299213" bottom="0.74803149606299213" header="0.31496062992125984" footer="0.31496062992125984"/>
  <pageSetup scale="43" fitToWidth="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I82:I1048576</xm:sqref>
        </x14:dataValidation>
        <x14:dataValidation type="list" allowBlank="1" showInputMessage="1" showErrorMessage="1" xr:uid="{00000000-0002-0000-0C00-000001000000}">
          <x14:formula1>
            <xm:f>DropDownList!$H$2:$H$3</xm:f>
          </x14:formula1>
          <xm:sqref>J82:J1048576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49"/>
  <sheetViews>
    <sheetView topLeftCell="A21" zoomScale="110" zoomScaleNormal="110" workbookViewId="0">
      <selection activeCell="Q53" sqref="A1:U53"/>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653</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45" t="s">
        <v>706</v>
      </c>
      <c r="C18" s="845"/>
      <c r="D18" s="845"/>
      <c r="E18" s="845"/>
      <c r="F18" s="845"/>
      <c r="G18" s="845"/>
      <c r="H18" s="845"/>
      <c r="I18" s="845"/>
      <c r="J18" s="845"/>
      <c r="K18" s="845"/>
      <c r="L18" s="845"/>
      <c r="M18" s="845"/>
      <c r="N18" s="845"/>
      <c r="O18" s="845"/>
      <c r="P18" s="845"/>
      <c r="Q18" s="845"/>
      <c r="R18" s="845"/>
      <c r="S18" s="845"/>
      <c r="T18" s="845"/>
      <c r="U18" s="845"/>
    </row>
    <row r="21" spans="2:21" ht="21">
      <c r="B21" s="743" t="s">
        <v>690</v>
      </c>
    </row>
    <row r="23" spans="2:21" ht="21">
      <c r="B23" s="743" t="s">
        <v>691</v>
      </c>
      <c r="C23" s="744"/>
      <c r="E23" s="744"/>
      <c r="F23" s="744"/>
      <c r="H23" s="743" t="s">
        <v>692</v>
      </c>
    </row>
    <row r="24" spans="2:21" ht="18.75" customHeight="1">
      <c r="B24" s="844" t="s">
        <v>669</v>
      </c>
      <c r="C24" s="844"/>
      <c r="D24" s="844"/>
      <c r="E24" s="844"/>
      <c r="F24" s="844"/>
      <c r="H24" s="12" t="s">
        <v>677</v>
      </c>
      <c r="M24" s="12" t="s">
        <v>678</v>
      </c>
    </row>
    <row r="25" spans="2:21" ht="45">
      <c r="B25" s="740" t="s">
        <v>62</v>
      </c>
      <c r="C25" s="740" t="s">
        <v>670</v>
      </c>
      <c r="D25" s="740" t="s">
        <v>671</v>
      </c>
      <c r="E25" s="740" t="s">
        <v>673</v>
      </c>
      <c r="F25" s="740" t="s">
        <v>672</v>
      </c>
      <c r="H25" s="740" t="s">
        <v>674</v>
      </c>
      <c r="I25" s="740" t="s">
        <v>675</v>
      </c>
      <c r="J25" s="740" t="s">
        <v>676</v>
      </c>
      <c r="K25" s="740" t="s">
        <v>670</v>
      </c>
      <c r="M25" s="740" t="s">
        <v>674</v>
      </c>
      <c r="N25" s="740" t="s">
        <v>675</v>
      </c>
      <c r="O25" s="740" t="s">
        <v>676</v>
      </c>
      <c r="P25" s="740" t="s">
        <v>670</v>
      </c>
    </row>
    <row r="26" spans="2:21" ht="18">
      <c r="B26" s="747"/>
      <c r="C26" s="747" t="s">
        <v>680</v>
      </c>
      <c r="D26" s="747" t="s">
        <v>681</v>
      </c>
      <c r="E26" s="747" t="s">
        <v>682</v>
      </c>
      <c r="F26" s="747" t="s">
        <v>683</v>
      </c>
      <c r="H26" s="747"/>
      <c r="I26" s="747" t="s">
        <v>684</v>
      </c>
      <c r="J26" s="747" t="s">
        <v>685</v>
      </c>
      <c r="K26" s="747" t="s">
        <v>686</v>
      </c>
      <c r="M26" s="747"/>
      <c r="N26" s="747" t="s">
        <v>687</v>
      </c>
      <c r="O26" s="747" t="s">
        <v>688</v>
      </c>
      <c r="P26" s="747" t="s">
        <v>689</v>
      </c>
    </row>
    <row r="27" spans="2:21" ht="15.75" customHeight="1">
      <c r="B27" s="742" t="s">
        <v>694</v>
      </c>
      <c r="C27" s="750">
        <f>K49</f>
        <v>0</v>
      </c>
      <c r="D27" s="748"/>
      <c r="E27" s="741"/>
      <c r="F27" s="741"/>
      <c r="H27" s="741"/>
      <c r="I27" s="741"/>
      <c r="J27" s="741"/>
      <c r="K27" s="741">
        <f>I27*J27</f>
        <v>0</v>
      </c>
      <c r="M27" s="741"/>
      <c r="N27" s="741"/>
      <c r="O27" s="741"/>
      <c r="P27" s="741">
        <f>N27*O27</f>
        <v>0</v>
      </c>
    </row>
    <row r="28" spans="2:21" ht="15.75" customHeight="1">
      <c r="B28" s="742" t="s">
        <v>695</v>
      </c>
      <c r="C28" s="751">
        <f>P49</f>
        <v>0</v>
      </c>
      <c r="D28" s="752">
        <f>C28-C27</f>
        <v>0</v>
      </c>
      <c r="E28" s="741"/>
      <c r="F28" s="749">
        <f>D28*E28</f>
        <v>0</v>
      </c>
      <c r="H28" s="741"/>
      <c r="I28" s="741"/>
      <c r="J28" s="741"/>
      <c r="K28" s="741"/>
      <c r="M28" s="741"/>
      <c r="N28" s="741"/>
      <c r="O28" s="741"/>
      <c r="P28" s="741"/>
    </row>
    <row r="29" spans="2:21" ht="15.75" customHeight="1">
      <c r="B29" s="742" t="s">
        <v>696</v>
      </c>
      <c r="C29" s="741"/>
      <c r="D29" s="741"/>
      <c r="E29" s="741"/>
      <c r="F29" s="741"/>
      <c r="H29" s="741"/>
      <c r="I29" s="741"/>
      <c r="J29" s="741"/>
      <c r="K29" s="741"/>
      <c r="M29" s="741"/>
      <c r="N29" s="741"/>
      <c r="O29" s="741"/>
      <c r="P29" s="741"/>
    </row>
    <row r="30" spans="2:21" ht="15.75" customHeight="1">
      <c r="B30" s="742" t="s">
        <v>697</v>
      </c>
      <c r="C30" s="741"/>
      <c r="D30" s="741"/>
      <c r="E30" s="741"/>
      <c r="F30" s="741"/>
      <c r="H30" s="741"/>
      <c r="I30" s="741"/>
      <c r="J30" s="741"/>
      <c r="K30" s="741"/>
      <c r="M30" s="741"/>
      <c r="N30" s="741"/>
      <c r="O30" s="741"/>
      <c r="P30" s="741"/>
    </row>
    <row r="31" spans="2:21" ht="15.75" customHeight="1">
      <c r="B31" s="742" t="s">
        <v>698</v>
      </c>
      <c r="C31" s="741"/>
      <c r="D31" s="741"/>
      <c r="E31" s="741"/>
      <c r="F31" s="741"/>
      <c r="H31" s="741"/>
      <c r="I31" s="741"/>
      <c r="J31" s="741"/>
      <c r="K31" s="741"/>
      <c r="M31" s="741"/>
      <c r="N31" s="741"/>
      <c r="O31" s="741"/>
      <c r="P31" s="741"/>
    </row>
    <row r="32" spans="2:21" ht="15.75" customHeight="1">
      <c r="B32" s="742" t="s">
        <v>699</v>
      </c>
      <c r="C32" s="741"/>
      <c r="D32" s="741"/>
      <c r="E32" s="741"/>
      <c r="F32" s="741"/>
      <c r="H32" s="741"/>
      <c r="I32" s="741"/>
      <c r="J32" s="741"/>
      <c r="K32" s="741"/>
      <c r="M32" s="741"/>
      <c r="N32" s="741"/>
      <c r="O32" s="741"/>
      <c r="P32" s="741"/>
    </row>
    <row r="33" spans="2:16" ht="15.75" customHeight="1">
      <c r="B33" s="742" t="s">
        <v>700</v>
      </c>
      <c r="C33" s="741"/>
      <c r="D33" s="741"/>
      <c r="E33" s="741"/>
      <c r="F33" s="741"/>
      <c r="H33" s="741"/>
      <c r="I33" s="741"/>
      <c r="J33" s="741"/>
      <c r="K33" s="741"/>
      <c r="M33" s="741"/>
      <c r="N33" s="741"/>
      <c r="O33" s="741"/>
      <c r="P33" s="741"/>
    </row>
    <row r="34" spans="2:16" ht="15.75" customHeight="1">
      <c r="B34" s="742" t="s">
        <v>701</v>
      </c>
      <c r="C34" s="741"/>
      <c r="D34" s="741"/>
      <c r="E34" s="741"/>
      <c r="F34" s="741"/>
      <c r="H34" s="741"/>
      <c r="I34" s="741"/>
      <c r="J34" s="741"/>
      <c r="K34" s="741"/>
      <c r="M34" s="741"/>
      <c r="N34" s="741"/>
      <c r="O34" s="741"/>
      <c r="P34" s="741"/>
    </row>
    <row r="35" spans="2:16" ht="15.75" customHeight="1">
      <c r="B35" s="742" t="s">
        <v>702</v>
      </c>
      <c r="C35" s="741"/>
      <c r="D35" s="741"/>
      <c r="E35" s="741"/>
      <c r="F35" s="741"/>
      <c r="H35" s="741"/>
      <c r="I35" s="741"/>
      <c r="J35" s="741"/>
      <c r="K35" s="741"/>
      <c r="M35" s="741"/>
      <c r="N35" s="741"/>
      <c r="O35" s="741"/>
      <c r="P35" s="741"/>
    </row>
    <row r="36" spans="2:16" ht="15.75" customHeight="1">
      <c r="B36" s="742" t="s">
        <v>703</v>
      </c>
      <c r="C36" s="741"/>
      <c r="D36" s="741"/>
      <c r="E36" s="741"/>
      <c r="F36" s="741"/>
      <c r="H36" s="741"/>
      <c r="I36" s="741"/>
      <c r="J36" s="741"/>
      <c r="K36" s="741"/>
      <c r="M36" s="741"/>
      <c r="N36" s="741"/>
      <c r="O36" s="741"/>
      <c r="P36" s="741"/>
    </row>
    <row r="37" spans="2:16" ht="15.75" customHeight="1">
      <c r="B37" s="742" t="s">
        <v>704</v>
      </c>
      <c r="C37" s="741"/>
      <c r="D37" s="741"/>
      <c r="E37" s="741"/>
      <c r="F37" s="741"/>
      <c r="H37" s="741"/>
      <c r="I37" s="741"/>
      <c r="J37" s="741"/>
      <c r="K37" s="741"/>
      <c r="M37" s="741"/>
      <c r="N37" s="741"/>
      <c r="O37" s="741"/>
      <c r="P37" s="741"/>
    </row>
    <row r="38" spans="2:16" ht="15.75" customHeight="1">
      <c r="B38" s="742" t="s">
        <v>705</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693</v>
      </c>
      <c r="C40" s="741"/>
      <c r="D40" s="741"/>
      <c r="E40" s="741"/>
      <c r="F40" s="741"/>
      <c r="H40" s="741"/>
      <c r="I40" s="741"/>
      <c r="J40" s="741"/>
      <c r="K40" s="741"/>
      <c r="M40" s="741"/>
      <c r="N40" s="741"/>
      <c r="O40" s="741"/>
      <c r="P40" s="741"/>
    </row>
    <row r="41" spans="2:16">
      <c r="B41" s="742" t="s">
        <v>693</v>
      </c>
      <c r="C41" s="741"/>
      <c r="D41" s="741"/>
      <c r="E41" s="741"/>
      <c r="F41" s="741"/>
      <c r="H41" s="741"/>
      <c r="I41" s="741"/>
      <c r="J41" s="741"/>
      <c r="K41" s="741"/>
      <c r="M41" s="741"/>
      <c r="N41" s="741"/>
      <c r="O41" s="741"/>
      <c r="P41" s="741"/>
    </row>
    <row r="42" spans="2:16">
      <c r="B42" s="742" t="s">
        <v>693</v>
      </c>
      <c r="C42" s="741"/>
      <c r="D42" s="741"/>
      <c r="E42" s="741"/>
      <c r="F42" s="741"/>
      <c r="H42" s="741"/>
      <c r="I42" s="741"/>
      <c r="J42" s="741"/>
      <c r="K42" s="741"/>
      <c r="M42" s="741"/>
      <c r="N42" s="741"/>
      <c r="O42" s="741"/>
      <c r="P42" s="741"/>
    </row>
    <row r="43" spans="2:16">
      <c r="B43" s="742" t="s">
        <v>693</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0866141732283472" right="0.70866141732283472" top="0.74803149606299213" bottom="0.74803149606299213" header="0.31496062992125984" footer="0.31496062992125984"/>
  <pageSetup scale="38"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8"/>
  <sheetViews>
    <sheetView zoomScale="85" zoomScaleNormal="85" workbookViewId="0">
      <pane ySplit="16" topLeftCell="A32" activePane="bottomLeft" state="frozen"/>
      <selection pane="bottomLeft" activeCell="A43" sqref="A43"/>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560</v>
      </c>
      <c r="C16" s="784" t="s">
        <v>504</v>
      </c>
      <c r="D16" s="785"/>
      <c r="E16" s="785"/>
      <c r="F16" s="785"/>
      <c r="G16" s="785"/>
      <c r="H16" s="785"/>
      <c r="I16" s="785"/>
      <c r="J16" s="785"/>
      <c r="K16" s="785"/>
      <c r="L16" s="785"/>
      <c r="M16" s="785"/>
      <c r="N16" s="785"/>
      <c r="O16" s="785"/>
      <c r="P16" s="785"/>
      <c r="Q16" s="785"/>
      <c r="R16" s="785"/>
      <c r="S16" s="785"/>
      <c r="T16" s="785"/>
      <c r="U16" s="785"/>
    </row>
    <row r="17" spans="2:21" ht="55.5" customHeight="1">
      <c r="B17" s="706" t="s">
        <v>625</v>
      </c>
      <c r="C17" s="786" t="s">
        <v>729</v>
      </c>
      <c r="D17" s="786"/>
      <c r="E17" s="786"/>
      <c r="F17" s="786"/>
      <c r="G17" s="786"/>
      <c r="H17" s="786"/>
      <c r="I17" s="786"/>
      <c r="J17" s="786"/>
      <c r="K17" s="786"/>
      <c r="L17" s="786"/>
      <c r="M17" s="786"/>
      <c r="N17" s="786"/>
      <c r="O17" s="786"/>
      <c r="P17" s="786"/>
      <c r="Q17" s="786"/>
      <c r="R17" s="786"/>
      <c r="S17" s="786"/>
      <c r="T17" s="786"/>
      <c r="U17" s="787"/>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629</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626</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83" t="s">
        <v>627</v>
      </c>
      <c r="D23" s="783"/>
      <c r="E23" s="783"/>
      <c r="F23" s="783"/>
      <c r="G23" s="783"/>
      <c r="H23" s="783"/>
      <c r="I23" s="783"/>
      <c r="J23" s="783"/>
      <c r="K23" s="783"/>
      <c r="L23" s="783"/>
      <c r="M23" s="783"/>
      <c r="N23" s="783"/>
      <c r="O23" s="783"/>
      <c r="P23" s="783"/>
      <c r="Q23" s="783"/>
      <c r="R23" s="783"/>
      <c r="S23" s="783"/>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630</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83" t="s">
        <v>628</v>
      </c>
      <c r="D27" s="783"/>
      <c r="E27" s="783"/>
      <c r="F27" s="783"/>
      <c r="G27" s="783"/>
      <c r="H27" s="783"/>
      <c r="I27" s="783"/>
      <c r="J27" s="783"/>
      <c r="K27" s="783"/>
      <c r="L27" s="783"/>
      <c r="M27" s="783"/>
      <c r="N27" s="783"/>
      <c r="O27" s="783"/>
      <c r="P27" s="783"/>
      <c r="Q27" s="783"/>
      <c r="R27" s="783"/>
      <c r="S27" s="783"/>
      <c r="T27" s="783"/>
      <c r="U27" s="788"/>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83" t="s">
        <v>631</v>
      </c>
      <c r="D29" s="783"/>
      <c r="E29" s="783"/>
      <c r="F29" s="783"/>
      <c r="G29" s="783"/>
      <c r="H29" s="783"/>
      <c r="I29" s="783"/>
      <c r="J29" s="783"/>
      <c r="K29" s="783"/>
      <c r="L29" s="783"/>
      <c r="M29" s="783"/>
      <c r="N29" s="783"/>
      <c r="O29" s="783"/>
      <c r="P29" s="783"/>
      <c r="Q29" s="783"/>
      <c r="R29" s="783"/>
      <c r="S29" s="783"/>
      <c r="T29" s="783"/>
      <c r="U29" s="788"/>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632</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633</v>
      </c>
      <c r="C33" s="789" t="s">
        <v>634</v>
      </c>
      <c r="D33" s="789"/>
      <c r="E33" s="789"/>
      <c r="F33" s="789"/>
      <c r="G33" s="789"/>
      <c r="H33" s="789"/>
      <c r="I33" s="789"/>
      <c r="J33" s="789"/>
      <c r="K33" s="789"/>
      <c r="L33" s="789"/>
      <c r="M33" s="789"/>
      <c r="N33" s="789"/>
      <c r="O33" s="789"/>
      <c r="P33" s="789"/>
      <c r="Q33" s="789"/>
      <c r="R33" s="789"/>
      <c r="S33" s="789"/>
      <c r="T33" s="789"/>
      <c r="U33" s="790"/>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635</v>
      </c>
      <c r="C35" s="720" t="s">
        <v>636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637</v>
      </c>
      <c r="C37" s="791" t="s">
        <v>638</v>
      </c>
      <c r="D37" s="791"/>
      <c r="E37" s="791"/>
      <c r="F37" s="791"/>
      <c r="G37" s="791"/>
      <c r="H37" s="791"/>
      <c r="I37" s="791"/>
      <c r="J37" s="791"/>
      <c r="K37" s="791"/>
      <c r="L37" s="791"/>
      <c r="M37" s="791"/>
      <c r="N37" s="791"/>
      <c r="O37" s="791"/>
      <c r="P37" s="791"/>
      <c r="Q37" s="791"/>
      <c r="R37" s="791"/>
      <c r="S37" s="791"/>
      <c r="T37" s="791"/>
      <c r="U37" s="792"/>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639</v>
      </c>
      <c r="C39" s="722" t="s">
        <v>640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c r="B41" s="723"/>
      <c r="C41" s="717"/>
      <c r="D41" s="717"/>
      <c r="E41" s="717"/>
      <c r="F41" s="717"/>
      <c r="G41" s="717"/>
      <c r="H41" s="717"/>
      <c r="I41" s="717"/>
      <c r="J41" s="717"/>
      <c r="K41" s="717"/>
      <c r="L41" s="717"/>
      <c r="M41" s="717"/>
      <c r="N41" s="717"/>
      <c r="O41" s="717"/>
      <c r="P41" s="717"/>
      <c r="Q41" s="717"/>
      <c r="R41" s="717"/>
      <c r="S41" s="717"/>
      <c r="T41" s="717"/>
      <c r="U41" s="718"/>
    </row>
    <row r="42" spans="2:21" ht="15.75">
      <c r="B42" s="719" t="s">
        <v>641</v>
      </c>
      <c r="C42" s="720" t="s">
        <v>642</v>
      </c>
      <c r="D42" s="709"/>
      <c r="E42" s="709"/>
      <c r="F42" s="709"/>
      <c r="G42" s="709"/>
      <c r="H42" s="709"/>
      <c r="I42" s="709"/>
      <c r="J42" s="709"/>
      <c r="K42" s="709"/>
      <c r="L42" s="709"/>
      <c r="M42" s="709"/>
      <c r="N42" s="709"/>
      <c r="O42" s="709"/>
      <c r="P42" s="709"/>
      <c r="Q42" s="709"/>
      <c r="R42" s="709"/>
      <c r="S42" s="709"/>
      <c r="T42" s="709"/>
      <c r="U42" s="710"/>
    </row>
    <row r="43" spans="2:21">
      <c r="B43" s="724"/>
      <c r="C43" s="709"/>
      <c r="D43" s="709"/>
      <c r="E43" s="709"/>
      <c r="F43" s="709"/>
      <c r="G43" s="709"/>
      <c r="H43" s="709"/>
      <c r="I43" s="709"/>
      <c r="J43" s="709"/>
      <c r="K43" s="709"/>
      <c r="L43" s="709"/>
      <c r="M43" s="709"/>
      <c r="N43" s="709"/>
      <c r="O43" s="709"/>
      <c r="P43" s="709"/>
      <c r="Q43" s="709"/>
      <c r="R43" s="709"/>
      <c r="S43" s="709"/>
      <c r="T43" s="709"/>
      <c r="U43" s="710"/>
    </row>
    <row r="44" spans="2:21" ht="36" customHeight="1">
      <c r="B44" s="724"/>
      <c r="C44" s="781" t="s">
        <v>658</v>
      </c>
      <c r="D44" s="781"/>
      <c r="E44" s="781"/>
      <c r="F44" s="781"/>
      <c r="G44" s="781"/>
      <c r="H44" s="781"/>
      <c r="I44" s="781"/>
      <c r="J44" s="781"/>
      <c r="K44" s="781"/>
      <c r="L44" s="781"/>
      <c r="M44" s="781"/>
      <c r="N44" s="781"/>
      <c r="O44" s="781"/>
      <c r="P44" s="781"/>
      <c r="Q44" s="781"/>
      <c r="R44" s="781"/>
      <c r="S44" s="781"/>
      <c r="T44" s="781"/>
      <c r="U44" s="782"/>
    </row>
    <row r="45" spans="2:21">
      <c r="B45" s="724"/>
      <c r="C45" s="725"/>
      <c r="D45" s="709"/>
      <c r="E45" s="709"/>
      <c r="F45" s="709"/>
      <c r="G45" s="709"/>
      <c r="H45" s="709"/>
      <c r="I45" s="709"/>
      <c r="J45" s="709"/>
      <c r="K45" s="709"/>
      <c r="L45" s="709"/>
      <c r="M45" s="709"/>
      <c r="N45" s="709"/>
      <c r="O45" s="709"/>
      <c r="P45" s="709"/>
      <c r="Q45" s="709"/>
      <c r="R45" s="709"/>
      <c r="S45" s="709"/>
      <c r="T45" s="709"/>
      <c r="U45" s="710"/>
    </row>
    <row r="46" spans="2:21" ht="35.25" customHeight="1">
      <c r="B46" s="724"/>
      <c r="C46" s="781" t="s">
        <v>643</v>
      </c>
      <c r="D46" s="781"/>
      <c r="E46" s="781"/>
      <c r="F46" s="781"/>
      <c r="G46" s="781"/>
      <c r="H46" s="781"/>
      <c r="I46" s="781"/>
      <c r="J46" s="781"/>
      <c r="K46" s="781"/>
      <c r="L46" s="781"/>
      <c r="M46" s="781"/>
      <c r="N46" s="781"/>
      <c r="O46" s="781"/>
      <c r="P46" s="781"/>
      <c r="Q46" s="781"/>
      <c r="R46" s="781"/>
      <c r="S46" s="781"/>
      <c r="T46" s="781"/>
      <c r="U46" s="782"/>
    </row>
    <row r="47" spans="2:21">
      <c r="B47" s="724"/>
      <c r="C47" s="725"/>
      <c r="D47" s="709"/>
      <c r="E47" s="709"/>
      <c r="F47" s="709"/>
      <c r="G47" s="709"/>
      <c r="H47" s="709"/>
      <c r="I47" s="709"/>
      <c r="J47" s="709"/>
      <c r="K47" s="709"/>
      <c r="L47" s="709"/>
      <c r="M47" s="709"/>
      <c r="N47" s="709"/>
      <c r="O47" s="709"/>
      <c r="P47" s="709"/>
      <c r="Q47" s="709"/>
      <c r="R47" s="709"/>
      <c r="S47" s="709"/>
      <c r="T47" s="709"/>
      <c r="U47" s="710"/>
    </row>
    <row r="48" spans="2:21" ht="40.5" customHeight="1">
      <c r="B48" s="724"/>
      <c r="C48" s="781" t="s">
        <v>644</v>
      </c>
      <c r="D48" s="781"/>
      <c r="E48" s="781"/>
      <c r="F48" s="781"/>
      <c r="G48" s="781"/>
      <c r="H48" s="781"/>
      <c r="I48" s="781"/>
      <c r="J48" s="781"/>
      <c r="K48" s="781"/>
      <c r="L48" s="781"/>
      <c r="M48" s="781"/>
      <c r="N48" s="781"/>
      <c r="O48" s="781"/>
      <c r="P48" s="781"/>
      <c r="Q48" s="781"/>
      <c r="R48" s="781"/>
      <c r="S48" s="781"/>
      <c r="T48" s="781"/>
      <c r="U48" s="782"/>
    </row>
    <row r="49" spans="2:21">
      <c r="B49" s="724"/>
      <c r="C49" s="725"/>
      <c r="D49" s="709"/>
      <c r="E49" s="709"/>
      <c r="F49" s="709"/>
      <c r="G49" s="709"/>
      <c r="H49" s="709"/>
      <c r="I49" s="709"/>
      <c r="J49" s="709"/>
      <c r="K49" s="709"/>
      <c r="L49" s="709"/>
      <c r="M49" s="709"/>
      <c r="N49" s="709"/>
      <c r="O49" s="709"/>
      <c r="P49" s="709"/>
      <c r="Q49" s="709"/>
      <c r="R49" s="709"/>
      <c r="S49" s="709"/>
      <c r="T49" s="709"/>
      <c r="U49" s="710"/>
    </row>
    <row r="50" spans="2:21" ht="30" customHeight="1">
      <c r="B50" s="724"/>
      <c r="C50" s="781" t="s">
        <v>645</v>
      </c>
      <c r="D50" s="781"/>
      <c r="E50" s="781"/>
      <c r="F50" s="781"/>
      <c r="G50" s="781"/>
      <c r="H50" s="781"/>
      <c r="I50" s="781"/>
      <c r="J50" s="781"/>
      <c r="K50" s="781"/>
      <c r="L50" s="781"/>
      <c r="M50" s="781"/>
      <c r="N50" s="781"/>
      <c r="O50" s="781"/>
      <c r="P50" s="781"/>
      <c r="Q50" s="781"/>
      <c r="R50" s="781"/>
      <c r="S50" s="781"/>
      <c r="T50" s="781"/>
      <c r="U50" s="782"/>
    </row>
    <row r="51" spans="2:21" ht="15.75">
      <c r="B51" s="724"/>
      <c r="C51" s="708"/>
      <c r="D51" s="709"/>
      <c r="E51" s="709"/>
      <c r="F51" s="709"/>
      <c r="G51" s="709"/>
      <c r="H51" s="709"/>
      <c r="I51" s="709"/>
      <c r="J51" s="709"/>
      <c r="K51" s="709"/>
      <c r="L51" s="709"/>
      <c r="M51" s="709"/>
      <c r="N51" s="709"/>
      <c r="O51" s="709"/>
      <c r="P51" s="709"/>
      <c r="Q51" s="709"/>
      <c r="R51" s="709"/>
      <c r="S51" s="709"/>
      <c r="T51" s="709"/>
      <c r="U51" s="710"/>
    </row>
    <row r="52" spans="2:21" ht="31.5" customHeight="1">
      <c r="B52" s="724"/>
      <c r="C52" s="783" t="s">
        <v>657</v>
      </c>
      <c r="D52" s="783"/>
      <c r="E52" s="783"/>
      <c r="F52" s="783"/>
      <c r="G52" s="783"/>
      <c r="H52" s="783"/>
      <c r="I52" s="783"/>
      <c r="J52" s="783"/>
      <c r="K52" s="783"/>
      <c r="L52" s="783"/>
      <c r="M52" s="783"/>
      <c r="N52" s="783"/>
      <c r="O52" s="783"/>
      <c r="P52" s="783"/>
      <c r="Q52" s="783"/>
      <c r="R52" s="783"/>
      <c r="S52" s="783"/>
      <c r="T52" s="783"/>
      <c r="U52" s="788"/>
    </row>
    <row r="53" spans="2:21">
      <c r="B53" s="721"/>
      <c r="C53" s="713"/>
      <c r="D53" s="713"/>
      <c r="E53" s="713"/>
      <c r="F53" s="713"/>
      <c r="G53" s="713"/>
      <c r="H53" s="713"/>
      <c r="I53" s="713"/>
      <c r="J53" s="713"/>
      <c r="K53" s="713"/>
      <c r="L53" s="713"/>
      <c r="M53" s="713"/>
      <c r="N53" s="713"/>
      <c r="O53" s="713"/>
      <c r="P53" s="713"/>
      <c r="Q53" s="713"/>
      <c r="R53" s="713"/>
      <c r="S53" s="713"/>
      <c r="T53" s="713"/>
      <c r="U53" s="714"/>
    </row>
    <row r="54" spans="2:21" ht="48" customHeight="1">
      <c r="B54" s="706" t="s">
        <v>646</v>
      </c>
      <c r="C54" s="791" t="s">
        <v>647</v>
      </c>
      <c r="D54" s="791"/>
      <c r="E54" s="791"/>
      <c r="F54" s="791"/>
      <c r="G54" s="791"/>
      <c r="H54" s="791"/>
      <c r="I54" s="791"/>
      <c r="J54" s="791"/>
      <c r="K54" s="791"/>
      <c r="L54" s="791"/>
      <c r="M54" s="791"/>
      <c r="N54" s="791"/>
      <c r="O54" s="791"/>
      <c r="P54" s="791"/>
      <c r="Q54" s="791"/>
      <c r="R54" s="791"/>
      <c r="S54" s="791"/>
      <c r="T54" s="791"/>
      <c r="U54" s="792"/>
    </row>
    <row r="55" spans="2:21">
      <c r="B55" s="721"/>
      <c r="C55" s="713"/>
      <c r="D55" s="713"/>
      <c r="E55" s="713"/>
      <c r="F55" s="713"/>
      <c r="G55" s="713"/>
      <c r="H55" s="713"/>
      <c r="I55" s="713"/>
      <c r="J55" s="713"/>
      <c r="K55" s="713"/>
      <c r="L55" s="713"/>
      <c r="M55" s="713"/>
      <c r="N55" s="713"/>
      <c r="O55" s="713"/>
      <c r="P55" s="713"/>
      <c r="Q55" s="713"/>
      <c r="R55" s="713"/>
      <c r="S55" s="713"/>
      <c r="T55" s="713"/>
      <c r="U55" s="714"/>
    </row>
    <row r="56" spans="2:21" ht="34.5" customHeight="1">
      <c r="B56" s="706" t="s">
        <v>648</v>
      </c>
      <c r="C56" s="791" t="s">
        <v>649</v>
      </c>
      <c r="D56" s="791"/>
      <c r="E56" s="791"/>
      <c r="F56" s="791"/>
      <c r="G56" s="791"/>
      <c r="H56" s="791"/>
      <c r="I56" s="791"/>
      <c r="J56" s="791"/>
      <c r="K56" s="791"/>
      <c r="L56" s="791"/>
      <c r="M56" s="791"/>
      <c r="N56" s="791"/>
      <c r="O56" s="791"/>
      <c r="P56" s="791"/>
      <c r="Q56" s="791"/>
      <c r="R56" s="791"/>
      <c r="S56" s="791"/>
      <c r="T56" s="791"/>
      <c r="U56" s="792"/>
    </row>
    <row r="57" spans="2:21">
      <c r="B57" s="726"/>
      <c r="C57" s="713"/>
      <c r="D57" s="713"/>
      <c r="E57" s="713"/>
      <c r="F57" s="713"/>
      <c r="G57" s="713"/>
      <c r="H57" s="713"/>
      <c r="I57" s="713"/>
      <c r="J57" s="713"/>
      <c r="K57" s="713"/>
      <c r="L57" s="713"/>
      <c r="M57" s="713"/>
      <c r="N57" s="713"/>
      <c r="O57" s="713"/>
      <c r="P57" s="713"/>
      <c r="Q57" s="713"/>
      <c r="R57" s="713"/>
      <c r="S57" s="713"/>
      <c r="T57" s="713"/>
      <c r="U57" s="714"/>
    </row>
    <row r="58" spans="2:21" ht="30.75" customHeight="1">
      <c r="B58" s="715" t="s">
        <v>650</v>
      </c>
      <c r="C58" s="727" t="s">
        <v>651</v>
      </c>
      <c r="D58" s="728"/>
      <c r="E58" s="728"/>
      <c r="F58" s="728"/>
      <c r="G58" s="728"/>
      <c r="H58" s="728"/>
      <c r="I58" s="728"/>
      <c r="J58" s="728"/>
      <c r="K58" s="728"/>
      <c r="L58" s="728"/>
      <c r="M58" s="728"/>
      <c r="N58" s="728"/>
      <c r="O58" s="728"/>
      <c r="P58" s="728"/>
      <c r="Q58" s="728"/>
      <c r="R58" s="728"/>
      <c r="S58" s="728"/>
      <c r="T58" s="728"/>
      <c r="U58" s="729"/>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0866141732283472" right="0.70866141732283472" top="0.74803149606299213" bottom="0.74803149606299213" header="0.31496062992125984" footer="0.31496062992125984"/>
  <pageSetup scale="37" fitToHeight="2"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94" t="s">
        <v>724</v>
      </c>
      <c r="C3" s="795"/>
      <c r="D3" s="795"/>
      <c r="E3" s="795"/>
      <c r="F3" s="796"/>
      <c r="G3" s="122"/>
    </row>
    <row r="4" spans="2:20" ht="16.5" customHeight="1">
      <c r="B4" s="797"/>
      <c r="C4" s="798"/>
      <c r="D4" s="798"/>
      <c r="E4" s="798"/>
      <c r="F4" s="799"/>
      <c r="G4" s="122"/>
    </row>
    <row r="5" spans="2:20" ht="71.25" customHeight="1">
      <c r="B5" s="797"/>
      <c r="C5" s="798"/>
      <c r="D5" s="798"/>
      <c r="E5" s="798"/>
      <c r="F5" s="799"/>
      <c r="G5" s="122"/>
    </row>
    <row r="6" spans="2:20" ht="21.75" customHeight="1">
      <c r="B6" s="800"/>
      <c r="C6" s="801"/>
      <c r="D6" s="801"/>
      <c r="E6" s="801"/>
      <c r="F6" s="802"/>
      <c r="G6" s="122"/>
    </row>
    <row r="8" spans="2:20" ht="21">
      <c r="B8" s="793" t="s">
        <v>480</v>
      </c>
      <c r="C8" s="793"/>
      <c r="D8" s="793"/>
      <c r="E8" s="793"/>
      <c r="F8" s="793"/>
      <c r="G8" s="79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c r="C13" s="124" t="s">
        <v>620</v>
      </c>
      <c r="G13" s="109"/>
      <c r="L13" s="33"/>
      <c r="M13" s="33"/>
      <c r="N13" s="33"/>
      <c r="O13" s="33"/>
      <c r="P13" s="33"/>
      <c r="Q13" s="68"/>
      <c r="S13" s="8"/>
      <c r="T13" s="8"/>
    </row>
    <row r="14" spans="2:20" s="9" customFormat="1" ht="26.25" customHeight="1" thickBot="1">
      <c r="B14" s="102"/>
      <c r="C14" s="172" t="s">
        <v>615</v>
      </c>
      <c r="G14" s="123"/>
      <c r="L14" s="33"/>
      <c r="M14" s="33"/>
      <c r="N14" s="33"/>
      <c r="O14" s="33"/>
      <c r="P14" s="33"/>
      <c r="Q14" s="68"/>
      <c r="S14" s="8"/>
      <c r="T14" s="8"/>
    </row>
    <row r="15" spans="2:20" s="9" customFormat="1" ht="26.25" customHeight="1" thickBot="1">
      <c r="B15" s="102"/>
      <c r="C15" s="172" t="s">
        <v>616</v>
      </c>
      <c r="G15" s="123"/>
      <c r="L15" s="33"/>
      <c r="M15" s="33"/>
      <c r="N15" s="33"/>
      <c r="O15" s="33"/>
      <c r="P15" s="33"/>
      <c r="Q15" s="68"/>
      <c r="S15" s="8"/>
      <c r="T15" s="8"/>
    </row>
    <row r="16" spans="2:20" s="9" customFormat="1" ht="26.25" customHeight="1" thickBot="1">
      <c r="B16" s="102"/>
      <c r="C16" s="172" t="s">
        <v>617</v>
      </c>
      <c r="G16" s="123"/>
      <c r="L16" s="33"/>
      <c r="M16" s="33"/>
      <c r="N16" s="33"/>
      <c r="O16" s="33"/>
      <c r="P16" s="33"/>
      <c r="Q16" s="68"/>
      <c r="S16" s="8"/>
      <c r="T16" s="8"/>
    </row>
    <row r="17" spans="2:20" s="9" customFormat="1" ht="26.25" customHeight="1" thickBot="1">
      <c r="B17" s="102"/>
      <c r="C17" s="124" t="s">
        <v>618</v>
      </c>
      <c r="G17" s="109"/>
      <c r="L17" s="33"/>
      <c r="M17" s="33"/>
      <c r="N17" s="33"/>
      <c r="O17" s="33"/>
      <c r="P17" s="33"/>
      <c r="Q17" s="68"/>
      <c r="S17" s="8"/>
      <c r="T17" s="8"/>
    </row>
    <row r="18" spans="2:20" s="9" customFormat="1" ht="26.25" customHeight="1" thickBot="1">
      <c r="B18" s="102"/>
      <c r="C18" s="124" t="s">
        <v>619</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539</v>
      </c>
      <c r="C20" s="243" t="s">
        <v>470</v>
      </c>
      <c r="D20" s="243" t="s">
        <v>446</v>
      </c>
      <c r="E20" s="243" t="s">
        <v>438</v>
      </c>
      <c r="F20" s="243" t="s">
        <v>552</v>
      </c>
      <c r="G20" s="40"/>
      <c r="M20" s="25"/>
      <c r="T20" s="25"/>
    </row>
    <row r="21" spans="2:20" s="103" customFormat="1" ht="50.45" customHeight="1">
      <c r="B21" s="647" t="s">
        <v>542</v>
      </c>
      <c r="C21" s="653" t="s">
        <v>436</v>
      </c>
      <c r="D21" s="656" t="s">
        <v>442</v>
      </c>
      <c r="E21" s="660" t="s">
        <v>582</v>
      </c>
      <c r="F21" s="656" t="s">
        <v>447</v>
      </c>
      <c r="G21" s="174"/>
      <c r="M21" s="645"/>
      <c r="T21" s="645"/>
    </row>
    <row r="22" spans="2:20" s="103" customFormat="1" ht="47.45" customHeight="1">
      <c r="B22" s="648" t="s">
        <v>457</v>
      </c>
      <c r="C22" s="654" t="s">
        <v>437</v>
      </c>
      <c r="D22" s="657" t="s">
        <v>443</v>
      </c>
      <c r="E22" s="661" t="s">
        <v>582</v>
      </c>
      <c r="F22" s="657" t="s">
        <v>447</v>
      </c>
      <c r="G22" s="174"/>
      <c r="M22" s="645"/>
      <c r="T22" s="645"/>
    </row>
    <row r="23" spans="2:20" s="103" customFormat="1" ht="45.6" customHeight="1">
      <c r="B23" s="648" t="s">
        <v>454</v>
      </c>
      <c r="C23" s="654" t="s">
        <v>437</v>
      </c>
      <c r="D23" s="657" t="s">
        <v>444</v>
      </c>
      <c r="E23" s="661" t="s">
        <v>582</v>
      </c>
      <c r="F23" s="657" t="s">
        <v>447</v>
      </c>
      <c r="G23" s="174"/>
      <c r="M23" s="645"/>
      <c r="T23" s="645"/>
    </row>
    <row r="24" spans="2:20" s="103" customFormat="1" ht="32.25" customHeight="1">
      <c r="B24" s="649" t="s">
        <v>455</v>
      </c>
      <c r="C24" s="654" t="s">
        <v>436</v>
      </c>
      <c r="D24" s="657" t="s">
        <v>445</v>
      </c>
      <c r="E24" s="662" t="s">
        <v>599</v>
      </c>
      <c r="F24" s="665"/>
      <c r="G24" s="174"/>
      <c r="M24" s="645"/>
      <c r="T24" s="645"/>
    </row>
    <row r="25" spans="2:20" s="103" customFormat="1" ht="30.75" customHeight="1">
      <c r="B25" s="650" t="s">
        <v>540</v>
      </c>
      <c r="C25" s="654" t="s">
        <v>436</v>
      </c>
      <c r="D25" s="657"/>
      <c r="E25" s="662"/>
      <c r="F25" s="665"/>
      <c r="G25" s="174"/>
      <c r="M25" s="645"/>
      <c r="T25" s="645"/>
    </row>
    <row r="26" spans="2:20" s="103" customFormat="1" ht="32.25" customHeight="1">
      <c r="B26" s="651" t="s">
        <v>541</v>
      </c>
      <c r="C26" s="654" t="s">
        <v>436</v>
      </c>
      <c r="D26" s="658" t="s">
        <v>537</v>
      </c>
      <c r="E26" s="662"/>
      <c r="F26" s="665"/>
      <c r="G26" s="174"/>
      <c r="M26" s="645"/>
      <c r="T26" s="645"/>
    </row>
    <row r="27" spans="2:20" s="103" customFormat="1" ht="27" customHeight="1">
      <c r="B27" s="649" t="s">
        <v>456</v>
      </c>
      <c r="C27" s="654" t="s">
        <v>439</v>
      </c>
      <c r="D27" s="657" t="s">
        <v>481</v>
      </c>
      <c r="E27" s="662" t="s">
        <v>458</v>
      </c>
      <c r="F27" s="665"/>
      <c r="G27" s="174"/>
      <c r="M27" s="645"/>
      <c r="T27" s="645"/>
    </row>
    <row r="28" spans="2:20" s="103" customFormat="1" ht="27" customHeight="1">
      <c r="B28" s="651" t="s">
        <v>451</v>
      </c>
      <c r="C28" s="654" t="s">
        <v>436</v>
      </c>
      <c r="D28" s="657"/>
      <c r="E28" s="662"/>
      <c r="F28" s="657" t="s">
        <v>407</v>
      </c>
      <c r="G28" s="174"/>
      <c r="M28" s="645"/>
      <c r="T28" s="645"/>
    </row>
    <row r="29" spans="2:20" s="103" customFormat="1" ht="32.25" customHeight="1">
      <c r="B29" s="649" t="s">
        <v>207</v>
      </c>
      <c r="C29" s="654" t="s">
        <v>441</v>
      </c>
      <c r="D29" s="657" t="s">
        <v>554</v>
      </c>
      <c r="E29" s="663"/>
      <c r="F29" s="657" t="s">
        <v>553</v>
      </c>
      <c r="G29" s="646"/>
      <c r="M29" s="645"/>
    </row>
    <row r="30" spans="2:20" s="103" customFormat="1" ht="27.75" customHeight="1">
      <c r="B30" s="652" t="s">
        <v>538</v>
      </c>
      <c r="C30" s="655" t="s">
        <v>440</v>
      </c>
      <c r="D30" s="659"/>
      <c r="E30" s="664"/>
      <c r="F30" s="659"/>
      <c r="G30" s="646"/>
      <c r="M30" s="645"/>
    </row>
    <row r="31" spans="2:20" s="103" customFormat="1" ht="23.25" customHeight="1">
      <c r="C31" s="175"/>
      <c r="D31" s="175"/>
      <c r="E31" s="175"/>
      <c r="G31" s="646"/>
      <c r="M31" s="645"/>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565</v>
      </c>
      <c r="H1" s="120" t="s">
        <v>576</v>
      </c>
    </row>
    <row r="2" spans="1:8">
      <c r="A2" s="12" t="s">
        <v>29</v>
      </c>
      <c r="B2" s="12" t="s">
        <v>27</v>
      </c>
      <c r="C2" s="10">
        <v>2006</v>
      </c>
      <c r="D2" s="12" t="s">
        <v>415</v>
      </c>
      <c r="E2" s="10">
        <f>'2. LRAMVA Threshold'!D9</f>
        <v>2013</v>
      </c>
      <c r="F2" s="26" t="s">
        <v>170</v>
      </c>
      <c r="G2" s="12" t="s">
        <v>566</v>
      </c>
      <c r="H2" s="12" t="s">
        <v>584</v>
      </c>
    </row>
    <row r="3" spans="1:8">
      <c r="A3" s="12" t="s">
        <v>371</v>
      </c>
      <c r="B3" s="12" t="s">
        <v>27</v>
      </c>
      <c r="C3" s="10">
        <v>2007</v>
      </c>
      <c r="D3" s="12" t="s">
        <v>416</v>
      </c>
      <c r="E3" s="10">
        <f>'2. LRAMVA Threshold'!D24</f>
        <v>2018</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25" zoomScale="80" zoomScaleNormal="80" workbookViewId="0">
      <selection activeCell="E33" sqref="E33"/>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747</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745</v>
      </c>
      <c r="E14" s="130"/>
      <c r="F14" s="124" t="s">
        <v>547</v>
      </c>
      <c r="H14" s="542" t="s">
        <v>748</v>
      </c>
      <c r="J14" s="124" t="s">
        <v>514</v>
      </c>
      <c r="L14" s="132"/>
      <c r="N14" s="103"/>
      <c r="Q14" s="99"/>
      <c r="R14" s="96"/>
    </row>
    <row r="15" spans="2:22" ht="26.25" customHeight="1" thickBot="1">
      <c r="B15" s="124" t="s">
        <v>423</v>
      </c>
      <c r="C15" s="106"/>
      <c r="D15" s="542" t="s">
        <v>746</v>
      </c>
      <c r="F15" s="124" t="s">
        <v>413</v>
      </c>
      <c r="G15" s="127"/>
      <c r="H15" s="542" t="s">
        <v>749</v>
      </c>
      <c r="I15" s="17"/>
      <c r="J15" s="124" t="s">
        <v>515</v>
      </c>
      <c r="L15" s="132"/>
      <c r="M15" s="103"/>
      <c r="Q15" s="108"/>
      <c r="R15" s="96"/>
    </row>
    <row r="16" spans="2:22" ht="28.5" customHeight="1" thickBot="1">
      <c r="B16" s="124" t="s">
        <v>453</v>
      </c>
      <c r="C16" s="106"/>
      <c r="D16" s="543" t="s">
        <v>181</v>
      </c>
      <c r="E16" s="103"/>
      <c r="F16" s="124" t="s">
        <v>433</v>
      </c>
      <c r="G16" s="125"/>
      <c r="H16" s="543" t="s">
        <v>750</v>
      </c>
      <c r="I16" s="103"/>
      <c r="K16" s="195"/>
      <c r="L16" s="195"/>
      <c r="M16" s="195"/>
      <c r="N16" s="195"/>
      <c r="Q16" s="115"/>
      <c r="R16" s="96"/>
    </row>
    <row r="17" spans="1:21" ht="29.25" customHeight="1" thickBot="1">
      <c r="B17" s="124" t="s">
        <v>420</v>
      </c>
      <c r="C17" s="106"/>
      <c r="D17" s="132">
        <v>6030</v>
      </c>
      <c r="E17" s="121"/>
      <c r="F17" s="739" t="s">
        <v>661</v>
      </c>
      <c r="G17" s="195"/>
      <c r="H17" s="733">
        <v>1</v>
      </c>
      <c r="I17" s="17"/>
      <c r="M17" s="195"/>
      <c r="N17" s="195"/>
      <c r="P17" s="99"/>
      <c r="Q17" s="99"/>
      <c r="R17" s="96"/>
    </row>
    <row r="18" spans="1:21" s="28" customFormat="1" ht="29.25" customHeight="1">
      <c r="B18" s="124"/>
      <c r="C18" s="734"/>
      <c r="D18" s="732"/>
      <c r="E18" s="735"/>
      <c r="F18" s="731"/>
      <c r="G18" s="736"/>
      <c r="H18" s="737"/>
      <c r="I18" s="163"/>
      <c r="M18" s="736"/>
      <c r="N18" s="736"/>
      <c r="P18" s="736"/>
      <c r="Q18" s="736"/>
      <c r="R18" s="738"/>
      <c r="T18" s="37"/>
      <c r="U18" s="37"/>
    </row>
    <row r="19" spans="1:21" ht="27.75" customHeight="1" thickBot="1">
      <c r="E19" s="9"/>
      <c r="F19" s="124" t="s">
        <v>434</v>
      </c>
      <c r="G19" s="603" t="s">
        <v>363</v>
      </c>
      <c r="H19" s="242">
        <f>SUM(R54,R57,R60,R63,R66,R69,R72,R75,R78,R81)</f>
        <v>79239.155767469623</v>
      </c>
      <c r="I19" s="17"/>
      <c r="J19" s="115"/>
      <c r="K19" s="115"/>
      <c r="L19" s="115"/>
      <c r="M19" s="115"/>
      <c r="N19" s="115"/>
      <c r="P19" s="115"/>
      <c r="Q19" s="115"/>
      <c r="R19" s="96"/>
    </row>
    <row r="20" spans="1:21" ht="27.75" customHeight="1" thickBot="1">
      <c r="E20" s="9"/>
      <c r="F20" s="124" t="s">
        <v>435</v>
      </c>
      <c r="G20" s="603" t="s">
        <v>364</v>
      </c>
      <c r="H20" s="131">
        <f>-SUM(R55,R58,R61,R64,R67,R70,R73,R76,R79,R82)</f>
        <v>57233.972300000001</v>
      </c>
      <c r="I20" s="17"/>
      <c r="J20" s="115"/>
      <c r="P20" s="115"/>
      <c r="Q20" s="115"/>
      <c r="R20" s="96"/>
    </row>
    <row r="21" spans="1:21" ht="27.75" customHeight="1" thickBot="1">
      <c r="C21" s="32"/>
      <c r="D21" s="32"/>
      <c r="E21" s="32"/>
      <c r="F21" s="124" t="s">
        <v>408</v>
      </c>
      <c r="G21" s="603" t="s">
        <v>365</v>
      </c>
      <c r="H21" s="188">
        <f>R84</f>
        <v>1084.4203594854025</v>
      </c>
      <c r="I21" s="103"/>
      <c r="P21" s="115"/>
      <c r="Q21" s="115"/>
      <c r="R21" s="96"/>
    </row>
    <row r="22" spans="1:21" ht="27.75" customHeight="1">
      <c r="C22" s="32"/>
      <c r="D22" s="32"/>
      <c r="E22" s="32"/>
      <c r="F22" s="124" t="s">
        <v>509</v>
      </c>
      <c r="G22" s="603" t="s">
        <v>448</v>
      </c>
      <c r="H22" s="188">
        <f>H19-H20+H21</f>
        <v>23089.603826955026</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05" t="s">
        <v>668</v>
      </c>
      <c r="C26" s="805"/>
      <c r="D26" s="805"/>
      <c r="E26" s="805"/>
      <c r="F26" s="805"/>
      <c r="G26" s="805"/>
    </row>
    <row r="27" spans="1:21" ht="14.25" customHeight="1">
      <c r="A27" s="28"/>
      <c r="B27" s="548"/>
      <c r="C27" s="548"/>
      <c r="D27" s="538"/>
      <c r="E27" s="538"/>
      <c r="F27" s="538"/>
      <c r="G27" s="548"/>
    </row>
    <row r="28" spans="1:21" s="17" customFormat="1" ht="27" customHeight="1">
      <c r="B28" s="806" t="s">
        <v>506</v>
      </c>
      <c r="C28" s="807"/>
      <c r="D28" s="133" t="s">
        <v>41</v>
      </c>
      <c r="E28" s="134" t="s">
        <v>659</v>
      </c>
      <c r="F28" s="134" t="s">
        <v>408</v>
      </c>
      <c r="G28" s="135" t="s">
        <v>409</v>
      </c>
      <c r="T28" s="136"/>
      <c r="U28" s="136"/>
    </row>
    <row r="29" spans="1:21" ht="20.25" customHeight="1">
      <c r="B29" s="803" t="s">
        <v>29</v>
      </c>
      <c r="C29" s="804"/>
      <c r="D29" s="638" t="s">
        <v>27</v>
      </c>
      <c r="E29" s="138">
        <f>SUM(D54:D82)</f>
        <v>14018.199121569496</v>
      </c>
      <c r="F29" s="139">
        <f>D84</f>
        <v>948.01270441488157</v>
      </c>
      <c r="G29" s="138">
        <f>E29+F29</f>
        <v>14966.211825984377</v>
      </c>
    </row>
    <row r="30" spans="1:21" ht="20.25" customHeight="1">
      <c r="B30" s="803" t="s">
        <v>371</v>
      </c>
      <c r="C30" s="804"/>
      <c r="D30" s="638" t="s">
        <v>27</v>
      </c>
      <c r="E30" s="140">
        <f>SUM(E54:E82)</f>
        <v>4264.941906078705</v>
      </c>
      <c r="F30" s="141">
        <f>E84</f>
        <v>125.93175602065645</v>
      </c>
      <c r="G30" s="140">
        <f>E30+F30</f>
        <v>4390.8736620993614</v>
      </c>
    </row>
    <row r="31" spans="1:21" ht="20.25" customHeight="1">
      <c r="B31" s="803" t="s">
        <v>751</v>
      </c>
      <c r="C31" s="804"/>
      <c r="D31" s="638" t="s">
        <v>28</v>
      </c>
      <c r="E31" s="140">
        <f>SUM(F54:F82)</f>
        <v>-5253.2559201785753</v>
      </c>
      <c r="F31" s="141">
        <f>F84</f>
        <v>-154.84470425813561</v>
      </c>
      <c r="G31" s="140">
        <f>E31+F31</f>
        <v>-5408.1006244367109</v>
      </c>
    </row>
    <row r="32" spans="1:21" ht="20.25" customHeight="1">
      <c r="B32" s="803" t="s">
        <v>31</v>
      </c>
      <c r="C32" s="804"/>
      <c r="D32" s="638" t="s">
        <v>28</v>
      </c>
      <c r="E32" s="140">
        <f>SUM(G54:G82)</f>
        <v>2949.0173599999989</v>
      </c>
      <c r="F32" s="141">
        <f>G84</f>
        <v>165.49308178299987</v>
      </c>
      <c r="G32" s="140">
        <f>E32+F32</f>
        <v>3114.5104417829989</v>
      </c>
    </row>
    <row r="33" spans="2:22" ht="20.25" customHeight="1">
      <c r="B33" s="803" t="s">
        <v>32</v>
      </c>
      <c r="C33" s="804"/>
      <c r="D33" s="638" t="s">
        <v>27</v>
      </c>
      <c r="E33" s="140">
        <f>SUM(H54:H82)</f>
        <v>-3.2489999999999997</v>
      </c>
      <c r="F33" s="141">
        <f>H84</f>
        <v>-0.17247847500000019</v>
      </c>
      <c r="G33" s="140">
        <f>E33+F33</f>
        <v>-3.4214784749999998</v>
      </c>
    </row>
    <row r="34" spans="2:22" ht="20.25" customHeight="1">
      <c r="B34" s="803"/>
      <c r="C34" s="804"/>
      <c r="D34" s="638"/>
      <c r="E34" s="140">
        <f>SUM(I54:I82)</f>
        <v>0</v>
      </c>
      <c r="F34" s="141">
        <f>I84</f>
        <v>0</v>
      </c>
      <c r="G34" s="140">
        <f t="shared" ref="G34" si="0">E34+F34</f>
        <v>0</v>
      </c>
    </row>
    <row r="35" spans="2:22" ht="20.25" customHeight="1">
      <c r="B35" s="803"/>
      <c r="C35" s="804"/>
      <c r="D35" s="638"/>
      <c r="E35" s="140">
        <f>SUM(J54:J82)</f>
        <v>0</v>
      </c>
      <c r="F35" s="141">
        <f>J84</f>
        <v>0</v>
      </c>
      <c r="G35" s="140">
        <f>E35+F35</f>
        <v>0</v>
      </c>
    </row>
    <row r="36" spans="2:22" ht="20.25" customHeight="1">
      <c r="B36" s="803"/>
      <c r="C36" s="804"/>
      <c r="D36" s="638"/>
      <c r="E36" s="140">
        <f>SUM(K54:K82)</f>
        <v>0</v>
      </c>
      <c r="F36" s="141">
        <f>K84</f>
        <v>0</v>
      </c>
      <c r="G36" s="140">
        <f t="shared" ref="G36:G39" si="1">E36+F36</f>
        <v>0</v>
      </c>
    </row>
    <row r="37" spans="2:22" ht="20.25" customHeight="1">
      <c r="B37" s="803"/>
      <c r="C37" s="804"/>
      <c r="D37" s="638"/>
      <c r="E37" s="140">
        <f>SUM(L54:L82)</f>
        <v>0</v>
      </c>
      <c r="F37" s="141">
        <f>L84</f>
        <v>0</v>
      </c>
      <c r="G37" s="140">
        <f t="shared" si="1"/>
        <v>0</v>
      </c>
    </row>
    <row r="38" spans="2:22" ht="20.25" customHeight="1">
      <c r="B38" s="803"/>
      <c r="C38" s="804"/>
      <c r="D38" s="638"/>
      <c r="E38" s="140">
        <f>SUM(M54:M82)</f>
        <v>0</v>
      </c>
      <c r="F38" s="141">
        <f>M84</f>
        <v>0</v>
      </c>
      <c r="G38" s="140">
        <f t="shared" si="1"/>
        <v>0</v>
      </c>
    </row>
    <row r="39" spans="2:22" ht="20.25" customHeight="1">
      <c r="B39" s="803"/>
      <c r="C39" s="804"/>
      <c r="D39" s="638"/>
      <c r="E39" s="140">
        <f>SUM(N54:N82)</f>
        <v>0</v>
      </c>
      <c r="F39" s="141">
        <f>N84</f>
        <v>0</v>
      </c>
      <c r="G39" s="140">
        <f t="shared" si="1"/>
        <v>0</v>
      </c>
    </row>
    <row r="40" spans="2:22" ht="20.25" customHeight="1">
      <c r="B40" s="803"/>
      <c r="C40" s="804"/>
      <c r="D40" s="638"/>
      <c r="E40" s="140">
        <f>SUM(O54:O82)</f>
        <v>0</v>
      </c>
      <c r="F40" s="141">
        <f>O84</f>
        <v>0</v>
      </c>
      <c r="G40" s="140">
        <f>E40+F40</f>
        <v>0</v>
      </c>
    </row>
    <row r="41" spans="2:22" ht="20.25" customHeight="1">
      <c r="B41" s="803"/>
      <c r="C41" s="804"/>
      <c r="D41" s="638"/>
      <c r="E41" s="140">
        <f>SUM(P54:P82)</f>
        <v>0</v>
      </c>
      <c r="F41" s="141">
        <f>P84</f>
        <v>0</v>
      </c>
      <c r="G41" s="140">
        <f>E41+F41</f>
        <v>0</v>
      </c>
    </row>
    <row r="42" spans="2:22" ht="20.25" customHeight="1">
      <c r="B42" s="803"/>
      <c r="C42" s="804"/>
      <c r="D42" s="639"/>
      <c r="E42" s="142">
        <f>SUM(Q54:Q82)</f>
        <v>0</v>
      </c>
      <c r="F42" s="143">
        <f>Q84</f>
        <v>0</v>
      </c>
      <c r="G42" s="142">
        <f>E42+F42</f>
        <v>0</v>
      </c>
    </row>
    <row r="43" spans="2:22" s="8" customFormat="1" ht="21" customHeight="1">
      <c r="B43" s="808" t="s">
        <v>26</v>
      </c>
      <c r="C43" s="809"/>
      <c r="D43" s="137"/>
      <c r="E43" s="144">
        <f>SUM(E29:E42)</f>
        <v>15975.653467469627</v>
      </c>
      <c r="F43" s="144">
        <f>SUM(F29:F42)</f>
        <v>1084.4203594854025</v>
      </c>
      <c r="G43" s="144">
        <f>SUM(G29:G42)</f>
        <v>17060.073826955027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5" t="s">
        <v>602</v>
      </c>
      <c r="C48" s="805"/>
      <c r="D48" s="805"/>
      <c r="E48" s="805"/>
      <c r="F48" s="805"/>
      <c r="G48" s="805"/>
      <c r="H48" s="805"/>
      <c r="I48" s="805"/>
      <c r="J48" s="805"/>
      <c r="K48" s="805"/>
      <c r="L48" s="805"/>
      <c r="M48" s="617"/>
      <c r="N48" s="105"/>
      <c r="O48" s="105"/>
      <c r="P48" s="105"/>
      <c r="Q48" s="105"/>
      <c r="R48" s="105"/>
      <c r="T48" s="37"/>
      <c r="U48" s="19"/>
      <c r="V48" s="38"/>
    </row>
    <row r="49" spans="2:22" s="28" customFormat="1" ht="41.1" customHeight="1">
      <c r="B49" s="805" t="s">
        <v>561</v>
      </c>
      <c r="C49" s="805"/>
      <c r="D49" s="805"/>
      <c r="E49" s="805"/>
      <c r="F49" s="805"/>
      <c r="G49" s="805"/>
      <c r="H49" s="805"/>
      <c r="I49" s="805"/>
      <c r="J49" s="805"/>
      <c r="K49" s="805"/>
      <c r="L49" s="805"/>
      <c r="M49" s="617"/>
      <c r="N49" s="105"/>
      <c r="O49" s="105"/>
      <c r="P49" s="105"/>
      <c r="Q49" s="105"/>
      <c r="R49" s="105"/>
      <c r="T49" s="37"/>
      <c r="U49" s="19"/>
      <c r="V49" s="38"/>
    </row>
    <row r="50" spans="2:22" s="28" customFormat="1" ht="18" customHeight="1">
      <c r="B50" s="805" t="s">
        <v>667</v>
      </c>
      <c r="C50" s="805"/>
      <c r="D50" s="805"/>
      <c r="E50" s="805"/>
      <c r="F50" s="805"/>
      <c r="G50" s="805"/>
      <c r="H50" s="805"/>
      <c r="I50" s="805"/>
      <c r="J50" s="805"/>
      <c r="K50" s="805"/>
      <c r="L50" s="805"/>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&gt; 50 to 4,999 Kw</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589.74710000000005</v>
      </c>
      <c r="E54" s="150">
        <f>'4.  2011-2014 LRAM'!Z131</f>
        <v>48.486599999999996</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638.2337</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v>-589.75</v>
      </c>
      <c r="E56" s="160">
        <v>-48.49</v>
      </c>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956.17258164515556</v>
      </c>
      <c r="E57" s="156">
        <f>'4.  2011-2014 LRAM'!Z261</f>
        <v>470.9126658690281</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1427.0852475141837</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v>-956.17</v>
      </c>
      <c r="E59" s="160">
        <v>-470.91</v>
      </c>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1777.1080237706794</v>
      </c>
      <c r="E60" s="156">
        <f>'4.  2011-2014 LRAM'!Z391</f>
        <v>1884.5897877749521</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3661.6978115456313</v>
      </c>
      <c r="U60" s="152"/>
      <c r="V60" s="153"/>
    </row>
    <row r="61" spans="2:22" s="163" customFormat="1">
      <c r="B61" s="154" t="s">
        <v>37</v>
      </c>
      <c r="C61" s="155"/>
      <c r="D61" s="156">
        <f>-'4.  2011-2014 LRAM'!Y392</f>
        <v>-5473.2746999999999</v>
      </c>
      <c r="E61" s="156">
        <f>-'4.  2011-2014 LRAM'!Z392</f>
        <v>-1483.7903999999999</v>
      </c>
      <c r="F61" s="156">
        <f>-'4.  2011-2014 LRAM'!AA392</f>
        <v>-1302.3220000000001</v>
      </c>
      <c r="G61" s="156">
        <f>-'4.  2011-2014 LRAM'!AB392</f>
        <v>-611.10720000000003</v>
      </c>
      <c r="H61" s="156">
        <f>-'4.  2011-2014 LRAM'!AC392</f>
        <v>-1.5959999999999999</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-8872.0902999999998</v>
      </c>
      <c r="S61" s="158"/>
      <c r="U61" s="152"/>
      <c r="V61" s="153"/>
    </row>
    <row r="62" spans="2:22" s="136" customFormat="1">
      <c r="B62" s="625" t="s">
        <v>67</v>
      </c>
      <c r="C62" s="621"/>
      <c r="D62" s="160">
        <v>3696.16</v>
      </c>
      <c r="E62" s="160">
        <v>-400.8</v>
      </c>
      <c r="F62" s="160">
        <v>1302.32</v>
      </c>
      <c r="G62" s="160">
        <v>611.11</v>
      </c>
      <c r="H62" s="160">
        <v>1.6</v>
      </c>
      <c r="I62" s="160"/>
      <c r="J62" s="160"/>
      <c r="K62" s="161"/>
      <c r="L62" s="161"/>
      <c r="M62" s="161"/>
      <c r="N62" s="161"/>
      <c r="O62" s="161"/>
      <c r="P62" s="161"/>
      <c r="Q62" s="161"/>
      <c r="R62" s="162"/>
      <c r="U62" s="159"/>
      <c r="V62" s="153"/>
    </row>
    <row r="63" spans="2:22" s="163" customFormat="1">
      <c r="B63" s="154" t="s">
        <v>40</v>
      </c>
      <c r="C63" s="155"/>
      <c r="D63" s="156">
        <f>'4.  2011-2014 LRAM'!Y521</f>
        <v>4577.9336059612233</v>
      </c>
      <c r="E63" s="156">
        <f>'4.  2011-2014 LRAM'!Z521</f>
        <v>2256.0398233097021</v>
      </c>
      <c r="F63" s="156">
        <f>'4.  2011-2014 LRAM'!AA521</f>
        <v>170.76840000000001</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7004.7418292709253</v>
      </c>
      <c r="U63" s="152"/>
      <c r="V63" s="153"/>
    </row>
    <row r="64" spans="2:22" s="163" customFormat="1">
      <c r="B64" s="154" t="s">
        <v>39</v>
      </c>
      <c r="C64" s="155"/>
      <c r="D64" s="156">
        <f>-'4.  2011-2014 LRAM'!Y522</f>
        <v>-5831.3393999999998</v>
      </c>
      <c r="E64" s="156">
        <f>-'4.  2011-2014 LRAM'!Z522</f>
        <v>-1447.1536000000001</v>
      </c>
      <c r="F64" s="156">
        <f>-'4.  2011-2014 LRAM'!AA522</f>
        <v>-1240.6583000000001</v>
      </c>
      <c r="G64" s="156">
        <f>-'4.  2011-2014 LRAM'!AB522</f>
        <v>-627.27359999999999</v>
      </c>
      <c r="H64" s="156">
        <f>-'4.  2011-2014 LRAM'!AC522</f>
        <v>-1.6150000000000002</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-9148.0399000000016</v>
      </c>
      <c r="S64" s="158"/>
      <c r="U64" s="152"/>
      <c r="V64" s="153"/>
    </row>
    <row r="65" spans="2:22" s="136" customFormat="1">
      <c r="B65" s="625" t="s">
        <v>67</v>
      </c>
      <c r="C65" s="621"/>
      <c r="D65" s="160">
        <v>1253.4100000000001</v>
      </c>
      <c r="E65" s="160">
        <v>-808.89</v>
      </c>
      <c r="F65" s="160">
        <v>1069.8900000000001</v>
      </c>
      <c r="G65" s="160">
        <v>627.27</v>
      </c>
      <c r="H65" s="160">
        <v>1.62</v>
      </c>
      <c r="I65" s="160"/>
      <c r="J65" s="160"/>
      <c r="K65" s="161"/>
      <c r="L65" s="161"/>
      <c r="M65" s="161"/>
      <c r="N65" s="161"/>
      <c r="O65" s="161"/>
      <c r="P65" s="161"/>
      <c r="Q65" s="161"/>
      <c r="R65" s="162"/>
      <c r="U65" s="159"/>
      <c r="V65" s="153"/>
    </row>
    <row r="66" spans="2:22" s="163" customFormat="1">
      <c r="B66" s="154" t="s">
        <v>94</v>
      </c>
      <c r="C66" s="535"/>
      <c r="D66" s="164">
        <f>'5.  2015-2020 LRAM'!Y204</f>
        <v>5756.5585146591129</v>
      </c>
      <c r="E66" s="164">
        <f>'5.  2015-2020 LRAM'!Z204</f>
        <v>2272.1545712349666</v>
      </c>
      <c r="F66" s="164">
        <f>'5.  2015-2020 LRAM'!AA204</f>
        <v>202.40567887932002</v>
      </c>
      <c r="G66" s="164">
        <f>'5.  2015-2020 LRAM'!AB204</f>
        <v>12433.523999999999</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20664.642764773402</v>
      </c>
      <c r="U66" s="152"/>
      <c r="V66" s="153"/>
    </row>
    <row r="67" spans="2:22" s="163" customFormat="1">
      <c r="B67" s="154" t="s">
        <v>93</v>
      </c>
      <c r="C67" s="155"/>
      <c r="D67" s="164">
        <f>-'5.  2015-2020 LRAM'!Y205</f>
        <v>-5933.6435999999994</v>
      </c>
      <c r="E67" s="164">
        <f>-'5.  2015-2020 LRAM'!Z205</f>
        <v>-1465.472</v>
      </c>
      <c r="F67" s="164">
        <f>-'5.  2015-2020 LRAM'!AA205</f>
        <v>-1244.5902000000001</v>
      </c>
      <c r="G67" s="164">
        <f>-'5.  2015-2020 LRAM'!AB205</f>
        <v>-654.39599999999996</v>
      </c>
      <c r="H67" s="164">
        <f>-'5.  2015-2020 LRAM'!AC205</f>
        <v>-1.6339999999999999</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-9299.7358000000004</v>
      </c>
      <c r="S67" s="158"/>
      <c r="U67" s="152"/>
      <c r="V67" s="153"/>
    </row>
    <row r="68" spans="2:22" s="136" customFormat="1">
      <c r="B68" s="625" t="s">
        <v>67</v>
      </c>
      <c r="C68" s="621"/>
      <c r="D68" s="160">
        <v>241.73</v>
      </c>
      <c r="E68" s="160">
        <v>-864.95</v>
      </c>
      <c r="F68" s="160">
        <v>1110.93</v>
      </c>
      <c r="G68" s="160">
        <v>-11807.33</v>
      </c>
      <c r="H68" s="160">
        <v>1.72</v>
      </c>
      <c r="I68" s="160"/>
      <c r="J68" s="160"/>
      <c r="K68" s="161"/>
      <c r="L68" s="161"/>
      <c r="M68" s="161"/>
      <c r="N68" s="161"/>
      <c r="O68" s="161"/>
      <c r="P68" s="161"/>
      <c r="Q68" s="161"/>
      <c r="R68" s="162"/>
      <c r="U68" s="159"/>
      <c r="V68" s="153"/>
    </row>
    <row r="69" spans="2:22" s="163" customFormat="1">
      <c r="B69" s="154" t="s">
        <v>225</v>
      </c>
      <c r="C69" s="535"/>
      <c r="D69" s="156">
        <f>'5.  2015-2020 LRAM'!Y388</f>
        <v>9453.8149345675811</v>
      </c>
      <c r="E69" s="156">
        <f>'5.  2015-2020 LRAM'!Z388</f>
        <v>2198.3379064322435</v>
      </c>
      <c r="F69" s="156">
        <f>'5.  2015-2020 LRAM'!AA388</f>
        <v>636.28187985953991</v>
      </c>
      <c r="G69" s="156">
        <f>'5.  2015-2020 LRAM'!AB388</f>
        <v>1263.6763199999998</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13552.111040859365</v>
      </c>
      <c r="U69" s="152"/>
      <c r="V69" s="153"/>
    </row>
    <row r="70" spans="2:22" s="163" customFormat="1">
      <c r="B70" s="154" t="s">
        <v>224</v>
      </c>
      <c r="C70" s="155"/>
      <c r="D70" s="156">
        <f>-'5.  2015-2020 LRAM'!Y389</f>
        <v>-5012.9057999999995</v>
      </c>
      <c r="E70" s="156">
        <f>-'5.  2015-2020 LRAM'!Z389</f>
        <v>-1483.7903999999999</v>
      </c>
      <c r="F70" s="156">
        <f>-'5.  2015-2020 LRAM'!AA389</f>
        <v>-1265.0168999999999</v>
      </c>
      <c r="G70" s="156">
        <f>-'5.  2015-2020 LRAM'!AB389</f>
        <v>-665.09280000000001</v>
      </c>
      <c r="H70" s="156">
        <f>-'5.  2015-2020 LRAM'!AC389</f>
        <v>-1.6529999999999998</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-8428.4588999999996</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9338.3527501959652</v>
      </c>
      <c r="E72" s="156">
        <f>'5.  2015-2020 LRAM'!Z572</f>
        <v>2022.9958587977562</v>
      </c>
      <c r="F72" s="156">
        <f>'5.  2015-2020 LRAM'!AA572</f>
        <v>670.98357720540002</v>
      </c>
      <c r="G72" s="156">
        <f>'5.  2015-2020 LRAM'!AB572</f>
        <v>1284.7252799999999</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13317.057466199121</v>
      </c>
      <c r="U72" s="152"/>
      <c r="V72" s="153"/>
    </row>
    <row r="73" spans="2:22" s="163" customFormat="1">
      <c r="B73" s="154" t="s">
        <v>226</v>
      </c>
      <c r="C73" s="155"/>
      <c r="D73" s="156">
        <f>-'5.  2015-2020 LRAM'!Y573</f>
        <v>-3580.6469999999999</v>
      </c>
      <c r="E73" s="156">
        <f>-'5.  2015-2020 LRAM'!Z573</f>
        <v>-1502.1088000000002</v>
      </c>
      <c r="F73" s="156">
        <f>-'5.  2015-2020 LRAM'!AA573</f>
        <v>-1286.019</v>
      </c>
      <c r="G73" s="156">
        <f>-'5.  2015-2020 LRAM'!AB573</f>
        <v>-676.1712</v>
      </c>
      <c r="H73" s="156">
        <f>-'5.  2015-2020 LRAM'!AC573</f>
        <v>-1.6910000000000001</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-7046.6369999999997</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5687.1775184079979</v>
      </c>
      <c r="E75" s="156">
        <f>'5.  2015-2020 LRAM'!Z756</f>
        <v>2400.6749956656654</v>
      </c>
      <c r="F75" s="156">
        <f>'5.  2015-2020 LRAM'!AA756</f>
        <v>658.77477833603996</v>
      </c>
      <c r="G75" s="156">
        <f>'5.  2015-2020 LRAM'!AB756</f>
        <v>762.83327999999995</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9509.4605724097037</v>
      </c>
      <c r="U75" s="152"/>
      <c r="V75" s="153"/>
    </row>
    <row r="76" spans="2:22" s="163" customFormat="1" ht="16.5" customHeight="1">
      <c r="B76" s="154" t="s">
        <v>228</v>
      </c>
      <c r="C76" s="155"/>
      <c r="D76" s="156">
        <f>-'5.  2015-2020 LRAM'!Y757</f>
        <v>-2722.4</v>
      </c>
      <c r="E76" s="156">
        <f>-'5.  2015-2020 LRAM'!Z757</f>
        <v>-1574.3999999999999</v>
      </c>
      <c r="F76" s="156">
        <f>-'5.  2015-2020 LRAM'!AA757</f>
        <v>-2011.7647999999999</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-6308.5648000000001</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1520.5645923617806</v>
      </c>
      <c r="E78" s="156">
        <f>'5.  2015-2020 LRAM'!Z940</f>
        <v>2798.0365828947706</v>
      </c>
      <c r="F78" s="156">
        <f>'5.  2015-2020 LRAM'!AA940</f>
        <v>656.12286710621993</v>
      </c>
      <c r="G78" s="156">
        <f>'5.  2015-2020 LRAM'!AB940</f>
        <v>500.3277599999999</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5475.051802362771</v>
      </c>
      <c r="U78" s="152"/>
      <c r="V78" s="153"/>
    </row>
    <row r="79" spans="2:22" s="163" customFormat="1">
      <c r="B79" s="154" t="s">
        <v>230</v>
      </c>
      <c r="C79" s="155"/>
      <c r="D79" s="156">
        <f>-'5.  2015-2020 LRAM'!Y941</f>
        <v>-730.40000000000009</v>
      </c>
      <c r="E79" s="156">
        <f>-'5.  2015-2020 LRAM'!Z941</f>
        <v>-1672.8000000000002</v>
      </c>
      <c r="F79" s="156">
        <f>-'5.  2015-2020 LRAM'!AA941</f>
        <v>-2003.6663999999998</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-4406.8663999999999</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2825.4683140996208</v>
      </c>
      <c r="F81" s="156">
        <f>'5.  2015-2020 LRAM'!AA1124</f>
        <v>656.68369843490393</v>
      </c>
      <c r="G81" s="156">
        <f>'5.  2015-2020 LRAM'!AB1124</f>
        <v>506.92151999999993</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3989.0735325345245</v>
      </c>
      <c r="U81" s="152"/>
      <c r="V81" s="153"/>
    </row>
    <row r="82" spans="2:22" s="163" customFormat="1">
      <c r="B82" s="154" t="s">
        <v>232</v>
      </c>
      <c r="C82" s="155"/>
      <c r="D82" s="156">
        <f>-'5.  2015-2020 LRAM'!Y1125</f>
        <v>0</v>
      </c>
      <c r="E82" s="156">
        <f>-'5.  2015-2020 LRAM'!Z1125</f>
        <v>-1689.2</v>
      </c>
      <c r="F82" s="156">
        <f>-'5.  2015-2020 LRAM'!AA1125</f>
        <v>-2034.3791999999999</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-3723.5792000000001</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948.01270441488157</v>
      </c>
      <c r="E84" s="679">
        <f>'6.  Carrying Charges'!J237</f>
        <v>125.93175602065645</v>
      </c>
      <c r="F84" s="679">
        <f>'6.  Carrying Charges'!K237</f>
        <v>-154.84470425813561</v>
      </c>
      <c r="G84" s="679">
        <f>'6.  Carrying Charges'!L237</f>
        <v>165.49308178299987</v>
      </c>
      <c r="H84" s="679">
        <f>'6.  Carrying Charges'!M237</f>
        <v>-0.17247847500000019</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1084.4203594854025</v>
      </c>
      <c r="U84" s="152"/>
      <c r="V84" s="153"/>
    </row>
    <row r="85" spans="2:22" s="163" customFormat="1" ht="21.75" customHeight="1">
      <c r="B85" s="623" t="s">
        <v>240</v>
      </c>
      <c r="C85" s="624"/>
      <c r="D85" s="623">
        <f>SUM(D54:D82)+D84</f>
        <v>14966.211825984377</v>
      </c>
      <c r="E85" s="623">
        <f>SUM(E54:E82)+E84</f>
        <v>4390.8736620993614</v>
      </c>
      <c r="F85" s="623">
        <f>SUM(F54:F82)+F84</f>
        <v>-5408.1006244367109</v>
      </c>
      <c r="G85" s="623">
        <f>SUM(G54:G82)+G84</f>
        <v>3114.5104417829989</v>
      </c>
      <c r="H85" s="623">
        <f t="shared" ref="H85:P85" si="2">SUM(H54:H82)+H84</f>
        <v>-3.4214784749999998</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23089.603826955026</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638.2337</v>
      </c>
      <c r="D93" s="556">
        <f>SUM('4.  2011-2014 LRAM'!Y259:AL259)</f>
        <v>644.55764751418371</v>
      </c>
      <c r="E93" s="556">
        <f>SUM('4.  2011-2014 LRAM'!Y388:AL388)</f>
        <v>661.13601151914736</v>
      </c>
      <c r="F93" s="557">
        <f>SUM('4.  2011-2014 LRAM'!Y517:AL517)</f>
        <v>696.97467192976853</v>
      </c>
      <c r="G93" s="557">
        <f>SUM('5.  2015-2020 LRAM'!Y199:AL199)</f>
        <v>634.14273908499581</v>
      </c>
      <c r="H93" s="556">
        <f>SUM('5.  2015-2020 LRAM'!Y382:AL382)</f>
        <v>406.62616839695738</v>
      </c>
      <c r="I93" s="557">
        <f>SUM('5.  2015-2020 LRAM'!Y565:AL565)</f>
        <v>202.74676251622267</v>
      </c>
      <c r="J93" s="556">
        <f>SUM('5.  2015-2020 LRAM'!Y748:AL748)</f>
        <v>122.70213024154658</v>
      </c>
      <c r="K93" s="556">
        <f>SUM('5.  2015-2020 LRAM'!Y931:AL931)</f>
        <v>47.768760846836031</v>
      </c>
      <c r="L93" s="556">
        <f>SUM('5.  2015-2020 LRAM'!Y1114:AL1114)</f>
        <v>9.5561687598606042</v>
      </c>
      <c r="M93" s="556">
        <f>SUM(C93:L93)</f>
        <v>4064.4447608095184</v>
      </c>
      <c r="T93" s="197"/>
      <c r="U93" s="197"/>
    </row>
    <row r="94" spans="2:22" s="90" customFormat="1" ht="23.25" hidden="1" customHeight="1">
      <c r="B94" s="198">
        <v>2012</v>
      </c>
      <c r="C94" s="558"/>
      <c r="D94" s="557">
        <f>SUM('4.  2011-2014 LRAM'!Y260:AL260)</f>
        <v>782.52760000000001</v>
      </c>
      <c r="E94" s="556">
        <f>SUM('4.  2011-2014 LRAM'!Y389:AL389)</f>
        <v>787.7906000264843</v>
      </c>
      <c r="F94" s="557">
        <f>SUM('4.  2011-2014 LRAM'!Y518:AL518)</f>
        <v>801.78042712997535</v>
      </c>
      <c r="G94" s="557">
        <f>SUM('5.  2015-2020 LRAM'!Y200:AL200)</f>
        <v>751.48581718084961</v>
      </c>
      <c r="H94" s="556">
        <f>SUM('5.  2015-2020 LRAM'!Y383:AL383)</f>
        <v>661.29539829136831</v>
      </c>
      <c r="I94" s="557">
        <f>SUM('5.  2015-2020 LRAM'!Y566:AL566)</f>
        <v>223.42536776900494</v>
      </c>
      <c r="J94" s="556">
        <f>SUM('5.  2015-2020 LRAM'!Y749:AL749)</f>
        <v>164.25217615782356</v>
      </c>
      <c r="K94" s="556">
        <f>SUM('5.  2015-2020 LRAM'!Y932:AL932)</f>
        <v>135.18174617941375</v>
      </c>
      <c r="L94" s="556">
        <f>SUM('5.  2015-2020 LRAM'!Y1115:AL1115)</f>
        <v>123.12768623887185</v>
      </c>
      <c r="M94" s="556">
        <f>SUM(D94:L94)</f>
        <v>4430.8668189737919</v>
      </c>
      <c r="T94" s="197"/>
      <c r="U94" s="197"/>
    </row>
    <row r="95" spans="2:22" s="90" customFormat="1" ht="23.25" hidden="1" customHeight="1">
      <c r="B95" s="198">
        <v>2013</v>
      </c>
      <c r="C95" s="559"/>
      <c r="D95" s="559"/>
      <c r="E95" s="557">
        <f>SUM('4.  2011-2014 LRAM'!Y390:AL390)</f>
        <v>2212.7712000000001</v>
      </c>
      <c r="F95" s="557">
        <f>SUM('4.  2011-2014 LRAM'!Y519:AL519)</f>
        <v>2206.5012402111811</v>
      </c>
      <c r="G95" s="557">
        <f>SUM('5.  2015-2020 LRAM'!Y201:AL201)</f>
        <v>2070.2753921421941</v>
      </c>
      <c r="H95" s="556">
        <f>SUM('5.  2015-2020 LRAM'!Y384:AL384)</f>
        <v>1339.587225697845</v>
      </c>
      <c r="I95" s="557">
        <f>SUM('5.  2015-2020 LRAM'!Y567:AL567)</f>
        <v>657.16078938208341</v>
      </c>
      <c r="J95" s="556">
        <f>SUM('5.  2015-2020 LRAM'!Y750:AL750)</f>
        <v>497.69934809605616</v>
      </c>
      <c r="K95" s="556">
        <f>SUM('5.  2015-2020 LRAM'!Y933:AL933)</f>
        <v>359.56286088138245</v>
      </c>
      <c r="L95" s="556">
        <f>SUM('5.  2015-2020 LRAM'!Y1116:AL1116)</f>
        <v>305.35527834588811</v>
      </c>
      <c r="M95" s="556">
        <f>SUM(C95:L95)</f>
        <v>9648.9133347566312</v>
      </c>
      <c r="T95" s="197"/>
      <c r="U95" s="197"/>
    </row>
    <row r="96" spans="2:22" s="90" customFormat="1" ht="23.25" hidden="1" customHeight="1">
      <c r="B96" s="198">
        <v>2014</v>
      </c>
      <c r="C96" s="559"/>
      <c r="D96" s="559"/>
      <c r="E96" s="559"/>
      <c r="F96" s="557">
        <f>SUM('4.  2011-2014 LRAM'!Y520:AL520)</f>
        <v>3299.48549</v>
      </c>
      <c r="G96" s="557">
        <f>SUM('5.  2015-2020 LRAM'!Y202:AL202)</f>
        <v>3162.9104163653601</v>
      </c>
      <c r="H96" s="556">
        <f>SUM('5.  2015-2020 LRAM'!Y385:AL385)</f>
        <v>2585.1537884731947</v>
      </c>
      <c r="I96" s="557">
        <f>SUM('5.  2015-2020 LRAM'!Y568:AL568)</f>
        <v>1893.6722665318105</v>
      </c>
      <c r="J96" s="556">
        <f>SUM('5.  2015-2020 LRAM'!Y751:AL751)</f>
        <v>1312.2284979142767</v>
      </c>
      <c r="K96" s="556">
        <f>SUM('5.  2015-2020 LRAM'!Y934:AL934)</f>
        <v>747.6217544551381</v>
      </c>
      <c r="L96" s="556">
        <f>SUM('5.  2015-2020 LRAM'!Y1117:AL1117)</f>
        <v>545.55256918990403</v>
      </c>
      <c r="M96" s="556">
        <f>SUM(F96:L96)</f>
        <v>13546.624782929684</v>
      </c>
      <c r="T96" s="197"/>
      <c r="U96" s="197"/>
    </row>
    <row r="97" spans="2:21" s="90" customFormat="1" ht="23.25" hidden="1" customHeight="1">
      <c r="B97" s="198">
        <v>2015</v>
      </c>
      <c r="C97" s="559"/>
      <c r="D97" s="559"/>
      <c r="E97" s="559"/>
      <c r="F97" s="559"/>
      <c r="G97" s="557">
        <f>SUM('5.  2015-2020 LRAM'!Y203:AL203)</f>
        <v>14045.828399999999</v>
      </c>
      <c r="H97" s="556">
        <f>SUM('5.  2015-2020 LRAM'!Y386:AL386)</f>
        <v>2144.6928800000001</v>
      </c>
      <c r="I97" s="557">
        <f>SUM('5.  2015-2020 LRAM'!Y569:AL569)</f>
        <v>1689.0146400000003</v>
      </c>
      <c r="J97" s="556">
        <f>SUM('5.  2015-2020 LRAM'!Y752:AL752)</f>
        <v>1118.70866</v>
      </c>
      <c r="K97" s="556">
        <f>SUM('5.  2015-2020 LRAM'!Y935:AL935)</f>
        <v>648.22694000000001</v>
      </c>
      <c r="L97" s="556">
        <f>SUM('5.  2015-2020 LRAM'!Y1118:AL1118)</f>
        <v>524.03264000000001</v>
      </c>
      <c r="M97" s="556">
        <f>SUM(G97:L97)</f>
        <v>20170.50416</v>
      </c>
      <c r="T97" s="197"/>
      <c r="U97" s="197"/>
    </row>
    <row r="98" spans="2:21" s="90" customFormat="1" ht="23.25" hidden="1" customHeight="1">
      <c r="B98" s="198">
        <v>2016</v>
      </c>
      <c r="C98" s="559"/>
      <c r="D98" s="559"/>
      <c r="E98" s="559"/>
      <c r="F98" s="559"/>
      <c r="G98" s="559"/>
      <c r="H98" s="556">
        <f>SUM('5.  2015-2020 LRAM'!Y387:AL387)</f>
        <v>6414.75558</v>
      </c>
      <c r="I98" s="557">
        <f>SUM('5.  2015-2020 LRAM'!Y570:AL570)</f>
        <v>5099.4378400000005</v>
      </c>
      <c r="J98" s="556">
        <f>SUM('5.  2015-2020 LRAM'!Y753:AL753)</f>
        <v>3422.0976599999999</v>
      </c>
      <c r="K98" s="556">
        <f>SUM('5.  2015-2020 LRAM'!Y936:AL936)</f>
        <v>1685.4917399999999</v>
      </c>
      <c r="L98" s="556">
        <f>SUM('5.  2015-2020 LRAM'!Y1119:AL1119)</f>
        <v>1139.6865399999999</v>
      </c>
      <c r="M98" s="556">
        <f>SUM(H98:L98)</f>
        <v>17761.469359999999</v>
      </c>
      <c r="T98" s="197"/>
      <c r="U98" s="197"/>
    </row>
    <row r="99" spans="2:21" s="90" customFormat="1" ht="23.25" hidden="1" customHeight="1">
      <c r="B99" s="198">
        <v>2017</v>
      </c>
      <c r="C99" s="559"/>
      <c r="D99" s="559"/>
      <c r="E99" s="559"/>
      <c r="F99" s="559"/>
      <c r="G99" s="559"/>
      <c r="H99" s="559"/>
      <c r="I99" s="556">
        <f>SUM('5.  2015-2020 LRAM'!Y571:AL571)</f>
        <v>3551.5998</v>
      </c>
      <c r="J99" s="556">
        <f>SUM('5.  2015-2020 LRAM'!Y754:AL754)</f>
        <v>2226.1159000000002</v>
      </c>
      <c r="K99" s="556">
        <f>SUM('5.  2015-2020 LRAM'!Y937:AL937)</f>
        <v>1294.6219000000001</v>
      </c>
      <c r="L99" s="556">
        <f>SUM('5.  2015-2020 LRAM'!Y1120:AL1120)</f>
        <v>942.76639999999998</v>
      </c>
      <c r="M99" s="556">
        <f>SUM(I99:L99)</f>
        <v>8015.1040000000012</v>
      </c>
      <c r="T99" s="197"/>
      <c r="U99" s="197"/>
    </row>
    <row r="100" spans="2:21" s="90" customFormat="1" ht="23.25" hidden="1" customHeight="1">
      <c r="B100" s="198">
        <v>2018</v>
      </c>
      <c r="C100" s="559"/>
      <c r="D100" s="559"/>
      <c r="E100" s="559"/>
      <c r="F100" s="559"/>
      <c r="G100" s="559"/>
      <c r="H100" s="559"/>
      <c r="I100" s="559"/>
      <c r="J100" s="556">
        <f>SUM('5.  2015-2020 LRAM'!Y755:AL755)</f>
        <v>645.65620000000001</v>
      </c>
      <c r="K100" s="556">
        <f>SUM('5.  2015-2020 LRAM'!Y938:AL938)</f>
        <v>202.59530000000001</v>
      </c>
      <c r="L100" s="556">
        <f>SUM('5.  2015-2020 LRAM'!Y1121:AL1121)</f>
        <v>41.545050000000003</v>
      </c>
      <c r="M100" s="556">
        <f>SUM(J100:L100)</f>
        <v>889.79655000000002</v>
      </c>
      <c r="T100" s="197"/>
      <c r="U100" s="197"/>
    </row>
    <row r="101" spans="2:21" s="90" customFormat="1" ht="23.25" hidden="1" customHeight="1">
      <c r="B101" s="198">
        <v>2019</v>
      </c>
      <c r="C101" s="559"/>
      <c r="D101" s="559"/>
      <c r="E101" s="559"/>
      <c r="F101" s="559"/>
      <c r="G101" s="559"/>
      <c r="H101" s="559"/>
      <c r="I101" s="559"/>
      <c r="J101" s="559"/>
      <c r="K101" s="556">
        <f>SUM('5.  2015-2020 LRAM'!Y939:AL939)</f>
        <v>353.98080000000004</v>
      </c>
      <c r="L101" s="556">
        <f>SUM('5.  2015-2020 LRAM'!Y1122:AL1122)</f>
        <v>357.45120000000003</v>
      </c>
      <c r="M101" s="556">
        <f>SUM(K101:L101)</f>
        <v>711.43200000000002</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638.2337</v>
      </c>
      <c r="D103" s="556">
        <f>D93+D94</f>
        <v>1427.0852475141837</v>
      </c>
      <c r="E103" s="556">
        <f>E93+E94+E95</f>
        <v>3661.6978115456318</v>
      </c>
      <c r="F103" s="556">
        <f>F93+F94+F95+F96</f>
        <v>7004.7418292709244</v>
      </c>
      <c r="G103" s="556">
        <f>G93+G94+G95+G96+G97</f>
        <v>20664.642764773398</v>
      </c>
      <c r="H103" s="556">
        <f>H93+H94+H95+H96+H97+H98</f>
        <v>13552.111040859367</v>
      </c>
      <c r="I103" s="556">
        <f>I93+I94+I95+I96+I97+I98+I99</f>
        <v>13317.057466199123</v>
      </c>
      <c r="J103" s="556">
        <f>J93+J94+J95+J96+J97+J98+J99+J100</f>
        <v>9509.4605724097037</v>
      </c>
      <c r="K103" s="556">
        <f>K93+K94+K95+K96+K97+K98+K99+K100+K101</f>
        <v>5475.0518023627701</v>
      </c>
      <c r="L103" s="556">
        <f>SUM(L93:L102)</f>
        <v>3989.0735325345245</v>
      </c>
      <c r="M103" s="556">
        <f>SUM(M93:M102)</f>
        <v>79239.155767469638</v>
      </c>
      <c r="T103" s="199"/>
      <c r="U103" s="199"/>
    </row>
    <row r="104" spans="2:21" s="27" customFormat="1" ht="24.75" hidden="1" customHeight="1">
      <c r="B104" s="572" t="s">
        <v>517</v>
      </c>
      <c r="C104" s="554">
        <f>'4.  2011-2014 LRAM'!AM132</f>
        <v>0</v>
      </c>
      <c r="D104" s="554">
        <f>'4.  2011-2014 LRAM'!AM262</f>
        <v>0</v>
      </c>
      <c r="E104" s="554">
        <f>'4.  2011-2014 LRAM'!AM392</f>
        <v>8872.0902999999998</v>
      </c>
      <c r="F104" s="554">
        <f>'4.  2011-2014 LRAM'!AM522</f>
        <v>9148.0399000000016</v>
      </c>
      <c r="G104" s="554">
        <f>'5.  2015-2020 LRAM'!AM205</f>
        <v>9299.7358000000004</v>
      </c>
      <c r="H104" s="554">
        <f>'5.  2015-2020 LRAM'!AM389</f>
        <v>8428.4588999999996</v>
      </c>
      <c r="I104" s="554">
        <f>'5.  2015-2020 LRAM'!AM573</f>
        <v>7046.6369999999997</v>
      </c>
      <c r="J104" s="554">
        <f>'5.  2015-2020 LRAM'!AM757</f>
        <v>6308.5648000000001</v>
      </c>
      <c r="K104" s="554">
        <f>'5.  2015-2020 LRAM'!AM941</f>
        <v>4406.8663999999999</v>
      </c>
      <c r="L104" s="554">
        <f>'5.  2015-2020 LRAM'!AM1125</f>
        <v>3723.5792000000001</v>
      </c>
      <c r="M104" s="556">
        <f>SUM(C104:L104)</f>
        <v>57233.972300000001</v>
      </c>
      <c r="T104" s="89"/>
      <c r="U104" s="89"/>
    </row>
    <row r="105" spans="2:21" ht="24.75" hidden="1" customHeight="1">
      <c r="B105" s="572" t="s">
        <v>43</v>
      </c>
      <c r="C105" s="554">
        <f>'6.  Carrying Charges'!W27</f>
        <v>4.30009955375</v>
      </c>
      <c r="D105" s="554">
        <f>'6.  Carrying Charges'!W42</f>
        <v>13.914993798876813</v>
      </c>
      <c r="E105" s="554">
        <f>'6.  Carrying Charges'!W57</f>
        <v>-21.190041063625994</v>
      </c>
      <c r="F105" s="554">
        <f>'6.  Carrying Charges'!W72</f>
        <v>-35.630563866983856</v>
      </c>
      <c r="G105" s="554">
        <f>'6.  Carrying Charges'!W87</f>
        <v>22.543534439794058</v>
      </c>
      <c r="H105" s="554">
        <f>'6.  Carrying Charges'!W102</f>
        <v>48.892339534105545</v>
      </c>
      <c r="I105" s="554">
        <f>'6.  Carrying Charges'!W117</f>
        <v>147.77894970058742</v>
      </c>
      <c r="J105" s="554">
        <f>'6.  Carrying Charges'!W132</f>
        <v>390.20390275617939</v>
      </c>
      <c r="K105" s="554">
        <f>'6.  Carrying Charges'!W147</f>
        <v>730.01530030323329</v>
      </c>
      <c r="L105" s="554">
        <f>'6.  Carrying Charges'!W162</f>
        <v>994.17884847252549</v>
      </c>
      <c r="M105" s="556">
        <f>SUM(C105:L105)</f>
        <v>2295.0073636284424</v>
      </c>
    </row>
    <row r="106" spans="2:21" ht="23.25" hidden="1" customHeight="1">
      <c r="B106" s="571" t="s">
        <v>26</v>
      </c>
      <c r="C106" s="554">
        <f>C103-C104+C105</f>
        <v>642.53379955374999</v>
      </c>
      <c r="D106" s="554">
        <f t="shared" ref="D106:J106" si="3">D103-D104+D105</f>
        <v>1441.0002413130605</v>
      </c>
      <c r="E106" s="554">
        <f t="shared" si="3"/>
        <v>-5231.5825295179948</v>
      </c>
      <c r="F106" s="554">
        <f t="shared" si="3"/>
        <v>-2178.9286345960609</v>
      </c>
      <c r="G106" s="554">
        <f t="shared" si="3"/>
        <v>11387.450499213192</v>
      </c>
      <c r="H106" s="554">
        <f t="shared" si="3"/>
        <v>5172.5444803934724</v>
      </c>
      <c r="I106" s="554">
        <f t="shared" si="3"/>
        <v>6418.1994158997113</v>
      </c>
      <c r="J106" s="554">
        <f t="shared" si="3"/>
        <v>3591.0996751658831</v>
      </c>
      <c r="K106" s="554">
        <f>K103-K104+K105</f>
        <v>1798.2007026660035</v>
      </c>
      <c r="L106" s="554">
        <f>L103-L104+L105</f>
        <v>1259.6731810070498</v>
      </c>
      <c r="M106" s="554">
        <f>M103-M104+M105</f>
        <v>24300.19083109808</v>
      </c>
    </row>
    <row r="107" spans="2:21" ht="15.6" hidden="1" customHeight="1"/>
    <row r="108" spans="2:21">
      <c r="B108" s="589"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abSelected="1" topLeftCell="A22" zoomScaleNormal="100" workbookViewId="0">
      <selection activeCell="I47" sqref="I47"/>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607</v>
      </c>
    </row>
    <row r="20" spans="2:8" ht="13.5" customHeight="1"/>
    <row r="21" spans="2:8" ht="41.1" customHeight="1">
      <c r="B21" s="805" t="s">
        <v>666</v>
      </c>
      <c r="C21" s="805"/>
      <c r="D21" s="805"/>
      <c r="E21" s="805"/>
      <c r="F21" s="805"/>
      <c r="G21" s="805"/>
      <c r="H21" s="805"/>
    </row>
    <row r="23" spans="2:8" s="609" customFormat="1" ht="15.75">
      <c r="B23" s="619" t="s">
        <v>545</v>
      </c>
      <c r="C23" s="619" t="s">
        <v>560</v>
      </c>
      <c r="D23" s="619" t="s">
        <v>544</v>
      </c>
      <c r="E23" s="812" t="s">
        <v>34</v>
      </c>
      <c r="F23" s="813"/>
      <c r="G23" s="812" t="s">
        <v>543</v>
      </c>
      <c r="H23" s="813"/>
    </row>
    <row r="24" spans="2:8">
      <c r="B24" s="608">
        <v>1</v>
      </c>
      <c r="C24" s="644"/>
      <c r="D24" s="607"/>
      <c r="E24" s="810"/>
      <c r="F24" s="811"/>
      <c r="G24" s="814"/>
      <c r="H24" s="815"/>
    </row>
    <row r="25" spans="2:8">
      <c r="B25" s="608">
        <v>2</v>
      </c>
      <c r="C25" s="644"/>
      <c r="D25" s="607"/>
      <c r="E25" s="810"/>
      <c r="F25" s="811"/>
      <c r="G25" s="814"/>
      <c r="H25" s="815"/>
    </row>
    <row r="26" spans="2:8">
      <c r="B26" s="608">
        <v>3</v>
      </c>
      <c r="C26" s="644"/>
      <c r="D26" s="607"/>
      <c r="E26" s="810"/>
      <c r="F26" s="811"/>
      <c r="G26" s="814"/>
      <c r="H26" s="815"/>
    </row>
    <row r="27" spans="2:8">
      <c r="B27" s="608">
        <v>4</v>
      </c>
      <c r="C27" s="644"/>
      <c r="D27" s="607"/>
      <c r="E27" s="810"/>
      <c r="F27" s="811"/>
      <c r="G27" s="814"/>
      <c r="H27" s="815"/>
    </row>
    <row r="28" spans="2:8">
      <c r="B28" s="608">
        <v>5</v>
      </c>
      <c r="C28" s="644"/>
      <c r="D28" s="607"/>
      <c r="E28" s="810"/>
      <c r="F28" s="811"/>
      <c r="G28" s="814"/>
      <c r="H28" s="815"/>
    </row>
    <row r="29" spans="2:8">
      <c r="B29" s="608">
        <v>6</v>
      </c>
      <c r="C29" s="644"/>
      <c r="D29" s="607"/>
      <c r="E29" s="810"/>
      <c r="F29" s="811"/>
      <c r="G29" s="814"/>
      <c r="H29" s="815"/>
    </row>
    <row r="30" spans="2:8">
      <c r="B30" s="608">
        <v>7</v>
      </c>
      <c r="C30" s="644"/>
      <c r="D30" s="607"/>
      <c r="E30" s="810"/>
      <c r="F30" s="811"/>
      <c r="G30" s="814"/>
      <c r="H30" s="815"/>
    </row>
    <row r="31" spans="2:8">
      <c r="B31" s="608">
        <v>8</v>
      </c>
      <c r="C31" s="644"/>
      <c r="D31" s="607"/>
      <c r="E31" s="810"/>
      <c r="F31" s="811"/>
      <c r="G31" s="814"/>
      <c r="H31" s="815"/>
    </row>
    <row r="32" spans="2:8">
      <c r="B32" s="608">
        <v>9</v>
      </c>
      <c r="C32" s="644"/>
      <c r="D32" s="607"/>
      <c r="E32" s="810"/>
      <c r="F32" s="811"/>
      <c r="G32" s="814"/>
      <c r="H32" s="815"/>
    </row>
    <row r="33" spans="2:8">
      <c r="B33" s="608">
        <v>10</v>
      </c>
      <c r="C33" s="644"/>
      <c r="D33" s="607"/>
      <c r="E33" s="810"/>
      <c r="F33" s="811"/>
      <c r="G33" s="814"/>
      <c r="H33" s="815"/>
    </row>
    <row r="34" spans="2:8">
      <c r="B34" s="608" t="s">
        <v>479</v>
      </c>
      <c r="C34" s="644"/>
      <c r="D34" s="607"/>
      <c r="E34" s="810"/>
      <c r="F34" s="811"/>
      <c r="G34" s="814"/>
      <c r="H34" s="815"/>
    </row>
    <row r="36" spans="2:8" ht="30.75" customHeight="1">
      <c r="B36" s="537" t="s">
        <v>603</v>
      </c>
    </row>
    <row r="37" spans="2:8" ht="23.25" customHeight="1">
      <c r="B37" s="568" t="s">
        <v>608</v>
      </c>
      <c r="C37" s="605"/>
      <c r="D37" s="605"/>
      <c r="E37" s="605"/>
      <c r="F37" s="605"/>
      <c r="G37" s="605"/>
      <c r="H37" s="605"/>
    </row>
    <row r="39" spans="2:8" s="90" customFormat="1" ht="15.75">
      <c r="B39" s="619" t="s">
        <v>545</v>
      </c>
      <c r="C39" s="619" t="s">
        <v>560</v>
      </c>
      <c r="D39" s="619" t="s">
        <v>544</v>
      </c>
      <c r="E39" s="812" t="s">
        <v>34</v>
      </c>
      <c r="F39" s="813"/>
      <c r="G39" s="812" t="s">
        <v>543</v>
      </c>
      <c r="H39" s="813"/>
    </row>
    <row r="40" spans="2:8">
      <c r="B40" s="608">
        <v>1</v>
      </c>
      <c r="C40" s="644" t="s">
        <v>169</v>
      </c>
      <c r="D40" s="607" t="s">
        <v>787</v>
      </c>
      <c r="E40" s="810" t="s">
        <v>788</v>
      </c>
      <c r="F40" s="811"/>
      <c r="G40" s="814" t="s">
        <v>800</v>
      </c>
      <c r="H40" s="815"/>
    </row>
    <row r="41" spans="2:8">
      <c r="B41" s="608">
        <v>2</v>
      </c>
      <c r="C41" s="644" t="s">
        <v>169</v>
      </c>
      <c r="D41" s="607" t="s">
        <v>789</v>
      </c>
      <c r="E41" s="810" t="s">
        <v>790</v>
      </c>
      <c r="F41" s="811"/>
      <c r="G41" s="814" t="s">
        <v>800</v>
      </c>
      <c r="H41" s="815"/>
    </row>
    <row r="42" spans="2:8">
      <c r="B42" s="608">
        <v>3</v>
      </c>
      <c r="C42" s="644" t="s">
        <v>369</v>
      </c>
      <c r="D42" s="607" t="s">
        <v>791</v>
      </c>
      <c r="E42" s="810" t="s">
        <v>792</v>
      </c>
      <c r="F42" s="811"/>
      <c r="G42" s="814" t="s">
        <v>801</v>
      </c>
      <c r="H42" s="815"/>
    </row>
    <row r="43" spans="2:8">
      <c r="B43" s="608">
        <v>4</v>
      </c>
      <c r="C43" s="644" t="s">
        <v>369</v>
      </c>
      <c r="D43" s="607" t="s">
        <v>803</v>
      </c>
      <c r="E43" s="810" t="s">
        <v>804</v>
      </c>
      <c r="F43" s="811"/>
      <c r="G43" s="814" t="s">
        <v>802</v>
      </c>
      <c r="H43" s="815"/>
    </row>
    <row r="44" spans="2:8" ht="15" customHeight="1">
      <c r="B44" s="608">
        <v>5</v>
      </c>
      <c r="C44" s="644" t="s">
        <v>369</v>
      </c>
      <c r="D44" s="607" t="s">
        <v>793</v>
      </c>
      <c r="E44" s="810" t="s">
        <v>794</v>
      </c>
      <c r="F44" s="811"/>
      <c r="G44" s="814" t="s">
        <v>802</v>
      </c>
      <c r="H44" s="815"/>
    </row>
    <row r="45" spans="2:8" ht="15" customHeight="1">
      <c r="B45" s="608">
        <v>6</v>
      </c>
      <c r="C45" s="644" t="s">
        <v>369</v>
      </c>
      <c r="D45" s="607" t="s">
        <v>795</v>
      </c>
      <c r="E45" s="846" t="s">
        <v>796</v>
      </c>
      <c r="F45" s="847"/>
      <c r="G45" s="778" t="s">
        <v>805</v>
      </c>
      <c r="H45" s="779"/>
    </row>
    <row r="46" spans="2:8" ht="15" customHeight="1">
      <c r="B46" s="608">
        <v>7</v>
      </c>
      <c r="C46" s="644" t="s">
        <v>369</v>
      </c>
      <c r="D46" s="607" t="s">
        <v>797</v>
      </c>
      <c r="E46" s="846" t="s">
        <v>796</v>
      </c>
      <c r="F46" s="847"/>
      <c r="G46" s="778" t="s">
        <v>805</v>
      </c>
      <c r="H46" s="779"/>
    </row>
    <row r="47" spans="2:8" ht="15" customHeight="1">
      <c r="B47" s="608">
        <v>8</v>
      </c>
      <c r="C47" s="644" t="s">
        <v>370</v>
      </c>
      <c r="D47" s="607" t="s">
        <v>798</v>
      </c>
      <c r="E47" s="810" t="s">
        <v>799</v>
      </c>
      <c r="F47" s="811"/>
      <c r="G47" s="814" t="s">
        <v>806</v>
      </c>
      <c r="H47" s="815"/>
    </row>
    <row r="48" spans="2:8">
      <c r="B48" s="608">
        <v>9</v>
      </c>
      <c r="C48" s="644"/>
      <c r="D48" s="607"/>
      <c r="E48" s="810"/>
      <c r="F48" s="811"/>
      <c r="G48" s="814"/>
      <c r="H48" s="815"/>
    </row>
    <row r="49" spans="2:8">
      <c r="B49" s="608">
        <v>10</v>
      </c>
      <c r="C49" s="644"/>
      <c r="D49" s="607"/>
      <c r="E49" s="810"/>
      <c r="F49" s="811"/>
      <c r="G49" s="814"/>
      <c r="H49" s="815"/>
    </row>
    <row r="50" spans="2:8">
      <c r="B50" s="608" t="s">
        <v>479</v>
      </c>
      <c r="C50" s="644"/>
      <c r="D50" s="607"/>
      <c r="E50" s="810"/>
      <c r="F50" s="811"/>
      <c r="G50" s="814"/>
      <c r="H50" s="815"/>
    </row>
  </sheetData>
  <mergeCells count="45">
    <mergeCell ref="E49:F49"/>
    <mergeCell ref="G49:H49"/>
    <mergeCell ref="E50:F50"/>
    <mergeCell ref="G50:H50"/>
    <mergeCell ref="E47:F47"/>
    <mergeCell ref="G47:H47"/>
    <mergeCell ref="E48:F48"/>
    <mergeCell ref="G48:H48"/>
    <mergeCell ref="E43:F43"/>
    <mergeCell ref="G43:H43"/>
    <mergeCell ref="E44:F44"/>
    <mergeCell ref="G44:H44"/>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85" zoomScaleNormal="85" workbookViewId="0">
      <selection activeCell="D53" sqref="D5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16" t="s">
        <v>744</v>
      </c>
      <c r="C11" s="816"/>
      <c r="D11" s="816"/>
      <c r="E11" s="816"/>
      <c r="F11" s="816"/>
      <c r="G11" s="816"/>
      <c r="H11" s="816"/>
      <c r="I11" s="816"/>
      <c r="J11" s="816"/>
      <c r="K11" s="816"/>
      <c r="L11" s="816"/>
      <c r="M11" s="816"/>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&gt; 50 to 4,999 Kw</v>
      </c>
      <c r="G13" s="243" t="str">
        <f>'1.  LRAMVA Summary'!G52</f>
        <v>Street Lighting</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1086258</v>
      </c>
      <c r="D15" s="756">
        <v>511521</v>
      </c>
      <c r="E15" s="756">
        <v>183184</v>
      </c>
      <c r="F15" s="756">
        <v>383441</v>
      </c>
      <c r="G15" s="756">
        <v>7922</v>
      </c>
      <c r="H15" s="756">
        <v>190</v>
      </c>
      <c r="I15" s="451"/>
      <c r="J15" s="451"/>
      <c r="K15" s="451"/>
      <c r="L15" s="451"/>
      <c r="M15" s="451"/>
      <c r="N15" s="451"/>
      <c r="O15" s="451"/>
      <c r="P15" s="452"/>
      <c r="Q15" s="452"/>
    </row>
    <row r="16" spans="2:17" s="456" customFormat="1" ht="15.75" customHeight="1">
      <c r="B16" s="461" t="s">
        <v>28</v>
      </c>
      <c r="C16" s="626">
        <f>SUM(D16:Q16)</f>
        <v>983</v>
      </c>
      <c r="D16" s="757"/>
      <c r="E16" s="757"/>
      <c r="F16" s="757">
        <v>959</v>
      </c>
      <c r="G16" s="757">
        <v>24</v>
      </c>
      <c r="H16" s="757"/>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511521</v>
      </c>
      <c r="E18" s="192">
        <f t="shared" si="0"/>
        <v>183184</v>
      </c>
      <c r="F18" s="192">
        <f>IF(F14="kw",HLOOKUP(F14,F14:F16,3,FALSE),HLOOKUP(F14,F14:F16,2,FALSE))</f>
        <v>959</v>
      </c>
      <c r="G18" s="192">
        <f t="shared" ref="G18:Q18" si="1">IF(G14="kw",HLOOKUP(G14,G14:G16,3,FALSE),HLOOKUP(G14,G14:G16,2,FALSE))</f>
        <v>24</v>
      </c>
      <c r="H18" s="192">
        <f t="shared" si="1"/>
        <v>190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660</v>
      </c>
      <c r="C20" s="453"/>
      <c r="D20" s="454"/>
    </row>
    <row r="21" spans="2:17" s="438" customFormat="1" ht="21" customHeight="1">
      <c r="B21" s="460" t="s">
        <v>366</v>
      </c>
      <c r="C21" s="368" t="s">
        <v>752</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816" t="s">
        <v>744</v>
      </c>
      <c r="C26" s="816"/>
      <c r="D26" s="816"/>
      <c r="E26" s="816"/>
      <c r="F26" s="816"/>
      <c r="G26" s="816"/>
      <c r="H26" s="816"/>
      <c r="I26" s="816"/>
      <c r="J26" s="816"/>
      <c r="K26" s="816"/>
      <c r="L26" s="816"/>
      <c r="M26" s="816"/>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&gt; 50 to 4,999 Kw</v>
      </c>
      <c r="G28" s="243" t="str">
        <f>'1.  LRAMVA Summary'!G52</f>
        <v>Street Lighting</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1401000</v>
      </c>
      <c r="D30" s="758">
        <v>664000</v>
      </c>
      <c r="E30" s="758">
        <v>164000</v>
      </c>
      <c r="F30" s="758">
        <v>573000</v>
      </c>
      <c r="G30" s="462"/>
      <c r="H30" s="462"/>
      <c r="I30" s="462"/>
      <c r="J30" s="462"/>
      <c r="K30" s="462"/>
      <c r="L30" s="462"/>
      <c r="M30" s="462"/>
      <c r="N30" s="462"/>
      <c r="O30" s="462"/>
      <c r="P30" s="462"/>
      <c r="Q30" s="452"/>
    </row>
    <row r="31" spans="2:17" s="463" customFormat="1" ht="15" customHeight="1">
      <c r="B31" s="461" t="s">
        <v>28</v>
      </c>
      <c r="C31" s="626">
        <f>SUM(D31:Q31)</f>
        <v>1528</v>
      </c>
      <c r="D31" s="757"/>
      <c r="E31" s="757"/>
      <c r="F31" s="757">
        <v>1528</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664000</v>
      </c>
      <c r="E33" s="192">
        <f>IF(E29="kw",HLOOKUP(E29,E29:E31,3,FALSE),HLOOKUP(E29,E29:E31,2,FALSE))</f>
        <v>164000</v>
      </c>
      <c r="F33" s="192">
        <f>IF(F29="kw",HLOOKUP(F29,F29:F31,3,FALSE),HLOOKUP(F29,F29:F31,2,FALSE))</f>
        <v>1528</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660</v>
      </c>
      <c r="C35" s="453"/>
      <c r="D35" s="454"/>
      <c r="E35" s="93"/>
      <c r="F35" s="93"/>
      <c r="G35" s="93"/>
      <c r="H35" s="93"/>
      <c r="I35" s="93"/>
      <c r="J35" s="93"/>
      <c r="K35" s="93"/>
      <c r="L35" s="93"/>
      <c r="M35" s="93"/>
      <c r="N35" s="93"/>
      <c r="O35" s="93"/>
      <c r="P35" s="93"/>
      <c r="Q35" s="93"/>
    </row>
    <row r="36" spans="2:32" s="438" customFormat="1" ht="21" customHeight="1">
      <c r="B36" s="460" t="s">
        <v>366</v>
      </c>
      <c r="C36" s="368" t="s">
        <v>753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16" t="s">
        <v>601</v>
      </c>
      <c r="C40" s="816"/>
      <c r="D40" s="816"/>
      <c r="E40" s="816"/>
      <c r="F40" s="816"/>
      <c r="G40" s="816"/>
      <c r="H40" s="816"/>
      <c r="I40" s="816"/>
      <c r="J40" s="816"/>
      <c r="K40" s="816"/>
      <c r="L40" s="816"/>
      <c r="M40" s="816"/>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598</v>
      </c>
      <c r="D42" s="243" t="str">
        <f>'1.  LRAMVA Summary'!D52</f>
        <v>Residential</v>
      </c>
      <c r="E42" s="243" t="str">
        <f>'1.  LRAMVA Summary'!E52</f>
        <v>GS&lt;50 kW</v>
      </c>
      <c r="F42" s="243" t="str">
        <f>'1.  LRAMVA Summary'!F52</f>
        <v>GS &gt; 50 to 4,999 Kw</v>
      </c>
      <c r="G42" s="243" t="str">
        <f>'1.  LRAMVA Summary'!G52</f>
        <v>Street Lighting</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2013</v>
      </c>
      <c r="D46" s="190">
        <f t="shared" ref="D46:Q46" si="5">IF(ISBLANK($C$46),0,IF($C$46=$D$9,HLOOKUP(D43,D14:D18,5,FALSE),HLOOKUP(D43,D29:D33,5,FALSE)))</f>
        <v>511521</v>
      </c>
      <c r="E46" s="190">
        <f t="shared" si="5"/>
        <v>183184</v>
      </c>
      <c r="F46" s="190">
        <f t="shared" si="5"/>
        <v>959</v>
      </c>
      <c r="G46" s="190">
        <f t="shared" si="5"/>
        <v>24</v>
      </c>
      <c r="H46" s="190">
        <f t="shared" si="5"/>
        <v>190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2013</v>
      </c>
      <c r="D47" s="190">
        <f t="shared" ref="D47:Q47" si="6">IF(ISBLANK($C$47),0,IF($C$47=$D$9,HLOOKUP(D43,D14:D18,5,FALSE),HLOOKUP(D43,D29:D33,5,FALSE)))</f>
        <v>511521</v>
      </c>
      <c r="E47" s="190">
        <f t="shared" si="6"/>
        <v>183184</v>
      </c>
      <c r="F47" s="190">
        <f t="shared" si="6"/>
        <v>959</v>
      </c>
      <c r="G47" s="190">
        <f t="shared" si="6"/>
        <v>24</v>
      </c>
      <c r="H47" s="190">
        <f t="shared" si="6"/>
        <v>190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511521</v>
      </c>
      <c r="E48" s="190">
        <f t="shared" si="7"/>
        <v>183184</v>
      </c>
      <c r="F48" s="190">
        <f t="shared" si="7"/>
        <v>959</v>
      </c>
      <c r="G48" s="190">
        <f t="shared" si="7"/>
        <v>24</v>
      </c>
      <c r="H48" s="190">
        <f t="shared" si="7"/>
        <v>190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511521</v>
      </c>
      <c r="E49" s="190">
        <f t="shared" si="8"/>
        <v>183184</v>
      </c>
      <c r="F49" s="190">
        <f t="shared" si="8"/>
        <v>959</v>
      </c>
      <c r="G49" s="190">
        <f t="shared" si="8"/>
        <v>24</v>
      </c>
      <c r="H49" s="190">
        <f t="shared" si="8"/>
        <v>190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2013</v>
      </c>
      <c r="D50" s="190">
        <f t="shared" ref="D50:I50" si="9">IF(ISBLANK($C$50),0,IF($C$50=$D$9,HLOOKUP(D43,D14:D18,5,FALSE),HLOOKUP(D43,D29:D33,5,FALSE)))</f>
        <v>511521</v>
      </c>
      <c r="E50" s="190">
        <f t="shared" si="9"/>
        <v>183184</v>
      </c>
      <c r="F50" s="190">
        <f t="shared" si="9"/>
        <v>959</v>
      </c>
      <c r="G50" s="190">
        <f t="shared" si="9"/>
        <v>24</v>
      </c>
      <c r="H50" s="190">
        <f t="shared" si="9"/>
        <v>190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664000</v>
      </c>
      <c r="E51" s="190">
        <f t="shared" si="11"/>
        <v>164000</v>
      </c>
      <c r="F51" s="190">
        <f t="shared" si="11"/>
        <v>1528</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2018</v>
      </c>
      <c r="D52" s="190">
        <f t="shared" ref="D52:Q52" si="12">IF(ISBLANK($C$52),0,IF($C$52=$D$9,HLOOKUP(D43,D14:D18,5,FALSE),HLOOKUP(D43,D29:D33,5,FALSE)))</f>
        <v>664000</v>
      </c>
      <c r="E52" s="190">
        <f t="shared" si="12"/>
        <v>164000</v>
      </c>
      <c r="F52" s="190">
        <f t="shared" si="12"/>
        <v>1528</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v>2018</v>
      </c>
      <c r="D53" s="190">
        <f t="shared" ref="D53:Q53" si="13">IF(ISBLANK($C$53),0,IF($C$53=$D$9,HLOOKUP(D43,D14:D18,5,FALSE),HLOOKUP(D43,D29:D33,5,FALSE)))</f>
        <v>664000</v>
      </c>
      <c r="E53" s="190">
        <f t="shared" si="13"/>
        <v>164000</v>
      </c>
      <c r="F53" s="190">
        <f t="shared" si="13"/>
        <v>1528</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C44:C45 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90" zoomScaleNormal="90" workbookViewId="0">
      <pane ySplit="14" topLeftCell="A30" activePane="bottomLeft" state="frozen"/>
      <selection pane="bottomLeft" activeCell="M39" sqref="M39"/>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7" t="s">
        <v>171</v>
      </c>
      <c r="C4" s="85" t="s">
        <v>175</v>
      </c>
      <c r="D4" s="85"/>
      <c r="E4" s="49"/>
    </row>
    <row r="5" spans="1:26" s="18" customFormat="1" ht="26.25" hidden="1" customHeight="1" outlineLevel="1" thickBot="1">
      <c r="A5" s="4"/>
      <c r="B5" s="817"/>
      <c r="C5" s="86" t="s">
        <v>172</v>
      </c>
      <c r="D5" s="86"/>
      <c r="E5" s="49"/>
    </row>
    <row r="6" spans="1:26" ht="26.25" hidden="1" customHeight="1" outlineLevel="1" thickBot="1">
      <c r="B6" s="817"/>
      <c r="C6" s="823" t="s">
        <v>550</v>
      </c>
      <c r="D6" s="82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25" t="s">
        <v>609</v>
      </c>
      <c r="C12" s="825"/>
      <c r="D12" s="825"/>
      <c r="E12" s="825"/>
      <c r="F12" s="825"/>
      <c r="G12" s="825"/>
      <c r="H12" s="825"/>
      <c r="I12" s="825"/>
      <c r="J12" s="825"/>
      <c r="K12" s="825"/>
      <c r="L12" s="825"/>
      <c r="M12" s="825"/>
      <c r="N12" s="825"/>
      <c r="O12" s="82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754</v>
      </c>
      <c r="E14" s="472" t="s">
        <v>755</v>
      </c>
      <c r="F14" s="472" t="s">
        <v>756</v>
      </c>
      <c r="G14" s="472" t="s">
        <v>757</v>
      </c>
      <c r="H14" s="472" t="s">
        <v>758</v>
      </c>
      <c r="I14" s="472" t="s">
        <v>759</v>
      </c>
      <c r="J14" s="472" t="s">
        <v>760</v>
      </c>
      <c r="K14" s="472" t="s">
        <v>761</v>
      </c>
      <c r="L14" s="472" t="s">
        <v>745</v>
      </c>
      <c r="M14" s="472" t="s">
        <v>762</v>
      </c>
      <c r="N14" s="472" t="s">
        <v>763</v>
      </c>
      <c r="O14" s="472" t="s">
        <v>764</v>
      </c>
      <c r="P14" s="7"/>
    </row>
    <row r="15" spans="1:26" s="7" customFormat="1" ht="18.75" customHeight="1">
      <c r="B15" s="473" t="s">
        <v>188</v>
      </c>
      <c r="C15" s="818"/>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19"/>
      <c r="D16" s="477">
        <v>4</v>
      </c>
      <c r="E16" s="477">
        <v>4</v>
      </c>
      <c r="F16" s="477">
        <v>4</v>
      </c>
      <c r="G16" s="477">
        <v>8</v>
      </c>
      <c r="H16" s="477">
        <v>4</v>
      </c>
      <c r="I16" s="477">
        <v>4</v>
      </c>
      <c r="J16" s="477">
        <v>4</v>
      </c>
      <c r="K16" s="477">
        <v>4</v>
      </c>
      <c r="L16" s="477">
        <v>4</v>
      </c>
      <c r="M16" s="477">
        <v>4</v>
      </c>
      <c r="N16" s="477">
        <v>4</v>
      </c>
      <c r="O16" s="478">
        <v>4</v>
      </c>
    </row>
    <row r="17" spans="1:15" s="111" customFormat="1" ht="17.25" customHeight="1">
      <c r="B17" s="479" t="s">
        <v>559</v>
      </c>
      <c r="C17" s="820"/>
      <c r="D17" s="112">
        <f>12-D16</f>
        <v>8</v>
      </c>
      <c r="E17" s="112">
        <f>12-E16</f>
        <v>8</v>
      </c>
      <c r="F17" s="112">
        <f t="shared" ref="F17:K17" si="0">12-F16</f>
        <v>8</v>
      </c>
      <c r="G17" s="112">
        <f t="shared" si="0"/>
        <v>4</v>
      </c>
      <c r="H17" s="112">
        <f t="shared" si="0"/>
        <v>8</v>
      </c>
      <c r="I17" s="112">
        <f t="shared" si="0"/>
        <v>8</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80" t="str">
        <f>'1.  LRAMVA Summary'!B29</f>
        <v>Residential</v>
      </c>
      <c r="C18" s="821" t="str">
        <f>'2. LRAMVA Threshold'!D43</f>
        <v>kWh</v>
      </c>
      <c r="D18" s="46">
        <v>1.03E-2</v>
      </c>
      <c r="E18" s="46">
        <v>1.03E-2</v>
      </c>
      <c r="F18" s="46">
        <v>1.04E-2</v>
      </c>
      <c r="G18" s="46">
        <v>1.1299999999999999E-2</v>
      </c>
      <c r="H18" s="46">
        <v>1.15E-2</v>
      </c>
      <c r="I18" s="46">
        <v>1.1599999999999999E-2</v>
      </c>
      <c r="J18" s="46">
        <v>8.8999999999999999E-3</v>
      </c>
      <c r="K18" s="46">
        <v>6.0000000000000001E-3</v>
      </c>
      <c r="L18" s="46">
        <v>3.3E-3</v>
      </c>
      <c r="M18" s="46"/>
      <c r="N18" s="46"/>
      <c r="O18" s="69"/>
    </row>
    <row r="19" spans="1:15" s="7" customFormat="1" ht="15" customHeight="1" outlineLevel="1">
      <c r="B19" s="536" t="s">
        <v>510</v>
      </c>
      <c r="C19" s="819"/>
      <c r="D19" s="46"/>
      <c r="E19" s="46"/>
      <c r="F19" s="46"/>
      <c r="G19" s="46"/>
      <c r="H19" s="46"/>
      <c r="I19" s="46"/>
      <c r="J19" s="46"/>
      <c r="K19" s="46"/>
      <c r="L19" s="46"/>
      <c r="M19" s="46"/>
      <c r="N19" s="46"/>
      <c r="O19" s="69"/>
    </row>
    <row r="20" spans="1:15" s="7" customFormat="1" ht="15" customHeight="1" outlineLevel="1">
      <c r="B20" s="536" t="s">
        <v>511</v>
      </c>
      <c r="C20" s="819"/>
      <c r="D20" s="46"/>
      <c r="E20" s="46"/>
      <c r="F20" s="46"/>
      <c r="G20" s="46"/>
      <c r="H20" s="46"/>
      <c r="I20" s="46"/>
      <c r="J20" s="46"/>
      <c r="K20" s="46"/>
      <c r="L20" s="46">
        <v>-1E-4</v>
      </c>
      <c r="M20" s="46"/>
      <c r="N20" s="46"/>
      <c r="O20" s="69"/>
    </row>
    <row r="21" spans="1:15" s="7" customFormat="1" ht="15" customHeight="1" outlineLevel="1">
      <c r="B21" s="536" t="s">
        <v>489</v>
      </c>
      <c r="C21" s="819"/>
      <c r="D21" s="46"/>
      <c r="E21" s="46"/>
      <c r="F21" s="46"/>
      <c r="G21" s="46"/>
      <c r="H21" s="46"/>
      <c r="I21" s="46"/>
      <c r="J21" s="46"/>
      <c r="K21" s="46"/>
      <c r="L21" s="46"/>
      <c r="M21" s="46"/>
      <c r="N21" s="46"/>
      <c r="O21" s="69"/>
    </row>
    <row r="22" spans="1:15" s="7" customFormat="1" ht="14.25" customHeight="1">
      <c r="B22" s="536" t="s">
        <v>512</v>
      </c>
      <c r="C22" s="822"/>
      <c r="D22" s="65">
        <f>SUM(D18:D21)</f>
        <v>1.03E-2</v>
      </c>
      <c r="E22" s="65">
        <f>SUM(E18:E21)</f>
        <v>1.03E-2</v>
      </c>
      <c r="F22" s="65">
        <f>SUM(F18:F21)</f>
        <v>1.04E-2</v>
      </c>
      <c r="G22" s="65">
        <f t="shared" ref="G22:N22" si="2">SUM(G18:G21)</f>
        <v>1.1299999999999999E-2</v>
      </c>
      <c r="H22" s="65">
        <f t="shared" si="2"/>
        <v>1.15E-2</v>
      </c>
      <c r="I22" s="65">
        <f t="shared" si="2"/>
        <v>1.1599999999999999E-2</v>
      </c>
      <c r="J22" s="65">
        <f t="shared" si="2"/>
        <v>8.8999999999999999E-3</v>
      </c>
      <c r="K22" s="65">
        <f t="shared" si="2"/>
        <v>6.0000000000000001E-3</v>
      </c>
      <c r="L22" s="65">
        <f t="shared" si="2"/>
        <v>3.2000000000000002E-3</v>
      </c>
      <c r="M22" s="65">
        <f t="shared" si="2"/>
        <v>0</v>
      </c>
      <c r="N22" s="65">
        <f t="shared" si="2"/>
        <v>0</v>
      </c>
      <c r="O22" s="76"/>
    </row>
    <row r="23" spans="1:15" s="63" customFormat="1">
      <c r="A23" s="62"/>
      <c r="B23" s="492" t="s">
        <v>513</v>
      </c>
      <c r="C23" s="482"/>
      <c r="D23" s="483"/>
      <c r="E23" s="484">
        <f>ROUND(SUM(D22*E16+E22*E17)/12,4)</f>
        <v>1.03E-2</v>
      </c>
      <c r="F23" s="484">
        <f>ROUND(SUM(E22*F16+F22*F17)/12,4)</f>
        <v>1.04E-2</v>
      </c>
      <c r="G23" s="484">
        <f>ROUND(SUM(F22*G16+G22*G17)/12,4)</f>
        <v>1.0699999999999999E-2</v>
      </c>
      <c r="H23" s="484">
        <f>ROUND(SUM(G22*H16+H22*H17)/12,4)</f>
        <v>1.14E-2</v>
      </c>
      <c r="I23" s="484">
        <f>ROUND(SUM(H22*I16+I22*I17)/12,4)</f>
        <v>1.1599999999999999E-2</v>
      </c>
      <c r="J23" s="484">
        <f t="shared" ref="J23:N23" si="3">ROUND(SUM(I22*J16+J22*J17)/12,4)</f>
        <v>9.7999999999999997E-3</v>
      </c>
      <c r="K23" s="484">
        <f t="shared" si="3"/>
        <v>7.0000000000000001E-3</v>
      </c>
      <c r="L23" s="484">
        <f t="shared" si="3"/>
        <v>4.1000000000000003E-3</v>
      </c>
      <c r="M23" s="484">
        <f>ROUND(SUM(L22*M16+M22*M17)/12,4)</f>
        <v>1.1000000000000001E-3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21" t="str">
        <f>'2. LRAMVA Threshold'!E43</f>
        <v>kWh</v>
      </c>
      <c r="D25" s="46">
        <v>8.0999999999999996E-3</v>
      </c>
      <c r="E25" s="46">
        <v>8.0999999999999996E-3</v>
      </c>
      <c r="F25" s="46">
        <v>8.2000000000000007E-3</v>
      </c>
      <c r="G25" s="46">
        <v>7.7999999999999996E-3</v>
      </c>
      <c r="H25" s="46">
        <v>7.9000000000000008E-3</v>
      </c>
      <c r="I25" s="46">
        <v>8.0000000000000002E-3</v>
      </c>
      <c r="J25" s="46">
        <v>8.0999999999999996E-3</v>
      </c>
      <c r="K25" s="46">
        <v>8.2000000000000007E-3</v>
      </c>
      <c r="L25" s="46">
        <v>1.01E-2</v>
      </c>
      <c r="M25" s="46">
        <v>1.0200000000000001E-2</v>
      </c>
      <c r="N25" s="46">
        <v>1.04E-2</v>
      </c>
      <c r="O25" s="69">
        <v>1.06E-2</v>
      </c>
    </row>
    <row r="26" spans="1:15" s="18" customFormat="1" outlineLevel="1">
      <c r="A26" s="4"/>
      <c r="B26" s="536" t="s">
        <v>510</v>
      </c>
      <c r="C26" s="819"/>
      <c r="D26" s="46"/>
      <c r="E26" s="46"/>
      <c r="F26" s="46"/>
      <c r="G26" s="46"/>
      <c r="H26" s="46"/>
      <c r="I26" s="46"/>
      <c r="J26" s="46"/>
      <c r="K26" s="46"/>
      <c r="L26" s="46"/>
      <c r="M26" s="46"/>
      <c r="N26" s="46"/>
      <c r="O26" s="69"/>
    </row>
    <row r="27" spans="1:15" s="18" customFormat="1" outlineLevel="1">
      <c r="A27" s="4"/>
      <c r="B27" s="536" t="s">
        <v>511</v>
      </c>
      <c r="C27" s="819"/>
      <c r="D27" s="46"/>
      <c r="E27" s="46"/>
      <c r="F27" s="46"/>
      <c r="G27" s="46"/>
      <c r="H27" s="46"/>
      <c r="I27" s="46"/>
      <c r="J27" s="46"/>
      <c r="K27" s="46"/>
      <c r="L27" s="46">
        <v>2.0000000000000001E-4</v>
      </c>
      <c r="M27" s="46"/>
      <c r="N27" s="46"/>
      <c r="O27" s="69"/>
    </row>
    <row r="28" spans="1:15" s="18" customFormat="1" outlineLevel="1">
      <c r="A28" s="4"/>
      <c r="B28" s="536" t="s">
        <v>489</v>
      </c>
      <c r="C28" s="819"/>
      <c r="D28" s="46"/>
      <c r="E28" s="46"/>
      <c r="F28" s="46"/>
      <c r="G28" s="46"/>
      <c r="H28" s="46"/>
      <c r="I28" s="46"/>
      <c r="J28" s="46"/>
      <c r="K28" s="46"/>
      <c r="L28" s="46"/>
      <c r="M28" s="46"/>
      <c r="N28" s="46"/>
      <c r="O28" s="69"/>
    </row>
    <row r="29" spans="1:15" s="18" customFormat="1">
      <c r="A29" s="4"/>
      <c r="B29" s="536" t="s">
        <v>512</v>
      </c>
      <c r="C29" s="822"/>
      <c r="D29" s="65">
        <f>SUM(D25:D28)</f>
        <v>8.0999999999999996E-3</v>
      </c>
      <c r="E29" s="65">
        <f t="shared" ref="E29:N29" si="4">SUM(E25:E28)</f>
        <v>8.0999999999999996E-3</v>
      </c>
      <c r="F29" s="65">
        <f t="shared" si="4"/>
        <v>8.2000000000000007E-3</v>
      </c>
      <c r="G29" s="65">
        <f t="shared" si="4"/>
        <v>7.7999999999999996E-3</v>
      </c>
      <c r="H29" s="65">
        <f t="shared" si="4"/>
        <v>7.9000000000000008E-3</v>
      </c>
      <c r="I29" s="65">
        <f t="shared" si="4"/>
        <v>8.0000000000000002E-3</v>
      </c>
      <c r="J29" s="65">
        <f t="shared" si="4"/>
        <v>8.0999999999999996E-3</v>
      </c>
      <c r="K29" s="65">
        <f t="shared" si="4"/>
        <v>8.2000000000000007E-3</v>
      </c>
      <c r="L29" s="65">
        <f t="shared" si="4"/>
        <v>1.03E-2</v>
      </c>
      <c r="M29" s="65">
        <f t="shared" si="4"/>
        <v>1.0200000000000001E-2</v>
      </c>
      <c r="N29" s="65">
        <f t="shared" si="4"/>
        <v>1.04E-2</v>
      </c>
      <c r="O29" s="76"/>
    </row>
    <row r="30" spans="1:15" s="18" customFormat="1">
      <c r="A30" s="4"/>
      <c r="B30" s="492" t="s">
        <v>513</v>
      </c>
      <c r="C30" s="488"/>
      <c r="D30" s="71"/>
      <c r="E30" s="484">
        <f>ROUND(SUM(D29*E16+E29*E17)/12,4)</f>
        <v>8.0999999999999996E-3</v>
      </c>
      <c r="F30" s="484">
        <f t="shared" ref="F30:M30" si="5">ROUND(SUM(E29*F16+F29*F17)/12,4)</f>
        <v>8.2000000000000007E-3</v>
      </c>
      <c r="G30" s="484">
        <f t="shared" si="5"/>
        <v>8.0999999999999996E-3</v>
      </c>
      <c r="H30" s="484">
        <f t="shared" si="5"/>
        <v>7.9000000000000008E-3</v>
      </c>
      <c r="I30" s="484">
        <f t="shared" si="5"/>
        <v>8.0000000000000002E-3</v>
      </c>
      <c r="J30" s="484">
        <f>ROUND(SUM(I29*J16+J29*J17)/12,4)</f>
        <v>8.0999999999999996E-3</v>
      </c>
      <c r="K30" s="484">
        <f t="shared" si="5"/>
        <v>8.2000000000000007E-3</v>
      </c>
      <c r="L30" s="484">
        <f t="shared" si="5"/>
        <v>9.5999999999999992E-3</v>
      </c>
      <c r="M30" s="484">
        <f t="shared" si="5"/>
        <v>1.0200000000000001E-2</v>
      </c>
      <c r="N30" s="484">
        <f>ROUND(SUM(M29*N16+N29*N17)/12,4)</f>
        <v>1.03E-2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&gt; 50 to 4,999 Kw</v>
      </c>
      <c r="C32" s="821" t="str">
        <f>'2. LRAMVA Threshold'!F43</f>
        <v>kW</v>
      </c>
      <c r="D32" s="46">
        <v>1.3686</v>
      </c>
      <c r="E32" s="46">
        <v>1.3711</v>
      </c>
      <c r="F32" s="46">
        <v>1.3832</v>
      </c>
      <c r="G32" s="46">
        <v>1.3077000000000001</v>
      </c>
      <c r="H32" s="46">
        <v>1.2867</v>
      </c>
      <c r="I32" s="46">
        <v>1.3033999999999999</v>
      </c>
      <c r="J32" s="46">
        <v>1.3269</v>
      </c>
      <c r="K32" s="46">
        <v>1.3481000000000001</v>
      </c>
      <c r="L32" s="46">
        <v>1.3008999999999999</v>
      </c>
      <c r="M32" s="46">
        <v>1.3165</v>
      </c>
      <c r="N32" s="46">
        <v>1.3389</v>
      </c>
      <c r="O32" s="69">
        <v>1.3663000000000001</v>
      </c>
    </row>
    <row r="33" spans="1:15" s="18" customFormat="1" outlineLevel="1">
      <c r="A33" s="4"/>
      <c r="B33" s="536" t="s">
        <v>510</v>
      </c>
      <c r="C33" s="819"/>
      <c r="D33" s="46"/>
      <c r="E33" s="46"/>
      <c r="F33" s="46"/>
      <c r="G33" s="46"/>
      <c r="H33" s="46"/>
      <c r="I33" s="46"/>
      <c r="J33" s="46"/>
      <c r="K33" s="46"/>
      <c r="L33" s="46"/>
      <c r="M33" s="46"/>
      <c r="N33" s="46"/>
      <c r="O33" s="69"/>
    </row>
    <row r="34" spans="1:15" s="18" customFormat="1" outlineLevel="1">
      <c r="A34" s="4"/>
      <c r="B34" s="536" t="s">
        <v>511</v>
      </c>
      <c r="C34" s="819"/>
      <c r="D34" s="46"/>
      <c r="E34" s="46"/>
      <c r="F34" s="46"/>
      <c r="G34" s="46"/>
      <c r="H34" s="46"/>
      <c r="I34" s="46"/>
      <c r="J34" s="46"/>
      <c r="K34" s="46"/>
      <c r="L34" s="46">
        <v>-1E-4</v>
      </c>
      <c r="M34" s="46"/>
      <c r="N34" s="46"/>
      <c r="O34" s="69"/>
    </row>
    <row r="35" spans="1:15" s="18" customFormat="1" outlineLevel="1">
      <c r="A35" s="4"/>
      <c r="B35" s="536" t="s">
        <v>489</v>
      </c>
      <c r="C35" s="819"/>
      <c r="D35" s="46"/>
      <c r="E35" s="46"/>
      <c r="F35" s="46"/>
      <c r="G35" s="46"/>
      <c r="H35" s="46"/>
      <c r="I35" s="46"/>
      <c r="J35" s="46"/>
      <c r="K35" s="46"/>
      <c r="L35" s="46"/>
      <c r="M35" s="46"/>
      <c r="N35" s="46"/>
      <c r="O35" s="69"/>
    </row>
    <row r="36" spans="1:15" s="18" customFormat="1">
      <c r="A36" s="4"/>
      <c r="B36" s="536" t="s">
        <v>512</v>
      </c>
      <c r="C36" s="822"/>
      <c r="D36" s="65">
        <f>SUM(D32:D35)</f>
        <v>1.3686</v>
      </c>
      <c r="E36" s="65">
        <f>SUM(E32:E35)</f>
        <v>1.3711</v>
      </c>
      <c r="F36" s="65">
        <f t="shared" ref="F36:M36" si="6">SUM(F32:F35)</f>
        <v>1.3832</v>
      </c>
      <c r="G36" s="65">
        <f t="shared" si="6"/>
        <v>1.3077000000000001</v>
      </c>
      <c r="H36" s="65">
        <f t="shared" si="6"/>
        <v>1.2867</v>
      </c>
      <c r="I36" s="65">
        <f t="shared" si="6"/>
        <v>1.3033999999999999</v>
      </c>
      <c r="J36" s="65">
        <f t="shared" si="6"/>
        <v>1.3269</v>
      </c>
      <c r="K36" s="65">
        <f t="shared" si="6"/>
        <v>1.3481000000000001</v>
      </c>
      <c r="L36" s="65">
        <f t="shared" si="6"/>
        <v>1.3008</v>
      </c>
      <c r="M36" s="65">
        <f t="shared" si="6"/>
        <v>1.3165</v>
      </c>
      <c r="N36" s="65">
        <f>SUM(N32:N35)</f>
        <v>1.3389</v>
      </c>
      <c r="O36" s="76"/>
    </row>
    <row r="37" spans="1:15" s="18" customFormat="1">
      <c r="A37" s="4"/>
      <c r="B37" s="492" t="s">
        <v>513</v>
      </c>
      <c r="C37" s="488"/>
      <c r="D37" s="71"/>
      <c r="E37" s="484">
        <f t="shared" ref="E37:M37" si="7">ROUND(SUM(D36*E16+E36*E17)/12,4)</f>
        <v>1.3703000000000001</v>
      </c>
      <c r="F37" s="484">
        <f t="shared" si="7"/>
        <v>1.3792</v>
      </c>
      <c r="G37" s="484">
        <f t="shared" si="7"/>
        <v>1.3580000000000001</v>
      </c>
      <c r="H37" s="484">
        <f t="shared" si="7"/>
        <v>1.2937000000000001</v>
      </c>
      <c r="I37" s="484">
        <f t="shared" si="7"/>
        <v>1.2978000000000001</v>
      </c>
      <c r="J37" s="484">
        <f t="shared" si="7"/>
        <v>1.3190999999999999</v>
      </c>
      <c r="K37" s="484">
        <f t="shared" si="7"/>
        <v>1.341</v>
      </c>
      <c r="L37" s="484">
        <f t="shared" si="7"/>
        <v>1.3166</v>
      </c>
      <c r="M37" s="484">
        <f t="shared" si="7"/>
        <v>1.3112999999999999</v>
      </c>
      <c r="N37" s="484">
        <f>ROUND(SUM(M36*N16+N36*N17)/12,4)</f>
        <v>1.3313999999999999</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821" t="str">
        <f>'2. LRAMVA Threshold'!G43</f>
        <v>kW</v>
      </c>
      <c r="D39" s="46">
        <v>25.7485</v>
      </c>
      <c r="E39" s="46">
        <v>25.794799999999999</v>
      </c>
      <c r="F39" s="46">
        <v>26.021799999999999</v>
      </c>
      <c r="G39" s="46">
        <v>24.344799999999999</v>
      </c>
      <c r="H39" s="46">
        <v>27.0322</v>
      </c>
      <c r="I39" s="46">
        <v>27.383600000000001</v>
      </c>
      <c r="J39" s="46">
        <v>27.8765</v>
      </c>
      <c r="K39" s="46">
        <v>28.322500000000002</v>
      </c>
      <c r="L39" s="46">
        <v>10.861800000000001</v>
      </c>
      <c r="M39" s="46">
        <v>10.992100000000001</v>
      </c>
      <c r="N39" s="46">
        <v>11.179</v>
      </c>
      <c r="O39" s="69">
        <v>11.408200000000001</v>
      </c>
    </row>
    <row r="40" spans="1:15" s="18" customFormat="1" outlineLevel="1">
      <c r="A40" s="4"/>
      <c r="B40" s="536" t="s">
        <v>510</v>
      </c>
      <c r="C40" s="819"/>
      <c r="D40" s="46"/>
      <c r="E40" s="46"/>
      <c r="F40" s="46"/>
      <c r="G40" s="46"/>
      <c r="H40" s="46"/>
      <c r="I40" s="46"/>
      <c r="J40" s="46"/>
      <c r="K40" s="46"/>
      <c r="L40" s="46"/>
      <c r="M40" s="46"/>
      <c r="N40" s="46"/>
      <c r="O40" s="69"/>
    </row>
    <row r="41" spans="1:15" s="18" customFormat="1" outlineLevel="1">
      <c r="A41" s="4"/>
      <c r="B41" s="536" t="s">
        <v>511</v>
      </c>
      <c r="C41" s="819"/>
      <c r="D41" s="46"/>
      <c r="E41" s="46"/>
      <c r="F41" s="46"/>
      <c r="G41" s="46"/>
      <c r="H41" s="46"/>
      <c r="I41" s="46"/>
      <c r="J41" s="46"/>
      <c r="K41" s="46"/>
      <c r="L41" s="46">
        <v>7.0199999999999999E-2</v>
      </c>
      <c r="M41" s="46"/>
      <c r="N41" s="46"/>
      <c r="O41" s="69"/>
    </row>
    <row r="42" spans="1:15" s="18" customFormat="1" outlineLevel="1">
      <c r="A42" s="4"/>
      <c r="B42" s="536" t="s">
        <v>489</v>
      </c>
      <c r="C42" s="819"/>
      <c r="D42" s="46"/>
      <c r="E42" s="46"/>
      <c r="F42" s="46"/>
      <c r="G42" s="46"/>
      <c r="H42" s="46"/>
      <c r="I42" s="46"/>
      <c r="J42" s="46"/>
      <c r="K42" s="46"/>
      <c r="L42" s="46"/>
      <c r="M42" s="46"/>
      <c r="N42" s="46"/>
      <c r="O42" s="69"/>
    </row>
    <row r="43" spans="1:15" s="18" customFormat="1">
      <c r="A43" s="4"/>
      <c r="B43" s="536" t="s">
        <v>512</v>
      </c>
      <c r="C43" s="822"/>
      <c r="D43" s="65">
        <f>SUM(D39:D42)</f>
        <v>25.7485</v>
      </c>
      <c r="E43" s="65">
        <f t="shared" ref="E43:N43" si="8">SUM(E39:E42)</f>
        <v>25.794799999999999</v>
      </c>
      <c r="F43" s="65">
        <f t="shared" si="8"/>
        <v>26.021799999999999</v>
      </c>
      <c r="G43" s="65">
        <f t="shared" si="8"/>
        <v>24.344799999999999</v>
      </c>
      <c r="H43" s="65">
        <f t="shared" si="8"/>
        <v>27.0322</v>
      </c>
      <c r="I43" s="65">
        <f t="shared" si="8"/>
        <v>27.383600000000001</v>
      </c>
      <c r="J43" s="65">
        <f t="shared" si="8"/>
        <v>27.8765</v>
      </c>
      <c r="K43" s="65">
        <f t="shared" si="8"/>
        <v>28.322500000000002</v>
      </c>
      <c r="L43" s="65">
        <f t="shared" si="8"/>
        <v>10.932</v>
      </c>
      <c r="M43" s="65">
        <f t="shared" si="8"/>
        <v>10.992100000000001</v>
      </c>
      <c r="N43" s="65">
        <f t="shared" si="8"/>
        <v>11.179</v>
      </c>
      <c r="O43" s="76"/>
    </row>
    <row r="44" spans="1:15" s="14" customFormat="1">
      <c r="A44" s="72"/>
      <c r="B44" s="492" t="s">
        <v>513</v>
      </c>
      <c r="C44" s="488"/>
      <c r="D44" s="71"/>
      <c r="E44" s="484">
        <f t="shared" ref="E44:M44" si="9">ROUND(SUM(D43*E16+E43*E17)/12,4)</f>
        <v>25.779399999999999</v>
      </c>
      <c r="F44" s="484">
        <f t="shared" si="9"/>
        <v>25.946100000000001</v>
      </c>
      <c r="G44" s="484">
        <f t="shared" si="9"/>
        <v>25.462800000000001</v>
      </c>
      <c r="H44" s="484">
        <f t="shared" si="9"/>
        <v>26.136399999999998</v>
      </c>
      <c r="I44" s="484">
        <f t="shared" si="9"/>
        <v>27.266500000000001</v>
      </c>
      <c r="J44" s="484">
        <f t="shared" si="9"/>
        <v>27.712199999999999</v>
      </c>
      <c r="K44" s="484">
        <f t="shared" si="9"/>
        <v>28.1738</v>
      </c>
      <c r="L44" s="484">
        <f t="shared" si="9"/>
        <v>16.7288</v>
      </c>
      <c r="M44" s="484">
        <f t="shared" si="9"/>
        <v>10.972099999999999</v>
      </c>
      <c r="N44" s="484">
        <f>ROUND(SUM(M43*N16+N43*N17)/12,4)</f>
        <v>11.1167</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821" t="str">
        <f>'2. LRAMVA Threshold'!H43</f>
        <v>kWh</v>
      </c>
      <c r="D46" s="46">
        <v>8.2000000000000007E-3</v>
      </c>
      <c r="E46" s="46">
        <v>8.2000000000000007E-3</v>
      </c>
      <c r="F46" s="46">
        <v>8.3999999999999995E-3</v>
      </c>
      <c r="G46" s="46">
        <v>8.3999999999999995E-3</v>
      </c>
      <c r="H46" s="46">
        <v>8.6E-3</v>
      </c>
      <c r="I46" s="46">
        <v>8.6E-3</v>
      </c>
      <c r="J46" s="46">
        <v>8.8000000000000005E-3</v>
      </c>
      <c r="K46" s="46">
        <v>8.8999999999999999E-3</v>
      </c>
      <c r="L46" s="46"/>
      <c r="M46" s="46"/>
      <c r="N46" s="46"/>
      <c r="O46" s="69"/>
    </row>
    <row r="47" spans="1:15" s="18" customFormat="1" outlineLevel="1">
      <c r="A47" s="4"/>
      <c r="B47" s="536" t="s">
        <v>510</v>
      </c>
      <c r="C47" s="819"/>
      <c r="D47" s="46"/>
      <c r="E47" s="46"/>
      <c r="F47" s="46"/>
      <c r="G47" s="46"/>
      <c r="H47" s="46"/>
      <c r="I47" s="46"/>
      <c r="J47" s="46"/>
      <c r="K47" s="46"/>
      <c r="L47" s="46"/>
      <c r="M47" s="46"/>
      <c r="N47" s="46"/>
      <c r="O47" s="69"/>
    </row>
    <row r="48" spans="1:15" s="18" customFormat="1" outlineLevel="1">
      <c r="A48" s="4"/>
      <c r="B48" s="536" t="s">
        <v>511</v>
      </c>
      <c r="C48" s="819"/>
      <c r="D48" s="46"/>
      <c r="E48" s="46"/>
      <c r="F48" s="46"/>
      <c r="G48" s="46"/>
      <c r="H48" s="46"/>
      <c r="I48" s="46"/>
      <c r="J48" s="46"/>
      <c r="K48" s="46"/>
      <c r="L48" s="46"/>
      <c r="M48" s="46"/>
      <c r="N48" s="46"/>
      <c r="O48" s="69"/>
    </row>
    <row r="49" spans="1:15" s="18" customFormat="1" outlineLevel="1">
      <c r="A49" s="4"/>
      <c r="B49" s="536" t="s">
        <v>489</v>
      </c>
      <c r="C49" s="819"/>
      <c r="D49" s="46"/>
      <c r="E49" s="46"/>
      <c r="F49" s="46"/>
      <c r="G49" s="46"/>
      <c r="H49" s="46"/>
      <c r="I49" s="46"/>
      <c r="J49" s="46"/>
      <c r="K49" s="46"/>
      <c r="L49" s="46"/>
      <c r="M49" s="46"/>
      <c r="N49" s="46"/>
      <c r="O49" s="69"/>
    </row>
    <row r="50" spans="1:15" s="18" customFormat="1">
      <c r="A50" s="4"/>
      <c r="B50" s="536" t="s">
        <v>512</v>
      </c>
      <c r="C50" s="822"/>
      <c r="D50" s="65">
        <f>SUM(D46:D49)</f>
        <v>8.2000000000000007E-3</v>
      </c>
      <c r="E50" s="65">
        <f t="shared" ref="E50:N50" si="10">SUM(E46:E49)</f>
        <v>8.2000000000000007E-3</v>
      </c>
      <c r="F50" s="65">
        <f t="shared" si="10"/>
        <v>8.3999999999999995E-3</v>
      </c>
      <c r="G50" s="65">
        <f t="shared" si="10"/>
        <v>8.3999999999999995E-3</v>
      </c>
      <c r="H50" s="65">
        <f t="shared" si="10"/>
        <v>8.6E-3</v>
      </c>
      <c r="I50" s="65">
        <f t="shared" si="10"/>
        <v>8.6E-3</v>
      </c>
      <c r="J50" s="65">
        <f t="shared" si="10"/>
        <v>8.8000000000000005E-3</v>
      </c>
      <c r="K50" s="65">
        <f t="shared" si="10"/>
        <v>8.8999999999999999E-3</v>
      </c>
      <c r="L50" s="65">
        <f t="shared" si="10"/>
        <v>0</v>
      </c>
      <c r="M50" s="65">
        <f t="shared" si="10"/>
        <v>0</v>
      </c>
      <c r="N50" s="65">
        <f t="shared" si="10"/>
        <v>0</v>
      </c>
      <c r="O50" s="76"/>
    </row>
    <row r="51" spans="1:15" s="14" customFormat="1">
      <c r="A51" s="72"/>
      <c r="B51" s="492" t="s">
        <v>513</v>
      </c>
      <c r="C51" s="488"/>
      <c r="D51" s="71"/>
      <c r="E51" s="484">
        <f t="shared" ref="E51:M51" si="11">ROUND(SUM(D50*E16+E50*E17)/12,4)</f>
        <v>8.2000000000000007E-3</v>
      </c>
      <c r="F51" s="484">
        <f t="shared" si="11"/>
        <v>8.3000000000000001E-3</v>
      </c>
      <c r="G51" s="484">
        <f t="shared" si="11"/>
        <v>8.3999999999999995E-3</v>
      </c>
      <c r="H51" s="484">
        <f t="shared" si="11"/>
        <v>8.5000000000000006E-3</v>
      </c>
      <c r="I51" s="484">
        <f t="shared" si="11"/>
        <v>8.6E-3</v>
      </c>
      <c r="J51" s="484">
        <f t="shared" si="11"/>
        <v>8.6999999999999994E-3</v>
      </c>
      <c r="K51" s="484">
        <f t="shared" si="11"/>
        <v>8.8999999999999999E-3</v>
      </c>
      <c r="L51" s="484">
        <f t="shared" si="11"/>
        <v>3.0000000000000001E-3</v>
      </c>
      <c r="M51" s="484">
        <f t="shared" si="11"/>
        <v>0</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21">
        <f>'2. LRAMVA Threshold'!I43</f>
        <v>0</v>
      </c>
      <c r="D53" s="46"/>
      <c r="E53" s="46"/>
      <c r="F53" s="46"/>
      <c r="G53" s="46"/>
      <c r="H53" s="46"/>
      <c r="I53" s="46"/>
      <c r="J53" s="46"/>
      <c r="K53" s="46"/>
      <c r="L53" s="46"/>
      <c r="M53" s="46"/>
      <c r="N53" s="46"/>
      <c r="O53" s="69"/>
    </row>
    <row r="54" spans="1:15" s="18" customFormat="1" outlineLevel="1">
      <c r="A54" s="4"/>
      <c r="B54" s="536" t="s">
        <v>510</v>
      </c>
      <c r="C54" s="819"/>
      <c r="D54" s="46"/>
      <c r="E54" s="46"/>
      <c r="F54" s="46"/>
      <c r="G54" s="46"/>
      <c r="H54" s="46"/>
      <c r="I54" s="46"/>
      <c r="J54" s="46"/>
      <c r="K54" s="46"/>
      <c r="L54" s="46"/>
      <c r="M54" s="46"/>
      <c r="N54" s="46"/>
      <c r="O54" s="69"/>
    </row>
    <row r="55" spans="1:15" s="18" customFormat="1" outlineLevel="1">
      <c r="A55" s="4"/>
      <c r="B55" s="536" t="s">
        <v>511</v>
      </c>
      <c r="C55" s="819"/>
      <c r="D55" s="46"/>
      <c r="E55" s="46"/>
      <c r="F55" s="46"/>
      <c r="G55" s="46"/>
      <c r="H55" s="46"/>
      <c r="I55" s="46"/>
      <c r="J55" s="46"/>
      <c r="K55" s="46"/>
      <c r="L55" s="46"/>
      <c r="M55" s="46"/>
      <c r="N55" s="46"/>
      <c r="O55" s="69"/>
    </row>
    <row r="56" spans="1:15" s="18" customFormat="1" outlineLevel="1">
      <c r="A56" s="4"/>
      <c r="B56" s="536" t="s">
        <v>489</v>
      </c>
      <c r="C56" s="819"/>
      <c r="D56" s="46"/>
      <c r="E56" s="46"/>
      <c r="F56" s="46"/>
      <c r="G56" s="46"/>
      <c r="H56" s="46"/>
      <c r="I56" s="46"/>
      <c r="J56" s="46"/>
      <c r="K56" s="46"/>
      <c r="L56" s="46"/>
      <c r="M56" s="46"/>
      <c r="N56" s="46"/>
      <c r="O56" s="69"/>
    </row>
    <row r="57" spans="1:15" s="18" customFormat="1">
      <c r="A57" s="4"/>
      <c r="B57" s="536" t="s">
        <v>512</v>
      </c>
      <c r="C57" s="822"/>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513</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21">
        <f>'2. LRAMVA Threshold'!J43</f>
        <v>0</v>
      </c>
      <c r="D60" s="46"/>
      <c r="E60" s="46"/>
      <c r="F60" s="46"/>
      <c r="G60" s="46"/>
      <c r="H60" s="46"/>
      <c r="I60" s="46"/>
      <c r="J60" s="46"/>
      <c r="K60" s="46"/>
      <c r="L60" s="46"/>
      <c r="M60" s="46"/>
      <c r="N60" s="46"/>
      <c r="O60" s="69"/>
    </row>
    <row r="61" spans="1:15" s="18" customFormat="1" outlineLevel="1">
      <c r="A61" s="4"/>
      <c r="B61" s="536" t="s">
        <v>510</v>
      </c>
      <c r="C61" s="819"/>
      <c r="D61" s="46"/>
      <c r="E61" s="46"/>
      <c r="F61" s="46"/>
      <c r="G61" s="46"/>
      <c r="H61" s="46"/>
      <c r="I61" s="46"/>
      <c r="J61" s="46"/>
      <c r="K61" s="46"/>
      <c r="L61" s="46"/>
      <c r="M61" s="46"/>
      <c r="N61" s="46"/>
      <c r="O61" s="69"/>
    </row>
    <row r="62" spans="1:15" s="18" customFormat="1" outlineLevel="1">
      <c r="A62" s="4"/>
      <c r="B62" s="536" t="s">
        <v>511</v>
      </c>
      <c r="C62" s="819"/>
      <c r="D62" s="46"/>
      <c r="E62" s="46"/>
      <c r="F62" s="46"/>
      <c r="G62" s="46"/>
      <c r="H62" s="46"/>
      <c r="I62" s="46"/>
      <c r="J62" s="46"/>
      <c r="K62" s="46"/>
      <c r="L62" s="46"/>
      <c r="M62" s="46"/>
      <c r="N62" s="46"/>
      <c r="O62" s="69"/>
    </row>
    <row r="63" spans="1:15" s="18" customFormat="1" outlineLevel="1">
      <c r="A63" s="4"/>
      <c r="B63" s="536" t="s">
        <v>489</v>
      </c>
      <c r="C63" s="819"/>
      <c r="D63" s="46"/>
      <c r="E63" s="46"/>
      <c r="F63" s="46"/>
      <c r="G63" s="46"/>
      <c r="H63" s="46"/>
      <c r="I63" s="46"/>
      <c r="J63" s="46"/>
      <c r="K63" s="46"/>
      <c r="L63" s="46"/>
      <c r="M63" s="46"/>
      <c r="N63" s="46"/>
      <c r="O63" s="69"/>
    </row>
    <row r="64" spans="1:15" s="18" customFormat="1">
      <c r="A64" s="4"/>
      <c r="B64" s="536" t="s">
        <v>512</v>
      </c>
      <c r="C64" s="82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21">
        <f>'2. LRAMVA Threshold'!K43</f>
        <v>0</v>
      </c>
      <c r="D67" s="46"/>
      <c r="E67" s="46"/>
      <c r="F67" s="46"/>
      <c r="G67" s="46"/>
      <c r="H67" s="46"/>
      <c r="I67" s="46"/>
      <c r="J67" s="46"/>
      <c r="K67" s="46"/>
      <c r="L67" s="46"/>
      <c r="M67" s="46"/>
      <c r="N67" s="46"/>
      <c r="O67" s="69"/>
    </row>
    <row r="68" spans="1:15" s="18" customFormat="1" outlineLevel="1">
      <c r="A68" s="4"/>
      <c r="B68" s="536" t="s">
        <v>510</v>
      </c>
      <c r="C68" s="819"/>
      <c r="D68" s="46"/>
      <c r="E68" s="46"/>
      <c r="F68" s="46"/>
      <c r="G68" s="46"/>
      <c r="H68" s="46"/>
      <c r="I68" s="46"/>
      <c r="J68" s="46"/>
      <c r="K68" s="46"/>
      <c r="L68" s="46"/>
      <c r="M68" s="46"/>
      <c r="N68" s="46"/>
      <c r="O68" s="69"/>
    </row>
    <row r="69" spans="1:15" s="18" customFormat="1" outlineLevel="1">
      <c r="A69" s="4"/>
      <c r="B69" s="536" t="s">
        <v>511</v>
      </c>
      <c r="C69" s="819"/>
      <c r="D69" s="46"/>
      <c r="E69" s="46"/>
      <c r="F69" s="46"/>
      <c r="G69" s="46"/>
      <c r="H69" s="46"/>
      <c r="I69" s="46"/>
      <c r="J69" s="46"/>
      <c r="K69" s="46"/>
      <c r="L69" s="46"/>
      <c r="M69" s="46"/>
      <c r="N69" s="46"/>
      <c r="O69" s="69"/>
    </row>
    <row r="70" spans="1:15" s="18" customFormat="1" outlineLevel="1">
      <c r="A70" s="4"/>
      <c r="B70" s="536" t="s">
        <v>489</v>
      </c>
      <c r="C70" s="819"/>
      <c r="D70" s="46"/>
      <c r="E70" s="46"/>
      <c r="F70" s="46"/>
      <c r="G70" s="46"/>
      <c r="H70" s="46"/>
      <c r="I70" s="46"/>
      <c r="J70" s="46"/>
      <c r="K70" s="46"/>
      <c r="L70" s="46"/>
      <c r="M70" s="46"/>
      <c r="N70" s="46"/>
      <c r="O70" s="69"/>
    </row>
    <row r="71" spans="1:15" s="18" customFormat="1">
      <c r="A71" s="4"/>
      <c r="B71" s="536" t="s">
        <v>512</v>
      </c>
      <c r="C71" s="82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21">
        <f>'2. LRAMVA Threshold'!L43</f>
        <v>0</v>
      </c>
      <c r="D74" s="46"/>
      <c r="E74" s="46"/>
      <c r="F74" s="46"/>
      <c r="G74" s="46"/>
      <c r="H74" s="46"/>
      <c r="I74" s="46"/>
      <c r="J74" s="46"/>
      <c r="K74" s="46"/>
      <c r="L74" s="46"/>
      <c r="M74" s="46"/>
      <c r="N74" s="46"/>
      <c r="O74" s="69"/>
    </row>
    <row r="75" spans="1:15" s="18" customFormat="1" outlineLevel="1">
      <c r="A75" s="4"/>
      <c r="B75" s="536" t="s">
        <v>510</v>
      </c>
      <c r="C75" s="819"/>
      <c r="D75" s="46"/>
      <c r="E75" s="46"/>
      <c r="F75" s="46"/>
      <c r="G75" s="46"/>
      <c r="H75" s="46"/>
      <c r="I75" s="46"/>
      <c r="J75" s="46"/>
      <c r="K75" s="46"/>
      <c r="L75" s="46"/>
      <c r="M75" s="46"/>
      <c r="N75" s="46"/>
      <c r="O75" s="69"/>
    </row>
    <row r="76" spans="1:15" s="18" customFormat="1" outlineLevel="1">
      <c r="A76" s="4"/>
      <c r="B76" s="536" t="s">
        <v>511</v>
      </c>
      <c r="C76" s="819"/>
      <c r="D76" s="46"/>
      <c r="E76" s="46"/>
      <c r="F76" s="46"/>
      <c r="G76" s="46"/>
      <c r="H76" s="46"/>
      <c r="I76" s="46"/>
      <c r="J76" s="46"/>
      <c r="K76" s="46"/>
      <c r="L76" s="46"/>
      <c r="M76" s="46"/>
      <c r="N76" s="46"/>
      <c r="O76" s="69"/>
    </row>
    <row r="77" spans="1:15" s="18" customFormat="1" outlineLevel="1">
      <c r="A77" s="4"/>
      <c r="B77" s="536" t="s">
        <v>489</v>
      </c>
      <c r="C77" s="819"/>
      <c r="D77" s="46"/>
      <c r="E77" s="46"/>
      <c r="F77" s="46"/>
      <c r="G77" s="46"/>
      <c r="H77" s="46"/>
      <c r="I77" s="46"/>
      <c r="J77" s="46"/>
      <c r="K77" s="46"/>
      <c r="L77" s="46"/>
      <c r="M77" s="46"/>
      <c r="N77" s="46"/>
      <c r="O77" s="69"/>
    </row>
    <row r="78" spans="1:15" s="18" customFormat="1">
      <c r="A78" s="4"/>
      <c r="B78" s="536" t="s">
        <v>512</v>
      </c>
      <c r="C78" s="82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21">
        <f>'2. LRAMVA Threshold'!M43</f>
        <v>0</v>
      </c>
      <c r="D81" s="46"/>
      <c r="E81" s="46"/>
      <c r="F81" s="46"/>
      <c r="G81" s="46"/>
      <c r="H81" s="46"/>
      <c r="I81" s="46"/>
      <c r="J81" s="46"/>
      <c r="K81" s="46"/>
      <c r="L81" s="46"/>
      <c r="M81" s="46"/>
      <c r="N81" s="46"/>
      <c r="O81" s="69"/>
    </row>
    <row r="82" spans="1:15" s="18" customFormat="1" outlineLevel="1">
      <c r="A82" s="4"/>
      <c r="B82" s="536" t="s">
        <v>510</v>
      </c>
      <c r="C82" s="819"/>
      <c r="D82" s="46"/>
      <c r="E82" s="46"/>
      <c r="F82" s="46"/>
      <c r="G82" s="46"/>
      <c r="H82" s="46"/>
      <c r="I82" s="46"/>
      <c r="J82" s="46"/>
      <c r="K82" s="46"/>
      <c r="L82" s="46"/>
      <c r="M82" s="46"/>
      <c r="N82" s="46"/>
      <c r="O82" s="69"/>
    </row>
    <row r="83" spans="1:15" s="18" customFormat="1" outlineLevel="1">
      <c r="A83" s="4"/>
      <c r="B83" s="536" t="s">
        <v>511</v>
      </c>
      <c r="C83" s="819"/>
      <c r="D83" s="46"/>
      <c r="E83" s="46"/>
      <c r="F83" s="46"/>
      <c r="G83" s="46"/>
      <c r="H83" s="46"/>
      <c r="I83" s="46"/>
      <c r="J83" s="46"/>
      <c r="K83" s="46"/>
      <c r="L83" s="46"/>
      <c r="M83" s="46"/>
      <c r="N83" s="46"/>
      <c r="O83" s="69"/>
    </row>
    <row r="84" spans="1:15" s="18" customFormat="1" outlineLevel="1">
      <c r="A84" s="4"/>
      <c r="B84" s="536" t="s">
        <v>489</v>
      </c>
      <c r="C84" s="819"/>
      <c r="D84" s="46"/>
      <c r="E84" s="46"/>
      <c r="F84" s="46"/>
      <c r="G84" s="46"/>
      <c r="H84" s="46"/>
      <c r="I84" s="46"/>
      <c r="J84" s="46"/>
      <c r="K84" s="46"/>
      <c r="L84" s="46"/>
      <c r="M84" s="46"/>
      <c r="N84" s="46"/>
      <c r="O84" s="69"/>
    </row>
    <row r="85" spans="1:15" s="18" customFormat="1">
      <c r="A85" s="4"/>
      <c r="B85" s="536" t="s">
        <v>512</v>
      </c>
      <c r="C85" s="82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21">
        <f>'2. LRAMVA Threshold'!N43</f>
        <v>0</v>
      </c>
      <c r="D88" s="46"/>
      <c r="E88" s="46"/>
      <c r="F88" s="46"/>
      <c r="G88" s="46"/>
      <c r="H88" s="46"/>
      <c r="I88" s="46"/>
      <c r="J88" s="46"/>
      <c r="K88" s="46"/>
      <c r="L88" s="46"/>
      <c r="M88" s="46"/>
      <c r="N88" s="46"/>
      <c r="O88" s="69"/>
    </row>
    <row r="89" spans="1:15" s="18" customFormat="1" outlineLevel="1">
      <c r="A89" s="4"/>
      <c r="B89" s="536" t="s">
        <v>510</v>
      </c>
      <c r="C89" s="819"/>
      <c r="D89" s="46"/>
      <c r="E89" s="46"/>
      <c r="F89" s="46"/>
      <c r="G89" s="46"/>
      <c r="H89" s="46"/>
      <c r="I89" s="46"/>
      <c r="J89" s="46"/>
      <c r="K89" s="46"/>
      <c r="L89" s="46"/>
      <c r="M89" s="46"/>
      <c r="N89" s="46"/>
      <c r="O89" s="69"/>
    </row>
    <row r="90" spans="1:15" s="18" customFormat="1" outlineLevel="1">
      <c r="A90" s="4"/>
      <c r="B90" s="536" t="s">
        <v>511</v>
      </c>
      <c r="C90" s="819"/>
      <c r="D90" s="46"/>
      <c r="E90" s="46"/>
      <c r="F90" s="46"/>
      <c r="G90" s="46"/>
      <c r="H90" s="46"/>
      <c r="I90" s="46"/>
      <c r="J90" s="46"/>
      <c r="K90" s="46"/>
      <c r="L90" s="46"/>
      <c r="M90" s="46"/>
      <c r="N90" s="46"/>
      <c r="O90" s="69"/>
    </row>
    <row r="91" spans="1:15" s="18" customFormat="1" outlineLevel="1">
      <c r="A91" s="4"/>
      <c r="B91" s="536" t="s">
        <v>489</v>
      </c>
      <c r="C91" s="819"/>
      <c r="D91" s="46"/>
      <c r="E91" s="46"/>
      <c r="F91" s="46"/>
      <c r="G91" s="46"/>
      <c r="H91" s="46"/>
      <c r="I91" s="46"/>
      <c r="J91" s="46"/>
      <c r="K91" s="46"/>
      <c r="L91" s="46"/>
      <c r="M91" s="46"/>
      <c r="N91" s="46"/>
      <c r="O91" s="69"/>
    </row>
    <row r="92" spans="1:15" s="18" customFormat="1">
      <c r="A92" s="4"/>
      <c r="B92" s="536" t="s">
        <v>512</v>
      </c>
      <c r="C92" s="82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21">
        <f>'2. LRAMVA Threshold'!O43</f>
        <v>0</v>
      </c>
      <c r="D95" s="46"/>
      <c r="E95" s="46"/>
      <c r="F95" s="46"/>
      <c r="G95" s="46"/>
      <c r="H95" s="46"/>
      <c r="I95" s="46"/>
      <c r="J95" s="46"/>
      <c r="K95" s="46"/>
      <c r="L95" s="46"/>
      <c r="M95" s="46"/>
      <c r="N95" s="46"/>
      <c r="O95" s="69"/>
    </row>
    <row r="96" spans="1:15" s="18" customFormat="1" outlineLevel="1">
      <c r="A96" s="4"/>
      <c r="B96" s="536" t="s">
        <v>510</v>
      </c>
      <c r="C96" s="819"/>
      <c r="D96" s="46"/>
      <c r="E96" s="46"/>
      <c r="F96" s="46"/>
      <c r="G96" s="46"/>
      <c r="H96" s="46"/>
      <c r="I96" s="46"/>
      <c r="J96" s="46"/>
      <c r="K96" s="46"/>
      <c r="L96" s="46"/>
      <c r="M96" s="46"/>
      <c r="N96" s="46"/>
      <c r="O96" s="69"/>
    </row>
    <row r="97" spans="1:15" s="18" customFormat="1" outlineLevel="1">
      <c r="A97" s="4"/>
      <c r="B97" s="536" t="s">
        <v>511</v>
      </c>
      <c r="C97" s="819"/>
      <c r="D97" s="46"/>
      <c r="E97" s="46"/>
      <c r="F97" s="46"/>
      <c r="G97" s="46"/>
      <c r="H97" s="46"/>
      <c r="I97" s="46"/>
      <c r="J97" s="46"/>
      <c r="K97" s="46"/>
      <c r="L97" s="46"/>
      <c r="M97" s="46"/>
      <c r="N97" s="46"/>
      <c r="O97" s="69"/>
    </row>
    <row r="98" spans="1:15" s="18" customFormat="1" outlineLevel="1">
      <c r="A98" s="4"/>
      <c r="B98" s="536" t="s">
        <v>489</v>
      </c>
      <c r="C98" s="819"/>
      <c r="D98" s="46"/>
      <c r="E98" s="46"/>
      <c r="F98" s="46"/>
      <c r="G98" s="46"/>
      <c r="H98" s="46"/>
      <c r="I98" s="46"/>
      <c r="J98" s="46"/>
      <c r="K98" s="46"/>
      <c r="L98" s="46"/>
      <c r="M98" s="46"/>
      <c r="N98" s="46"/>
      <c r="O98" s="69"/>
    </row>
    <row r="99" spans="1:15" s="18" customFormat="1">
      <c r="A99" s="4"/>
      <c r="B99" s="536" t="s">
        <v>512</v>
      </c>
      <c r="C99" s="82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21">
        <f>'2. LRAMVA Threshold'!P43</f>
        <v>0</v>
      </c>
      <c r="D102" s="46"/>
      <c r="E102" s="46"/>
      <c r="F102" s="46"/>
      <c r="G102" s="46"/>
      <c r="H102" s="46"/>
      <c r="I102" s="46"/>
      <c r="J102" s="46"/>
      <c r="K102" s="46"/>
      <c r="L102" s="46"/>
      <c r="M102" s="46"/>
      <c r="N102" s="46"/>
      <c r="O102" s="69"/>
    </row>
    <row r="103" spans="1:15" s="18" customFormat="1" outlineLevel="1">
      <c r="A103" s="4"/>
      <c r="B103" s="536" t="s">
        <v>510</v>
      </c>
      <c r="C103" s="819"/>
      <c r="D103" s="46"/>
      <c r="E103" s="46"/>
      <c r="F103" s="46"/>
      <c r="G103" s="46"/>
      <c r="H103" s="46"/>
      <c r="I103" s="46"/>
      <c r="J103" s="46"/>
      <c r="K103" s="46"/>
      <c r="L103" s="46"/>
      <c r="M103" s="46"/>
      <c r="N103" s="46"/>
      <c r="O103" s="69"/>
    </row>
    <row r="104" spans="1:15" s="18" customFormat="1" outlineLevel="1">
      <c r="A104" s="4"/>
      <c r="B104" s="536" t="s">
        <v>511</v>
      </c>
      <c r="C104" s="819"/>
      <c r="D104" s="46"/>
      <c r="E104" s="46"/>
      <c r="F104" s="46"/>
      <c r="G104" s="46"/>
      <c r="H104" s="46"/>
      <c r="I104" s="46"/>
      <c r="J104" s="46"/>
      <c r="K104" s="46"/>
      <c r="L104" s="46"/>
      <c r="M104" s="46"/>
      <c r="N104" s="46"/>
      <c r="O104" s="69"/>
    </row>
    <row r="105" spans="1:15" s="18" customFormat="1" outlineLevel="1">
      <c r="A105" s="4"/>
      <c r="B105" s="536" t="s">
        <v>489</v>
      </c>
      <c r="C105" s="819"/>
      <c r="D105" s="46"/>
      <c r="E105" s="46"/>
      <c r="F105" s="46"/>
      <c r="G105" s="46"/>
      <c r="H105" s="46"/>
      <c r="I105" s="46"/>
      <c r="J105" s="46"/>
      <c r="K105" s="46"/>
      <c r="L105" s="46"/>
      <c r="M105" s="46"/>
      <c r="N105" s="46"/>
      <c r="O105" s="69"/>
    </row>
    <row r="106" spans="1:15" s="18" customFormat="1">
      <c r="A106" s="4"/>
      <c r="B106" s="536" t="s">
        <v>512</v>
      </c>
      <c r="C106" s="82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21">
        <f>'2. LRAMVA Threshold'!Q43</f>
        <v>0</v>
      </c>
      <c r="D109" s="46"/>
      <c r="E109" s="46"/>
      <c r="F109" s="46"/>
      <c r="G109" s="46"/>
      <c r="H109" s="46"/>
      <c r="I109" s="46"/>
      <c r="J109" s="46"/>
      <c r="K109" s="46"/>
      <c r="L109" s="46"/>
      <c r="M109" s="46"/>
      <c r="N109" s="46"/>
      <c r="O109" s="69"/>
    </row>
    <row r="110" spans="1:15" s="18" customFormat="1" outlineLevel="1">
      <c r="A110" s="4"/>
      <c r="B110" s="536" t="s">
        <v>510</v>
      </c>
      <c r="C110" s="819"/>
      <c r="D110" s="46"/>
      <c r="E110" s="46"/>
      <c r="F110" s="46"/>
      <c r="G110" s="46"/>
      <c r="H110" s="46"/>
      <c r="I110" s="46"/>
      <c r="J110" s="46"/>
      <c r="K110" s="46"/>
      <c r="L110" s="46"/>
      <c r="M110" s="46"/>
      <c r="N110" s="46"/>
      <c r="O110" s="69"/>
    </row>
    <row r="111" spans="1:15" s="18" customFormat="1" outlineLevel="1">
      <c r="A111" s="4"/>
      <c r="B111" s="536" t="s">
        <v>511</v>
      </c>
      <c r="C111" s="819"/>
      <c r="D111" s="46"/>
      <c r="E111" s="46"/>
      <c r="F111" s="46"/>
      <c r="G111" s="46"/>
      <c r="H111" s="46"/>
      <c r="I111" s="46"/>
      <c r="J111" s="46"/>
      <c r="K111" s="46"/>
      <c r="L111" s="46"/>
      <c r="M111" s="46"/>
      <c r="N111" s="46"/>
      <c r="O111" s="69"/>
    </row>
    <row r="112" spans="1:15" s="18" customFormat="1" outlineLevel="1">
      <c r="A112" s="4"/>
      <c r="B112" s="536" t="s">
        <v>489</v>
      </c>
      <c r="C112" s="819"/>
      <c r="D112" s="46"/>
      <c r="E112" s="46"/>
      <c r="F112" s="46"/>
      <c r="G112" s="46"/>
      <c r="H112" s="46"/>
      <c r="I112" s="46"/>
      <c r="J112" s="46"/>
      <c r="K112" s="46"/>
      <c r="L112" s="46"/>
      <c r="M112" s="46"/>
      <c r="N112" s="46"/>
      <c r="O112" s="69"/>
    </row>
    <row r="113" spans="1:17" s="18" customFormat="1">
      <c r="A113" s="4"/>
      <c r="B113" s="536" t="s">
        <v>512</v>
      </c>
      <c r="C113" s="82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605</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26" t="s">
        <v>662</v>
      </c>
      <c r="C120" s="826"/>
      <c r="D120" s="826"/>
      <c r="E120" s="826"/>
      <c r="F120" s="826"/>
      <c r="G120" s="826"/>
      <c r="H120" s="826"/>
      <c r="I120" s="826"/>
      <c r="J120" s="826"/>
      <c r="K120" s="826"/>
      <c r="L120" s="826"/>
      <c r="M120" s="826"/>
      <c r="N120" s="826"/>
      <c r="O120" s="826"/>
      <c r="P120" s="82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&gt; 50 to 4,999 Kw</v>
      </c>
      <c r="F122" s="244" t="str">
        <f>'1.  LRAMVA Summary'!G52</f>
        <v>Street Lighting</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1.03E-2</v>
      </c>
      <c r="D124" s="682">
        <f>HLOOKUP(B124,$E$15:$O$114,16,FALSE)</f>
        <v>8.0999999999999996E-3</v>
      </c>
      <c r="E124" s="683">
        <f>HLOOKUP(B124,$E$15:$O$114,23,FALSE)</f>
        <v>1.3703000000000001</v>
      </c>
      <c r="F124" s="682">
        <f>HLOOKUP(B124,$E$15:$O$114,30,FALSE)</f>
        <v>25.779399999999999</v>
      </c>
      <c r="G124" s="683">
        <f>HLOOKUP(B124,$E$15:$O$114,37,FALSE)</f>
        <v>8.2000000000000007E-3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1.04E-2</v>
      </c>
      <c r="D125" s="685">
        <f>HLOOKUP(B125,$E$15:$O$114,16,FALSE)</f>
        <v>8.2000000000000007E-3</v>
      </c>
      <c r="E125" s="686">
        <f>HLOOKUP(B125,$E$15:$O$114,23,FALSE)</f>
        <v>1.3792</v>
      </c>
      <c r="F125" s="685">
        <f>HLOOKUP(B125,$E$15:$O$114,30,FALSE)</f>
        <v>25.946100000000001</v>
      </c>
      <c r="G125" s="686">
        <f>HLOOKUP(B125,$E$15:$O$114,37,FALSE)</f>
        <v>8.3000000000000001E-3</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1.0699999999999999E-2</v>
      </c>
      <c r="D126" s="685">
        <f t="shared" ref="D126:D133" si="32">HLOOKUP(B126,$E$15:$O$114,16,FALSE)</f>
        <v>8.0999999999999996E-3</v>
      </c>
      <c r="E126" s="686">
        <f t="shared" ref="E126:E133" si="33">HLOOKUP(B126,$E$15:$O$114,23,FALSE)</f>
        <v>1.3580000000000001</v>
      </c>
      <c r="F126" s="685">
        <f t="shared" ref="F126:F133" si="34">HLOOKUP(B126,$E$15:$O$114,30,FALSE)</f>
        <v>25.462800000000001</v>
      </c>
      <c r="G126" s="686">
        <f t="shared" ref="G126:G132" si="35">HLOOKUP(B126,$E$15:$O$114,37,FALSE)</f>
        <v>8.3999999999999995E-3</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1.14E-2</v>
      </c>
      <c r="D127" s="685">
        <f>HLOOKUP(B127,$E$15:$O$114,16,FALSE)</f>
        <v>7.9000000000000008E-3</v>
      </c>
      <c r="E127" s="686">
        <f>HLOOKUP(B127,$E$15:$O$114,23,FALSE)</f>
        <v>1.2937000000000001</v>
      </c>
      <c r="F127" s="685">
        <f>HLOOKUP(B127,$E$15:$O$114,30,FALSE)</f>
        <v>26.136399999999998</v>
      </c>
      <c r="G127" s="686">
        <f>HLOOKUP(B127,$E$15:$O$114,37,FALSE)</f>
        <v>8.5000000000000006E-3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1.1599999999999999E-2</v>
      </c>
      <c r="D128" s="685">
        <f t="shared" si="32"/>
        <v>8.0000000000000002E-3</v>
      </c>
      <c r="E128" s="686">
        <f t="shared" si="33"/>
        <v>1.2978000000000001</v>
      </c>
      <c r="F128" s="685">
        <f t="shared" si="34"/>
        <v>27.266500000000001</v>
      </c>
      <c r="G128" s="686">
        <f t="shared" si="35"/>
        <v>8.6E-3</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9.7999999999999997E-3</v>
      </c>
      <c r="D129" s="685">
        <f t="shared" si="32"/>
        <v>8.0999999999999996E-3</v>
      </c>
      <c r="E129" s="686">
        <f t="shared" si="33"/>
        <v>1.3190999999999999</v>
      </c>
      <c r="F129" s="685">
        <f t="shared" si="34"/>
        <v>27.712199999999999</v>
      </c>
      <c r="G129" s="686">
        <f t="shared" si="35"/>
        <v>8.6999999999999994E-3</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7.0000000000000001E-3</v>
      </c>
      <c r="D130" s="685">
        <f t="shared" si="32"/>
        <v>8.2000000000000007E-3</v>
      </c>
      <c r="E130" s="686">
        <f t="shared" si="33"/>
        <v>1.341</v>
      </c>
      <c r="F130" s="685">
        <f t="shared" si="34"/>
        <v>28.1738</v>
      </c>
      <c r="G130" s="686">
        <f t="shared" si="35"/>
        <v>8.8999999999999999E-3</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2" si="44">HLOOKUP(B131,$E$15:$O$114,9,FALSE)</f>
        <v>4.1000000000000003E-3</v>
      </c>
      <c r="D131" s="685">
        <f t="shared" si="32"/>
        <v>9.5999999999999992E-3</v>
      </c>
      <c r="E131" s="686">
        <f t="shared" si="33"/>
        <v>1.3166</v>
      </c>
      <c r="F131" s="685">
        <f t="shared" si="34"/>
        <v>16.7288</v>
      </c>
      <c r="G131" s="686">
        <f t="shared" si="35"/>
        <v>3.0000000000000001E-3</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1.1000000000000001E-3</v>
      </c>
      <c r="D132" s="685">
        <f t="shared" si="32"/>
        <v>1.0200000000000001E-2</v>
      </c>
      <c r="E132" s="686">
        <f t="shared" si="33"/>
        <v>1.3112999999999999</v>
      </c>
      <c r="F132" s="685">
        <f t="shared" si="34"/>
        <v>10.972099999999999</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HLOOKUP(B133,$E$15:$O$114,9,FALSE)</f>
        <v>0</v>
      </c>
      <c r="D133" s="688">
        <f t="shared" si="32"/>
        <v>1.03E-2</v>
      </c>
      <c r="E133" s="689">
        <f t="shared" si="33"/>
        <v>1.3313999999999999</v>
      </c>
      <c r="F133" s="688">
        <f t="shared" si="34"/>
        <v>11.1167</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621</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3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325" zoomScale="60" zoomScaleNormal="60" zoomScaleSheetLayoutView="80" zoomScalePageLayoutView="85" workbookViewId="0">
      <selection activeCell="D412" sqref="D412"/>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23" t="s">
        <v>550</v>
      </c>
      <c r="D5" s="82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0" t="s">
        <v>504</v>
      </c>
      <c r="C7" s="839" t="s">
        <v>622</v>
      </c>
      <c r="D7" s="839"/>
      <c r="E7" s="839"/>
      <c r="F7" s="839"/>
      <c r="G7" s="839"/>
      <c r="H7" s="839"/>
      <c r="I7" s="839"/>
      <c r="J7" s="839"/>
      <c r="K7" s="839"/>
      <c r="L7" s="839"/>
      <c r="M7" s="839"/>
      <c r="N7" s="839"/>
      <c r="O7" s="839"/>
      <c r="P7" s="839"/>
      <c r="Q7" s="839"/>
      <c r="R7" s="839"/>
      <c r="S7" s="839"/>
      <c r="T7" s="839"/>
      <c r="U7" s="839"/>
      <c r="V7" s="839"/>
      <c r="W7" s="839"/>
      <c r="X7" s="839"/>
      <c r="Y7" s="606"/>
      <c r="Z7" s="606"/>
      <c r="AA7" s="606"/>
      <c r="AB7" s="606"/>
      <c r="AC7" s="606"/>
      <c r="AD7" s="606"/>
      <c r="AE7" s="270"/>
      <c r="AF7" s="270"/>
      <c r="AG7" s="270"/>
      <c r="AH7" s="270"/>
      <c r="AI7" s="270"/>
      <c r="AJ7" s="270"/>
      <c r="AK7" s="270"/>
      <c r="AL7" s="270"/>
    </row>
    <row r="8" spans="1:39" s="271" customFormat="1" ht="58.5" customHeight="1">
      <c r="A8" s="509"/>
      <c r="B8" s="840"/>
      <c r="C8" s="839" t="s">
        <v>563</v>
      </c>
      <c r="D8" s="839"/>
      <c r="E8" s="839"/>
      <c r="F8" s="839"/>
      <c r="G8" s="839"/>
      <c r="H8" s="839"/>
      <c r="I8" s="839"/>
      <c r="J8" s="839"/>
      <c r="K8" s="839"/>
      <c r="L8" s="839"/>
      <c r="M8" s="839"/>
      <c r="N8" s="839"/>
      <c r="O8" s="839"/>
      <c r="P8" s="839"/>
      <c r="Q8" s="839"/>
      <c r="R8" s="839"/>
      <c r="S8" s="839"/>
      <c r="T8" s="839"/>
      <c r="U8" s="839"/>
      <c r="V8" s="839"/>
      <c r="W8" s="839"/>
      <c r="X8" s="839"/>
      <c r="Y8" s="606"/>
      <c r="Z8" s="606"/>
      <c r="AA8" s="606"/>
      <c r="AB8" s="606"/>
      <c r="AC8" s="606"/>
      <c r="AD8" s="606"/>
      <c r="AE8" s="272"/>
      <c r="AF8" s="255"/>
      <c r="AG8" s="255"/>
      <c r="AH8" s="255"/>
      <c r="AI8" s="255"/>
      <c r="AJ8" s="255"/>
      <c r="AK8" s="255"/>
      <c r="AL8" s="255"/>
      <c r="AM8" s="256"/>
    </row>
    <row r="9" spans="1:39" s="271" customFormat="1" ht="57.75" customHeight="1">
      <c r="A9" s="509"/>
      <c r="B9" s="273"/>
      <c r="C9" s="839" t="s">
        <v>562</v>
      </c>
      <c r="D9" s="839"/>
      <c r="E9" s="839"/>
      <c r="F9" s="839"/>
      <c r="G9" s="839"/>
      <c r="H9" s="839"/>
      <c r="I9" s="839"/>
      <c r="J9" s="839"/>
      <c r="K9" s="839"/>
      <c r="L9" s="839"/>
      <c r="M9" s="839"/>
      <c r="N9" s="839"/>
      <c r="O9" s="839"/>
      <c r="P9" s="839"/>
      <c r="Q9" s="839"/>
      <c r="R9" s="839"/>
      <c r="S9" s="839"/>
      <c r="T9" s="839"/>
      <c r="U9" s="839"/>
      <c r="V9" s="839"/>
      <c r="W9" s="839"/>
      <c r="X9" s="839"/>
      <c r="Y9" s="606"/>
      <c r="Z9" s="606"/>
      <c r="AA9" s="606"/>
      <c r="AB9" s="606"/>
      <c r="AC9" s="606"/>
      <c r="AD9" s="606"/>
      <c r="AE9" s="272"/>
      <c r="AF9" s="255"/>
      <c r="AG9" s="255"/>
      <c r="AH9" s="255"/>
      <c r="AI9" s="255"/>
      <c r="AJ9" s="255"/>
      <c r="AK9" s="255"/>
      <c r="AL9" s="255"/>
      <c r="AM9" s="256"/>
    </row>
    <row r="10" spans="1:39" ht="41.25" customHeight="1">
      <c r="B10" s="275"/>
      <c r="C10" s="839" t="s">
        <v>624</v>
      </c>
      <c r="D10" s="839"/>
      <c r="E10" s="839"/>
      <c r="F10" s="839"/>
      <c r="G10" s="839"/>
      <c r="H10" s="839"/>
      <c r="I10" s="839"/>
      <c r="J10" s="839"/>
      <c r="K10" s="839"/>
      <c r="L10" s="839"/>
      <c r="M10" s="839"/>
      <c r="N10" s="839"/>
      <c r="O10" s="839"/>
      <c r="P10" s="839"/>
      <c r="Q10" s="839"/>
      <c r="R10" s="839"/>
      <c r="S10" s="839"/>
      <c r="T10" s="839"/>
      <c r="U10" s="839"/>
      <c r="V10" s="839"/>
      <c r="W10" s="839"/>
      <c r="X10" s="839"/>
      <c r="Y10" s="606"/>
      <c r="Z10" s="606"/>
      <c r="AA10" s="606"/>
      <c r="AB10" s="606"/>
      <c r="AC10" s="606"/>
      <c r="AD10" s="606"/>
      <c r="AE10" s="272"/>
      <c r="AF10" s="276"/>
      <c r="AG10" s="276"/>
      <c r="AH10" s="276"/>
      <c r="AI10" s="276"/>
      <c r="AJ10" s="276"/>
      <c r="AK10" s="276"/>
      <c r="AL10" s="276"/>
    </row>
    <row r="11" spans="1:39" ht="53.25" customHeight="1">
      <c r="C11" s="839" t="s">
        <v>611</v>
      </c>
      <c r="D11" s="839"/>
      <c r="E11" s="839"/>
      <c r="F11" s="839"/>
      <c r="G11" s="839"/>
      <c r="H11" s="839"/>
      <c r="I11" s="839"/>
      <c r="J11" s="839"/>
      <c r="K11" s="839"/>
      <c r="L11" s="839"/>
      <c r="M11" s="839"/>
      <c r="N11" s="839"/>
      <c r="O11" s="839"/>
      <c r="P11" s="839"/>
      <c r="Q11" s="839"/>
      <c r="R11" s="839"/>
      <c r="S11" s="839"/>
      <c r="T11" s="839"/>
      <c r="U11" s="839"/>
      <c r="V11" s="839"/>
      <c r="W11" s="839"/>
      <c r="X11" s="83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0"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40"/>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30" t="s">
        <v>211</v>
      </c>
      <c r="C19" s="832" t="s">
        <v>33</v>
      </c>
      <c r="D19" s="284" t="s">
        <v>421</v>
      </c>
      <c r="E19" s="834" t="s">
        <v>209</v>
      </c>
      <c r="F19" s="835"/>
      <c r="G19" s="835"/>
      <c r="H19" s="835"/>
      <c r="I19" s="835"/>
      <c r="J19" s="835"/>
      <c r="K19" s="835"/>
      <c r="L19" s="835"/>
      <c r="M19" s="836"/>
      <c r="N19" s="837" t="s">
        <v>213</v>
      </c>
      <c r="O19" s="284" t="s">
        <v>422</v>
      </c>
      <c r="P19" s="834" t="s">
        <v>212</v>
      </c>
      <c r="Q19" s="835"/>
      <c r="R19" s="835"/>
      <c r="S19" s="835"/>
      <c r="T19" s="835"/>
      <c r="U19" s="835"/>
      <c r="V19" s="835"/>
      <c r="W19" s="835"/>
      <c r="X19" s="836"/>
      <c r="Y19" s="827" t="s">
        <v>243</v>
      </c>
      <c r="Z19" s="828"/>
      <c r="AA19" s="828"/>
      <c r="AB19" s="828"/>
      <c r="AC19" s="828"/>
      <c r="AD19" s="828"/>
      <c r="AE19" s="828"/>
      <c r="AF19" s="828"/>
      <c r="AG19" s="828"/>
      <c r="AH19" s="828"/>
      <c r="AI19" s="828"/>
      <c r="AJ19" s="828"/>
      <c r="AK19" s="828"/>
      <c r="AL19" s="828"/>
      <c r="AM19" s="829"/>
    </row>
    <row r="20" spans="1:39" s="283" customFormat="1" ht="59.25" customHeight="1">
      <c r="A20" s="509"/>
      <c r="B20" s="831"/>
      <c r="C20" s="833"/>
      <c r="D20" s="285">
        <v>2011</v>
      </c>
      <c r="E20" s="285">
        <v>2012</v>
      </c>
      <c r="F20" s="285">
        <v>2013</v>
      </c>
      <c r="G20" s="285">
        <v>2014</v>
      </c>
      <c r="H20" s="285">
        <v>2015</v>
      </c>
      <c r="I20" s="285">
        <v>2016</v>
      </c>
      <c r="J20" s="285">
        <v>2017</v>
      </c>
      <c r="K20" s="285">
        <v>2018</v>
      </c>
      <c r="L20" s="285">
        <v>2019</v>
      </c>
      <c r="M20" s="285">
        <v>2020</v>
      </c>
      <c r="N20" s="83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&gt; 50 to 4,999 Kw</v>
      </c>
      <c r="AB20" s="286" t="str">
        <f>'1.  LRAMVA Summary'!G52</f>
        <v>Street Lighting</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13344</v>
      </c>
      <c r="E22" s="295">
        <v>13343.589992032805</v>
      </c>
      <c r="F22" s="295">
        <v>13343.589992032805</v>
      </c>
      <c r="G22" s="295">
        <v>13141.661322574084</v>
      </c>
      <c r="H22" s="295">
        <v>10116.675836750601</v>
      </c>
      <c r="I22" s="295">
        <v>0</v>
      </c>
      <c r="J22" s="295">
        <v>0</v>
      </c>
      <c r="K22" s="295">
        <v>0</v>
      </c>
      <c r="L22" s="295">
        <v>0</v>
      </c>
      <c r="M22" s="295">
        <v>0</v>
      </c>
      <c r="N22" s="291"/>
      <c r="O22" s="295">
        <v>2</v>
      </c>
      <c r="P22" s="295">
        <v>2.0788510457420246</v>
      </c>
      <c r="Q22" s="295">
        <v>2.0788510457420246</v>
      </c>
      <c r="R22" s="295">
        <v>1.853044312366948</v>
      </c>
      <c r="S22" s="295">
        <v>1.3301377402162864</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113</v>
      </c>
      <c r="E25" s="295">
        <v>112.92648344430117</v>
      </c>
      <c r="F25" s="295">
        <v>112.92648344430117</v>
      </c>
      <c r="G25" s="295">
        <v>47.860878296941074</v>
      </c>
      <c r="H25" s="295">
        <v>0</v>
      </c>
      <c r="I25" s="295">
        <v>0</v>
      </c>
      <c r="J25" s="295">
        <v>0</v>
      </c>
      <c r="K25" s="295">
        <v>0</v>
      </c>
      <c r="L25" s="295">
        <v>0</v>
      </c>
      <c r="M25" s="295">
        <v>0</v>
      </c>
      <c r="N25" s="291"/>
      <c r="O25" s="295"/>
      <c r="P25" s="295"/>
      <c r="Q25" s="295"/>
      <c r="R25" s="295"/>
      <c r="S25" s="295"/>
      <c r="T25" s="295"/>
      <c r="U25" s="295"/>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1408</v>
      </c>
      <c r="E28" s="295">
        <v>1408.0164354835238</v>
      </c>
      <c r="F28" s="295">
        <v>1408.0164354835238</v>
      </c>
      <c r="G28" s="295">
        <v>1408.0164354835238</v>
      </c>
      <c r="H28" s="295">
        <v>1408.0164354835238</v>
      </c>
      <c r="I28" s="295">
        <v>1408.0164354835238</v>
      </c>
      <c r="J28" s="295">
        <v>1408.0164354835238</v>
      </c>
      <c r="K28" s="295">
        <v>1408.0164354835238</v>
      </c>
      <c r="L28" s="295">
        <v>1408.0164354835238</v>
      </c>
      <c r="M28" s="295">
        <v>1408.0164354835238</v>
      </c>
      <c r="N28" s="291"/>
      <c r="O28" s="295">
        <v>1</v>
      </c>
      <c r="P28" s="295">
        <v>0.71595642664905335</v>
      </c>
      <c r="Q28" s="295">
        <v>0.71595642664905335</v>
      </c>
      <c r="R28" s="295">
        <v>0.71595642664905335</v>
      </c>
      <c r="S28" s="295">
        <v>0.71595642664905335</v>
      </c>
      <c r="T28" s="295">
        <v>0.71595642664905335</v>
      </c>
      <c r="U28" s="295">
        <v>0.71595642664905335</v>
      </c>
      <c r="V28" s="295">
        <v>0.71595642664905335</v>
      </c>
      <c r="W28" s="295">
        <v>0.71595642664905335</v>
      </c>
      <c r="X28" s="295">
        <v>0.71595642664905335</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-146</v>
      </c>
      <c r="E29" s="295">
        <v>-145.74320761595263</v>
      </c>
      <c r="F29" s="295">
        <v>-145.74320761595263</v>
      </c>
      <c r="G29" s="295">
        <v>-145.74320761595263</v>
      </c>
      <c r="H29" s="295">
        <v>-145.74320761595263</v>
      </c>
      <c r="I29" s="295">
        <v>-145.74320761595263</v>
      </c>
      <c r="J29" s="295">
        <v>-145.74320761595263</v>
      </c>
      <c r="K29" s="295">
        <v>-145.74320761595263</v>
      </c>
      <c r="L29" s="295">
        <v>-145.74320761595263</v>
      </c>
      <c r="M29" s="295">
        <v>-145.74320761595263</v>
      </c>
      <c r="N29" s="468"/>
      <c r="O29" s="295"/>
      <c r="P29" s="295"/>
      <c r="Q29" s="295"/>
      <c r="R29" s="295"/>
      <c r="S29" s="295"/>
      <c r="T29" s="295"/>
      <c r="U29" s="295"/>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15771</v>
      </c>
      <c r="E31" s="295">
        <v>15770.737320741542</v>
      </c>
      <c r="F31" s="295">
        <v>15770.737320741542</v>
      </c>
      <c r="G31" s="295">
        <v>15770.737320741542</v>
      </c>
      <c r="H31" s="295">
        <v>14518.895693484235</v>
      </c>
      <c r="I31" s="295">
        <v>13151.31144696384</v>
      </c>
      <c r="J31" s="295">
        <v>10316.066042429868</v>
      </c>
      <c r="K31" s="295">
        <v>10250.11172090342</v>
      </c>
      <c r="L31" s="295">
        <v>12869.537594681124</v>
      </c>
      <c r="M31" s="295">
        <v>5007.5770889573914</v>
      </c>
      <c r="N31" s="291"/>
      <c r="O31" s="295">
        <v>1</v>
      </c>
      <c r="P31" s="295">
        <v>0.96713611739315808</v>
      </c>
      <c r="Q31" s="295">
        <v>0.96713611739315808</v>
      </c>
      <c r="R31" s="295">
        <v>0.96713611739315808</v>
      </c>
      <c r="S31" s="295">
        <v>0.90917215698942377</v>
      </c>
      <c r="T31" s="295">
        <v>0.84584897186116192</v>
      </c>
      <c r="U31" s="295">
        <v>0.71456874536530879</v>
      </c>
      <c r="V31" s="295">
        <v>0.70703971322758641</v>
      </c>
      <c r="W31" s="295">
        <v>0.82832685875958245</v>
      </c>
      <c r="X31" s="295">
        <v>0.46429489375142036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232</v>
      </c>
      <c r="E32" s="295">
        <v>231.689431189977</v>
      </c>
      <c r="F32" s="295">
        <v>231.689431189977</v>
      </c>
      <c r="G32" s="295">
        <v>231.689431189977</v>
      </c>
      <c r="H32" s="295">
        <v>231.689431189977</v>
      </c>
      <c r="I32" s="295">
        <v>211.69017996293795</v>
      </c>
      <c r="J32" s="295">
        <v>129.87009539698573</v>
      </c>
      <c r="K32" s="295">
        <v>129.69327415964941</v>
      </c>
      <c r="L32" s="295">
        <v>129.69327415964941</v>
      </c>
      <c r="M32" s="295">
        <v>45.939255370185691</v>
      </c>
      <c r="N32" s="468"/>
      <c r="O32" s="295"/>
      <c r="P32" s="295"/>
      <c r="Q32" s="295"/>
      <c r="R32" s="295"/>
      <c r="S32" s="295"/>
      <c r="T32" s="295"/>
      <c r="U32" s="295"/>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24700</v>
      </c>
      <c r="E34" s="295">
        <v>24700.304699847838</v>
      </c>
      <c r="F34" s="295">
        <v>24700.304699847838</v>
      </c>
      <c r="G34" s="295">
        <v>24700.304699847838</v>
      </c>
      <c r="H34" s="295">
        <v>22574.25944631996</v>
      </c>
      <c r="I34" s="295">
        <v>20251.644562131762</v>
      </c>
      <c r="J34" s="295">
        <v>15268.448989731694</v>
      </c>
      <c r="K34" s="295">
        <v>15212.750299970754</v>
      </c>
      <c r="L34" s="295">
        <v>19661.410437686831</v>
      </c>
      <c r="M34" s="295">
        <v>6309.1752565971346</v>
      </c>
      <c r="N34" s="291"/>
      <c r="O34" s="295">
        <v>1</v>
      </c>
      <c r="P34" s="295">
        <v>1.4132902044704729</v>
      </c>
      <c r="Q34" s="295">
        <v>1.4132902044704729</v>
      </c>
      <c r="R34" s="295">
        <v>1.4132902044704729</v>
      </c>
      <c r="S34" s="295">
        <v>1.314848037179684</v>
      </c>
      <c r="T34" s="295">
        <v>1.2073041160886684</v>
      </c>
      <c r="U34" s="295">
        <v>0.97656746014641405</v>
      </c>
      <c r="V34" s="295">
        <v>0.9702091622284984</v>
      </c>
      <c r="W34" s="295">
        <v>1.1761952506103031</v>
      </c>
      <c r="X34" s="295">
        <v>0.55794737125698979</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1835</v>
      </c>
      <c r="E35" s="295">
        <v>1835.1501569101656</v>
      </c>
      <c r="F35" s="295">
        <v>1835.1501569101656</v>
      </c>
      <c r="G35" s="295">
        <v>1835.1501569101656</v>
      </c>
      <c r="H35" s="295">
        <v>1835.1501569101656</v>
      </c>
      <c r="I35" s="295">
        <v>1667.6254725204228</v>
      </c>
      <c r="J35" s="295">
        <v>900.33290790587284</v>
      </c>
      <c r="K35" s="295">
        <v>900.14948783191562</v>
      </c>
      <c r="L35" s="295">
        <v>900.14948783191562</v>
      </c>
      <c r="M35" s="295">
        <v>198.57994381280255</v>
      </c>
      <c r="N35" s="468"/>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5986</v>
      </c>
      <c r="E53" s="295">
        <v>5986.3738864668394</v>
      </c>
      <c r="F53" s="295">
        <v>5986.3738864668394</v>
      </c>
      <c r="G53" s="295">
        <v>5986.3738864668394</v>
      </c>
      <c r="H53" s="295">
        <v>5986.3738864668394</v>
      </c>
      <c r="I53" s="295">
        <v>5986.3738864668394</v>
      </c>
      <c r="J53" s="295">
        <v>927.78337474374803</v>
      </c>
      <c r="K53" s="295">
        <v>927.78337474374803</v>
      </c>
      <c r="L53" s="295">
        <v>927.78337474374803</v>
      </c>
      <c r="M53" s="295">
        <v>927.78337474374803</v>
      </c>
      <c r="N53" s="295">
        <v>12</v>
      </c>
      <c r="O53" s="295">
        <v>2</v>
      </c>
      <c r="P53" s="295">
        <v>2.4160712191013309</v>
      </c>
      <c r="Q53" s="295">
        <v>2.4160712191013309</v>
      </c>
      <c r="R53" s="295">
        <v>2.4160712191013309</v>
      </c>
      <c r="S53" s="295">
        <v>2.4160712191013309</v>
      </c>
      <c r="T53" s="295">
        <v>2.4160712191013309</v>
      </c>
      <c r="U53" s="295">
        <v>0.37445071349925246</v>
      </c>
      <c r="V53" s="295">
        <v>0.37445071349925246</v>
      </c>
      <c r="W53" s="295">
        <v>0.37445071349925246</v>
      </c>
      <c r="X53" s="295">
        <v>0.37445071349925246</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174</v>
      </c>
      <c r="E105" s="295">
        <v>174.09298651494277</v>
      </c>
      <c r="F105" s="295">
        <v>174.09298651494277</v>
      </c>
      <c r="G105" s="295">
        <v>174.09298651494277</v>
      </c>
      <c r="H105" s="295">
        <v>174.09298651494277</v>
      </c>
      <c r="I105" s="295">
        <v>174.09298651494277</v>
      </c>
      <c r="J105" s="295">
        <v>174.09298651494277</v>
      </c>
      <c r="K105" s="295">
        <v>174.09298651494277</v>
      </c>
      <c r="L105" s="295">
        <v>174.09298651494277</v>
      </c>
      <c r="M105" s="295">
        <v>174.09298651494277</v>
      </c>
      <c r="N105" s="295">
        <v>12</v>
      </c>
      <c r="O105" s="295"/>
      <c r="P105" s="295"/>
      <c r="Q105" s="295"/>
      <c r="R105" s="295"/>
      <c r="S105" s="295"/>
      <c r="T105" s="295"/>
      <c r="U105" s="295"/>
      <c r="V105" s="295"/>
      <c r="W105" s="295"/>
      <c r="X105" s="295"/>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63417</v>
      </c>
      <c r="E127" s="328"/>
      <c r="F127" s="328"/>
      <c r="G127" s="328"/>
      <c r="H127" s="328"/>
      <c r="I127" s="328"/>
      <c r="J127" s="328"/>
      <c r="K127" s="328"/>
      <c r="L127" s="328"/>
      <c r="M127" s="328"/>
      <c r="N127" s="328"/>
      <c r="O127" s="328">
        <f>SUM(O22:O125)</f>
        <v>7</v>
      </c>
      <c r="P127" s="328"/>
      <c r="Q127" s="328"/>
      <c r="R127" s="328"/>
      <c r="S127" s="328"/>
      <c r="T127" s="328"/>
      <c r="U127" s="328"/>
      <c r="V127" s="328"/>
      <c r="W127" s="328"/>
      <c r="X127" s="328"/>
      <c r="Y127" s="329">
        <f>IF(Y21="kWh",SUMPRODUCT(D22:D125,Y22:Y125))</f>
        <v>57257</v>
      </c>
      <c r="Z127" s="329">
        <f>IF(Z21="kWh",SUMPRODUCT(D22:D125,Z22:Z125))</f>
        <v>5986</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1.03E-2</v>
      </c>
      <c r="Z130" s="341">
        <f>HLOOKUP(Z$20,'3.  Distribution Rates'!$C$122:$P$133,3,FALSE)</f>
        <v>8.0999999999999996E-3</v>
      </c>
      <c r="AA130" s="341">
        <f>HLOOKUP(AA$20,'3.  Distribution Rates'!$C$122:$P$133,3,FALSE)</f>
        <v>1.3703000000000001</v>
      </c>
      <c r="AB130" s="341">
        <f>HLOOKUP(AB$20,'3.  Distribution Rates'!$C$122:$P$133,3,FALSE)</f>
        <v>25.779399999999999</v>
      </c>
      <c r="AC130" s="341">
        <f>HLOOKUP(AC$20,'3.  Distribution Rates'!$C$122:$P$133,3,FALSE)</f>
        <v>8.2000000000000007E-3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589.74710000000005</v>
      </c>
      <c r="Z131" s="346">
        <f t="shared" si="33"/>
        <v>48.486599999999996</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638.2337</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638.2337</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57256.671312034203</v>
      </c>
      <c r="Z135" s="291">
        <f>SUMPRODUCT(E22:E125,Z22:Z125)</f>
        <v>5986.3738864668394</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57256.671312034203</v>
      </c>
      <c r="Z136" s="291">
        <f>SUMPRODUCT(F22:F125,Z22:Z125)</f>
        <v>5986.3738864668394</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56989.677037428119</v>
      </c>
      <c r="Z137" s="291">
        <f>SUMPRODUCT(G22:G125,Z22:Z125)</f>
        <v>5986.3738864668394</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50538.943792522514</v>
      </c>
      <c r="Z138" s="291">
        <f>SUMPRODUCT(H22:H125,Z22:Z125)</f>
        <v>5986.3738864668394</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36544.54488944653</v>
      </c>
      <c r="Z139" s="291">
        <f>SUMPRODUCT(I22:I125,Z22:Z125)</f>
        <v>5986.3738864668394</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27876.991263331987</v>
      </c>
      <c r="Z140" s="291">
        <f>SUMPRODUCT(J22:J125,Z22:Z125)</f>
        <v>927.78337474374803</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27754.978010733314</v>
      </c>
      <c r="Z141" s="291">
        <f>SUMPRODUCT(K22:K125,Z22:Z125)</f>
        <v>927.78337474374803</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34823.064022227089</v>
      </c>
      <c r="Z142" s="291">
        <f>SUMPRODUCT(L22:L125,Z22:Z125)</f>
        <v>927.78337474374803</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12823.544772605086</v>
      </c>
      <c r="Z143" s="326">
        <f>SUMPRODUCT(M22:M125,Z22:Z125)</f>
        <v>927.78337474374803</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30" t="s">
        <v>211</v>
      </c>
      <c r="C147" s="832" t="s">
        <v>33</v>
      </c>
      <c r="D147" s="284" t="s">
        <v>421</v>
      </c>
      <c r="E147" s="834" t="s">
        <v>209</v>
      </c>
      <c r="F147" s="835"/>
      <c r="G147" s="835"/>
      <c r="H147" s="835"/>
      <c r="I147" s="835"/>
      <c r="J147" s="835"/>
      <c r="K147" s="835"/>
      <c r="L147" s="835"/>
      <c r="M147" s="836"/>
      <c r="N147" s="837" t="s">
        <v>213</v>
      </c>
      <c r="O147" s="284" t="s">
        <v>422</v>
      </c>
      <c r="P147" s="834" t="s">
        <v>212</v>
      </c>
      <c r="Q147" s="835"/>
      <c r="R147" s="835"/>
      <c r="S147" s="835"/>
      <c r="T147" s="835"/>
      <c r="U147" s="835"/>
      <c r="V147" s="835"/>
      <c r="W147" s="835"/>
      <c r="X147" s="836"/>
      <c r="Y147" s="827" t="s">
        <v>243</v>
      </c>
      <c r="Z147" s="828"/>
      <c r="AA147" s="828"/>
      <c r="AB147" s="828"/>
      <c r="AC147" s="828"/>
      <c r="AD147" s="828"/>
      <c r="AE147" s="828"/>
      <c r="AF147" s="828"/>
      <c r="AG147" s="828"/>
      <c r="AH147" s="828"/>
      <c r="AI147" s="828"/>
      <c r="AJ147" s="828"/>
      <c r="AK147" s="828"/>
      <c r="AL147" s="828"/>
      <c r="AM147" s="829"/>
    </row>
    <row r="148" spans="1:39" ht="60.75" customHeight="1">
      <c r="B148" s="831"/>
      <c r="C148" s="833"/>
      <c r="D148" s="285">
        <v>2012</v>
      </c>
      <c r="E148" s="285">
        <v>2013</v>
      </c>
      <c r="F148" s="285">
        <v>2014</v>
      </c>
      <c r="G148" s="285">
        <v>2015</v>
      </c>
      <c r="H148" s="285">
        <v>2016</v>
      </c>
      <c r="I148" s="285">
        <v>2017</v>
      </c>
      <c r="J148" s="285">
        <v>2018</v>
      </c>
      <c r="K148" s="285">
        <v>2019</v>
      </c>
      <c r="L148" s="285">
        <v>2020</v>
      </c>
      <c r="M148" s="285">
        <v>2021</v>
      </c>
      <c r="N148" s="83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&gt; 50 to 4,999 Kw</v>
      </c>
      <c r="AB148" s="285" t="str">
        <f>'1.  LRAMVA Summary'!G52</f>
        <v>Street Lighting</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10613</v>
      </c>
      <c r="E150" s="295">
        <v>10613.496736147417</v>
      </c>
      <c r="F150" s="295">
        <v>10613.496736147417</v>
      </c>
      <c r="G150" s="295">
        <v>10613.496736147417</v>
      </c>
      <c r="H150" s="295">
        <v>9707.6258725595853</v>
      </c>
      <c r="I150" s="295">
        <v>0</v>
      </c>
      <c r="J150" s="295">
        <v>0</v>
      </c>
      <c r="K150" s="295">
        <v>0</v>
      </c>
      <c r="L150" s="295">
        <v>0</v>
      </c>
      <c r="M150" s="295">
        <v>0</v>
      </c>
      <c r="N150" s="291"/>
      <c r="O150" s="295">
        <v>1</v>
      </c>
      <c r="P150" s="295">
        <v>1.3993541791475068</v>
      </c>
      <c r="Q150" s="295">
        <v>1.3993541791475068</v>
      </c>
      <c r="R150" s="295">
        <v>1.3993541791475068</v>
      </c>
      <c r="S150" s="295">
        <v>1.2763559640889865</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82</v>
      </c>
      <c r="E153" s="295">
        <v>81.514414638021861</v>
      </c>
      <c r="F153" s="295">
        <v>81.514414638021861</v>
      </c>
      <c r="G153" s="295">
        <v>79.916536319078816</v>
      </c>
      <c r="H153" s="295">
        <v>0</v>
      </c>
      <c r="I153" s="295">
        <v>0</v>
      </c>
      <c r="J153" s="295">
        <v>0</v>
      </c>
      <c r="K153" s="295">
        <v>0</v>
      </c>
      <c r="L153" s="295">
        <v>0</v>
      </c>
      <c r="M153" s="295">
        <v>0</v>
      </c>
      <c r="N153" s="291"/>
      <c r="O153" s="295"/>
      <c r="P153" s="295"/>
      <c r="Q153" s="295"/>
      <c r="R153" s="295"/>
      <c r="S153" s="295"/>
      <c r="T153" s="295"/>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296</v>
      </c>
      <c r="E156" s="295">
        <v>295.88573886220655</v>
      </c>
      <c r="F156" s="295">
        <v>295.88573886220655</v>
      </c>
      <c r="G156" s="295">
        <v>295.88573886220655</v>
      </c>
      <c r="H156" s="295">
        <v>295.88573886220655</v>
      </c>
      <c r="I156" s="295">
        <v>295.88573886220655</v>
      </c>
      <c r="J156" s="295">
        <v>295.88573886220655</v>
      </c>
      <c r="K156" s="295">
        <v>295.88573886220655</v>
      </c>
      <c r="L156" s="295">
        <v>295.88573886220655</v>
      </c>
      <c r="M156" s="295">
        <v>295.88573886220655</v>
      </c>
      <c r="N156" s="291"/>
      <c r="O156" s="295"/>
      <c r="P156" s="295"/>
      <c r="Q156" s="295"/>
      <c r="R156" s="295"/>
      <c r="S156" s="295"/>
      <c r="T156" s="295"/>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7</v>
      </c>
      <c r="E157" s="295">
        <v>6.9761425843594598</v>
      </c>
      <c r="F157" s="295">
        <v>6.9761425843594598</v>
      </c>
      <c r="G157" s="295">
        <v>6.9761425843594598</v>
      </c>
      <c r="H157" s="295">
        <v>6.9761425843594598</v>
      </c>
      <c r="I157" s="295">
        <v>6.9761425843594598</v>
      </c>
      <c r="J157" s="295">
        <v>6.9761425843594598</v>
      </c>
      <c r="K157" s="295">
        <v>6.9761425843594598</v>
      </c>
      <c r="L157" s="295">
        <v>6.9761425843594598</v>
      </c>
      <c r="M157" s="295">
        <v>6.9761425843594598</v>
      </c>
      <c r="N157" s="468"/>
      <c r="O157" s="295"/>
      <c r="P157" s="295"/>
      <c r="Q157" s="295"/>
      <c r="R157" s="295"/>
      <c r="S157" s="295"/>
      <c r="T157" s="295"/>
      <c r="U157" s="295"/>
      <c r="V157" s="295"/>
      <c r="W157" s="295"/>
      <c r="X157" s="295"/>
      <c r="Y157" s="411">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1175</v>
      </c>
      <c r="E159" s="295">
        <v>1175.1951980203241</v>
      </c>
      <c r="F159" s="295">
        <v>1175.1951980203241</v>
      </c>
      <c r="G159" s="295">
        <v>1175.1951980203241</v>
      </c>
      <c r="H159" s="295">
        <v>1157.5396653841246</v>
      </c>
      <c r="I159" s="295">
        <v>1157.5396653841246</v>
      </c>
      <c r="J159" s="295">
        <v>545.08149346774235</v>
      </c>
      <c r="K159" s="295">
        <v>542.0731721816768</v>
      </c>
      <c r="L159" s="295">
        <v>542.0731721816768</v>
      </c>
      <c r="M159" s="295">
        <v>542.0731721816768</v>
      </c>
      <c r="N159" s="291"/>
      <c r="O159" s="295"/>
      <c r="P159" s="295"/>
      <c r="Q159" s="295"/>
      <c r="R159" s="295"/>
      <c r="S159" s="295"/>
      <c r="T159" s="295"/>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22510</v>
      </c>
      <c r="E162" s="295">
        <v>22510.122492356404</v>
      </c>
      <c r="F162" s="295">
        <v>22510.122492356404</v>
      </c>
      <c r="G162" s="295">
        <v>22510.122492356404</v>
      </c>
      <c r="H162" s="295">
        <v>20235.168126726221</v>
      </c>
      <c r="I162" s="295">
        <v>16454.081960270578</v>
      </c>
      <c r="J162" s="295">
        <v>11223.37148495813</v>
      </c>
      <c r="K162" s="295">
        <v>11200.041646413132</v>
      </c>
      <c r="L162" s="295">
        <v>11200.041646413132</v>
      </c>
      <c r="M162" s="295">
        <v>5688.7688676158023</v>
      </c>
      <c r="N162" s="291"/>
      <c r="O162" s="295">
        <v>1</v>
      </c>
      <c r="P162" s="295"/>
      <c r="Q162" s="295"/>
      <c r="R162" s="295"/>
      <c r="S162" s="295"/>
      <c r="T162" s="295"/>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51442</v>
      </c>
      <c r="E181" s="295">
        <v>51442.032011675416</v>
      </c>
      <c r="F181" s="295">
        <v>51442.032011675416</v>
      </c>
      <c r="G181" s="295">
        <v>43647.417523386008</v>
      </c>
      <c r="H181" s="295">
        <v>43647.417523386008</v>
      </c>
      <c r="I181" s="295">
        <v>11954.144295036102</v>
      </c>
      <c r="J181" s="295">
        <v>11954.144295036102</v>
      </c>
      <c r="K181" s="295">
        <v>11954.144295036102</v>
      </c>
      <c r="L181" s="295">
        <v>11954.144295036102</v>
      </c>
      <c r="M181" s="295">
        <v>11954.144295036102</v>
      </c>
      <c r="N181" s="295">
        <v>12</v>
      </c>
      <c r="O181" s="295">
        <v>15</v>
      </c>
      <c r="P181" s="295"/>
      <c r="Q181" s="295"/>
      <c r="R181" s="295"/>
      <c r="S181" s="295"/>
      <c r="T181" s="295"/>
      <c r="U181" s="295"/>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92</v>
      </c>
      <c r="E233" s="295">
        <v>92.017191252890512</v>
      </c>
      <c r="F233" s="295">
        <v>92.017191252890512</v>
      </c>
      <c r="G233" s="295">
        <v>92.017191252890512</v>
      </c>
      <c r="H233" s="295">
        <v>92.017191252890512</v>
      </c>
      <c r="I233" s="295">
        <v>92.017191252890512</v>
      </c>
      <c r="J233" s="295">
        <v>92.017191252890512</v>
      </c>
      <c r="K233" s="295">
        <v>92.017191252890512</v>
      </c>
      <c r="L233" s="295">
        <v>92.017191252890512</v>
      </c>
      <c r="M233" s="295">
        <v>92.017191252890512</v>
      </c>
      <c r="N233" s="295">
        <v>12</v>
      </c>
      <c r="O233" s="295"/>
      <c r="P233" s="295"/>
      <c r="Q233" s="295"/>
      <c r="R233" s="295"/>
      <c r="S233" s="295"/>
      <c r="T233" s="295"/>
      <c r="U233" s="295"/>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86217</v>
      </c>
      <c r="E255" s="329"/>
      <c r="F255" s="329"/>
      <c r="G255" s="329"/>
      <c r="H255" s="329"/>
      <c r="I255" s="329"/>
      <c r="J255" s="329"/>
      <c r="K255" s="329"/>
      <c r="L255" s="329"/>
      <c r="M255" s="329"/>
      <c r="N255" s="329"/>
      <c r="O255" s="329">
        <f>SUM(O150:O253)</f>
        <v>17</v>
      </c>
      <c r="P255" s="329"/>
      <c r="Q255" s="329"/>
      <c r="R255" s="329"/>
      <c r="S255" s="329"/>
      <c r="T255" s="329"/>
      <c r="U255" s="329"/>
      <c r="V255" s="329"/>
      <c r="W255" s="329"/>
      <c r="X255" s="329"/>
      <c r="Y255" s="329">
        <f>IF(Y149="kWh",SUMPRODUCT(D150:D253,Y150:Y253))</f>
        <v>34683</v>
      </c>
      <c r="Z255" s="329">
        <f>IF(Z149="kWh",SUMPRODUCT(D150:D253,Z150:Z253))</f>
        <v>51442</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1.04E-2</v>
      </c>
      <c r="Z258" s="341">
        <f>HLOOKUP(Z$20,'3.  Distribution Rates'!$C$122:$P$133,4,FALSE)</f>
        <v>8.2000000000000007E-3</v>
      </c>
      <c r="AA258" s="341">
        <f>HLOOKUP(AA$20,'3.  Distribution Rates'!$C$122:$P$133,4,FALSE)</f>
        <v>1.3792</v>
      </c>
      <c r="AB258" s="341">
        <f>HLOOKUP(AB$20,'3.  Distribution Rates'!$C$122:$P$133,4,FALSE)</f>
        <v>25.946100000000001</v>
      </c>
      <c r="AC258" s="341">
        <f>HLOOKUP(AC$20,'3.  Distribution Rates'!$C$122:$P$133,4,FALSE)</f>
        <v>8.3000000000000001E-3</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595.46938164515564</v>
      </c>
      <c r="Z259" s="378">
        <f t="shared" si="70"/>
        <v>49.088265869028085</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644.55764751418371</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360.70319999999998</v>
      </c>
      <c r="Z260" s="378">
        <f t="shared" si="71"/>
        <v>421.82440000000003</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782.52760000000001</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956.17258164515556</v>
      </c>
      <c r="Z261" s="346">
        <f t="shared" ref="Z261:AE261" si="73">SUM(Z259:Z260)</f>
        <v>470.9126658690281</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1427.0852475141837</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1427.0852475141837</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34683.190722608735</v>
      </c>
      <c r="Z265" s="291">
        <f>SUMPRODUCT(E150:E253,Z150:Z253)</f>
        <v>51442.032011675416</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34683.190722608735</v>
      </c>
      <c r="Z266" s="291">
        <f>SUMPRODUCT(F150:F253,Z150:Z253)</f>
        <v>51442.032011675416</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34681.592844289793</v>
      </c>
      <c r="Z267" s="291">
        <f>SUMPRODUCT(G150:G253,Z150:Z253)</f>
        <v>43647.417523386008</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31403.195546116498</v>
      </c>
      <c r="Z268" s="291">
        <f>SUMPRODUCT(H150:H253,Z150:Z253)</f>
        <v>43647.417523386008</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17914.483507101268</v>
      </c>
      <c r="Z269" s="291">
        <f>SUMPRODUCT(I150:I253,Z150:Z253)</f>
        <v>11954.144295036102</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12071.314859872438</v>
      </c>
      <c r="Z270" s="291">
        <f>SUMPRODUCT(J150:J253,Z150:Z253)</f>
        <v>11954.144295036102</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12044.976700041376</v>
      </c>
      <c r="Z271" s="291">
        <f>SUMPRODUCT(K150:K253,Z150:Z253)</f>
        <v>11954.144295036102</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12044.976700041376</v>
      </c>
      <c r="Z272" s="326">
        <f>SUMPRODUCT(L150:L253,Z150:Z253)</f>
        <v>11954.144295036102</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30" t="s">
        <v>211</v>
      </c>
      <c r="C276" s="832" t="s">
        <v>33</v>
      </c>
      <c r="D276" s="284" t="s">
        <v>421</v>
      </c>
      <c r="E276" s="834" t="s">
        <v>209</v>
      </c>
      <c r="F276" s="835"/>
      <c r="G276" s="835"/>
      <c r="H276" s="835"/>
      <c r="I276" s="835"/>
      <c r="J276" s="835"/>
      <c r="K276" s="835"/>
      <c r="L276" s="835"/>
      <c r="M276" s="836"/>
      <c r="N276" s="837" t="s">
        <v>213</v>
      </c>
      <c r="O276" s="284" t="s">
        <v>422</v>
      </c>
      <c r="P276" s="834" t="s">
        <v>212</v>
      </c>
      <c r="Q276" s="835"/>
      <c r="R276" s="835"/>
      <c r="S276" s="835"/>
      <c r="T276" s="835"/>
      <c r="U276" s="835"/>
      <c r="V276" s="835"/>
      <c r="W276" s="835"/>
      <c r="X276" s="836"/>
      <c r="Y276" s="827" t="s">
        <v>243</v>
      </c>
      <c r="Z276" s="828"/>
      <c r="AA276" s="828"/>
      <c r="AB276" s="828"/>
      <c r="AC276" s="828"/>
      <c r="AD276" s="828"/>
      <c r="AE276" s="828"/>
      <c r="AF276" s="828"/>
      <c r="AG276" s="828"/>
      <c r="AH276" s="828"/>
      <c r="AI276" s="828"/>
      <c r="AJ276" s="828"/>
      <c r="AK276" s="828"/>
      <c r="AL276" s="828"/>
      <c r="AM276" s="829"/>
    </row>
    <row r="277" spans="1:39" ht="60.75" customHeight="1">
      <c r="B277" s="831"/>
      <c r="C277" s="833"/>
      <c r="D277" s="285">
        <v>2013</v>
      </c>
      <c r="E277" s="285">
        <v>2014</v>
      </c>
      <c r="F277" s="285">
        <v>2015</v>
      </c>
      <c r="G277" s="285">
        <v>2016</v>
      </c>
      <c r="H277" s="285">
        <v>2017</v>
      </c>
      <c r="I277" s="285">
        <v>2018</v>
      </c>
      <c r="J277" s="285">
        <v>2019</v>
      </c>
      <c r="K277" s="285">
        <v>2020</v>
      </c>
      <c r="L277" s="285">
        <v>2021</v>
      </c>
      <c r="M277" s="285">
        <v>2022</v>
      </c>
      <c r="N277" s="83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&gt; 50 to 4,999 Kw</v>
      </c>
      <c r="AB277" s="285" t="str">
        <f>'1.  LRAMVA Summary'!G52</f>
        <v>Street Lighting</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8858</v>
      </c>
      <c r="E279" s="295">
        <v>8852.7803914310007</v>
      </c>
      <c r="F279" s="295">
        <v>8852.7803914310007</v>
      </c>
      <c r="G279" s="295">
        <v>8852.7803914310007</v>
      </c>
      <c r="H279" s="295">
        <v>6193.7899231350002</v>
      </c>
      <c r="I279" s="295">
        <v>0</v>
      </c>
      <c r="J279" s="295">
        <v>0</v>
      </c>
      <c r="K279" s="295">
        <v>0</v>
      </c>
      <c r="L279" s="295">
        <v>0</v>
      </c>
      <c r="M279" s="295">
        <v>0</v>
      </c>
      <c r="N279" s="291"/>
      <c r="O279" s="295">
        <v>1</v>
      </c>
      <c r="P279" s="295">
        <v>1.4032294639999998</v>
      </c>
      <c r="Q279" s="295">
        <v>1.4032294639999998</v>
      </c>
      <c r="R279" s="295">
        <v>1.4032294639999998</v>
      </c>
      <c r="S279" s="295">
        <v>0.91029387500000003</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v>
      </c>
      <c r="E282" s="295">
        <v>369.43987800000002</v>
      </c>
      <c r="F282" s="295">
        <v>369.43987800000002</v>
      </c>
      <c r="G282" s="295">
        <v>369.43987800000002</v>
      </c>
      <c r="H282" s="295">
        <v>0</v>
      </c>
      <c r="I282" s="295">
        <v>0</v>
      </c>
      <c r="J282" s="295">
        <v>0</v>
      </c>
      <c r="K282" s="295">
        <v>0</v>
      </c>
      <c r="L282" s="295">
        <v>0</v>
      </c>
      <c r="M282" s="295">
        <v>0</v>
      </c>
      <c r="N282" s="291"/>
      <c r="O282" s="295"/>
      <c r="P282" s="295"/>
      <c r="Q282" s="295"/>
      <c r="R282" s="295"/>
      <c r="S282" s="295"/>
      <c r="T282" s="29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6478</v>
      </c>
      <c r="E288" s="295">
        <v>6478.2511079129999</v>
      </c>
      <c r="F288" s="295">
        <v>6228.6060160019997</v>
      </c>
      <c r="G288" s="295">
        <v>5276.914636947</v>
      </c>
      <c r="H288" s="295">
        <v>5276.914636947</v>
      </c>
      <c r="I288" s="295">
        <v>5276.914636947</v>
      </c>
      <c r="J288" s="295">
        <v>5276.914636947</v>
      </c>
      <c r="K288" s="295">
        <v>5272.5168824390003</v>
      </c>
      <c r="L288" s="295">
        <v>3834.0059888360001</v>
      </c>
      <c r="M288" s="295">
        <v>3834.0059888360001</v>
      </c>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20</v>
      </c>
      <c r="E289" s="295">
        <v>20</v>
      </c>
      <c r="F289" s="295">
        <v>19</v>
      </c>
      <c r="G289" s="295">
        <v>16</v>
      </c>
      <c r="H289" s="295">
        <v>16</v>
      </c>
      <c r="I289" s="295">
        <v>16</v>
      </c>
      <c r="J289" s="295">
        <v>16</v>
      </c>
      <c r="K289" s="295">
        <v>16</v>
      </c>
      <c r="L289" s="295">
        <v>14</v>
      </c>
      <c r="M289" s="295">
        <v>14</v>
      </c>
      <c r="N289" s="468"/>
      <c r="O289" s="295"/>
      <c r="P289" s="295"/>
      <c r="Q289" s="295"/>
      <c r="R289" s="295"/>
      <c r="S289" s="295"/>
      <c r="T289" s="295"/>
      <c r="U289" s="295"/>
      <c r="V289" s="295"/>
      <c r="W289" s="295"/>
      <c r="X289" s="295"/>
      <c r="Y289" s="411">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14400</v>
      </c>
      <c r="E291" s="295">
        <v>14439.736668996</v>
      </c>
      <c r="F291" s="295">
        <v>13569.707766706</v>
      </c>
      <c r="G291" s="295">
        <v>10600.519963184999</v>
      </c>
      <c r="H291" s="295">
        <v>10600.519963184999</v>
      </c>
      <c r="I291" s="295">
        <v>10600.519963184999</v>
      </c>
      <c r="J291" s="295">
        <v>10600.519963184999</v>
      </c>
      <c r="K291" s="295">
        <v>10588.027790960001</v>
      </c>
      <c r="L291" s="295">
        <v>8903.9162168179992</v>
      </c>
      <c r="M291" s="295">
        <v>8903.9162168179992</v>
      </c>
      <c r="N291" s="291"/>
      <c r="O291" s="295">
        <v>1</v>
      </c>
      <c r="P291" s="295">
        <v>0.99487308099999994</v>
      </c>
      <c r="Q291" s="295">
        <v>0.94025501700000003</v>
      </c>
      <c r="R291" s="295">
        <v>0.75385742600000005</v>
      </c>
      <c r="S291" s="295">
        <v>0.75385742600000005</v>
      </c>
      <c r="T291" s="295">
        <v>0.75385742600000005</v>
      </c>
      <c r="U291" s="295">
        <v>0.75385742600000005</v>
      </c>
      <c r="V291" s="295">
        <v>0.75243137900000001</v>
      </c>
      <c r="W291" s="295">
        <v>0.64670740299999996</v>
      </c>
      <c r="X291" s="295">
        <v>0.64670740299999996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175237</v>
      </c>
      <c r="E310" s="295">
        <v>175236.79528030101</v>
      </c>
      <c r="F310" s="295">
        <v>156112.18586451799</v>
      </c>
      <c r="G310" s="295">
        <v>88654.122644992007</v>
      </c>
      <c r="H310" s="295">
        <v>29646.143528727</v>
      </c>
      <c r="I310" s="295">
        <v>29646.143528727</v>
      </c>
      <c r="J310" s="295">
        <v>29646.143528727</v>
      </c>
      <c r="K310" s="295">
        <v>29646.143528727</v>
      </c>
      <c r="L310" s="295">
        <v>29646.143528727</v>
      </c>
      <c r="M310" s="295">
        <v>29646.143528727</v>
      </c>
      <c r="N310" s="295">
        <v>12</v>
      </c>
      <c r="O310" s="295">
        <v>53</v>
      </c>
      <c r="P310" s="295">
        <v>53.236464781999999</v>
      </c>
      <c r="Q310" s="295">
        <v>47.733893047000002</v>
      </c>
      <c r="R310" s="295">
        <v>29.348672201999999</v>
      </c>
      <c r="S310" s="295">
        <v>9.7969856409999991</v>
      </c>
      <c r="T310" s="295">
        <v>9.7969856409999991</v>
      </c>
      <c r="U310" s="295">
        <v>9.7969856409999991</v>
      </c>
      <c r="V310" s="295">
        <v>9.7969856409999991</v>
      </c>
      <c r="W310" s="295">
        <v>9.7969856409999991</v>
      </c>
      <c r="X310" s="295">
        <v>9.7969856409999991</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1156</v>
      </c>
      <c r="E348" s="295">
        <v>1156.0408935549999</v>
      </c>
      <c r="F348" s="295">
        <v>1156.0408935549999</v>
      </c>
      <c r="G348" s="295">
        <v>1028.905273438</v>
      </c>
      <c r="H348" s="295">
        <v>965.33746337900004</v>
      </c>
      <c r="I348" s="295">
        <v>901.76968383799999</v>
      </c>
      <c r="J348" s="295">
        <v>901.76968383799999</v>
      </c>
      <c r="K348" s="295">
        <v>901.76968383799999</v>
      </c>
      <c r="L348" s="295">
        <v>453.05578613300003</v>
      </c>
      <c r="M348" s="295">
        <v>453.05578613300003</v>
      </c>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42864</v>
      </c>
      <c r="E349" s="295">
        <v>40800.466630000003</v>
      </c>
      <c r="F349" s="295">
        <v>40612.865160000001</v>
      </c>
      <c r="G349" s="295">
        <v>37272.66764</v>
      </c>
      <c r="H349" s="295">
        <v>36099.211219999997</v>
      </c>
      <c r="I349" s="295">
        <v>35179.52016</v>
      </c>
      <c r="J349" s="295">
        <v>35179.52016</v>
      </c>
      <c r="K349" s="295">
        <v>35117.544540000003</v>
      </c>
      <c r="L349" s="295">
        <v>22129.892210000002</v>
      </c>
      <c r="M349" s="295">
        <v>22129.892210000002</v>
      </c>
      <c r="N349" s="468"/>
      <c r="O349" s="295">
        <v>4</v>
      </c>
      <c r="P349" s="295">
        <v>3.4681465669999998</v>
      </c>
      <c r="Q349" s="295">
        <v>3.4585129659999998</v>
      </c>
      <c r="R349" s="295">
        <v>3.2854763</v>
      </c>
      <c r="S349" s="295">
        <v>3.2244272700000001</v>
      </c>
      <c r="T349" s="295">
        <v>3.1764433830000001</v>
      </c>
      <c r="U349" s="295">
        <v>3.1764433830000001</v>
      </c>
      <c r="V349" s="295">
        <v>3.1764433830000001</v>
      </c>
      <c r="W349" s="295">
        <v>2.5038643120000001</v>
      </c>
      <c r="X349" s="295">
        <v>2.5038643120000001</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249382</v>
      </c>
      <c r="E384" s="329"/>
      <c r="F384" s="329"/>
      <c r="G384" s="329"/>
      <c r="H384" s="329"/>
      <c r="I384" s="329"/>
      <c r="J384" s="329"/>
      <c r="K384" s="329"/>
      <c r="L384" s="329"/>
      <c r="M384" s="329"/>
      <c r="N384" s="329"/>
      <c r="O384" s="329">
        <f>SUM(O279:O382)</f>
        <v>59</v>
      </c>
      <c r="P384" s="329"/>
      <c r="Q384" s="329"/>
      <c r="R384" s="329"/>
      <c r="S384" s="329"/>
      <c r="T384" s="329"/>
      <c r="U384" s="329"/>
      <c r="V384" s="329"/>
      <c r="W384" s="329"/>
      <c r="X384" s="329"/>
      <c r="Y384" s="329">
        <f>IF(Y278="kWh",SUMPRODUCT(D279:D382,Y279:Y382))</f>
        <v>74145</v>
      </c>
      <c r="Z384" s="329">
        <f>IF(Z278="kWh",SUMPRODUCT(D279:D382,Z279:Z382))</f>
        <v>175237</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511521</v>
      </c>
      <c r="Z385" s="328">
        <f>HLOOKUP(Z277,'2. LRAMVA Threshold'!$B$42:$Q$53,5,FALSE)</f>
        <v>183184</v>
      </c>
      <c r="AA385" s="328">
        <f>HLOOKUP(AA277,'2. LRAMVA Threshold'!$B$42:$Q$53,5,FALSE)</f>
        <v>959</v>
      </c>
      <c r="AB385" s="328">
        <f>HLOOKUP(AB277,'2. LRAMVA Threshold'!$B$42:$Q$53,5,FALSE)</f>
        <v>24</v>
      </c>
      <c r="AC385" s="328">
        <f>HLOOKUP(AC277,'2. LRAMVA Threshold'!$B$42:$Q$53,5,FALSE)</f>
        <v>190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1.0699999999999999E-2</v>
      </c>
      <c r="Z387" s="341">
        <f>HLOOKUP(Z$20,'3.  Distribution Rates'!$C$122:$P$133,5,FALSE)</f>
        <v>8.0999999999999996E-3</v>
      </c>
      <c r="AA387" s="341">
        <f>HLOOKUP(AA$20,'3.  Distribution Rates'!$C$122:$P$133,5,FALSE)</f>
        <v>1.3580000000000001</v>
      </c>
      <c r="AB387" s="341">
        <f>HLOOKUP(AB$20,'3.  Distribution Rates'!$C$122:$P$133,5,FALSE)</f>
        <v>25.462800000000001</v>
      </c>
      <c r="AC387" s="341">
        <f>HLOOKUP(AC$20,'3.  Distribution Rates'!$C$122:$P$133,5,FALSE)</f>
        <v>8.3999999999999995E-3</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612.64638303876598</v>
      </c>
      <c r="Z388" s="378">
        <f t="shared" si="110"/>
        <v>48.489628480381398</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661.13601151914736</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371.11014073191342</v>
      </c>
      <c r="Z389" s="378">
        <f t="shared" si="111"/>
        <v>416.68045929457082</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787.7906000264843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793.35149999999999</v>
      </c>
      <c r="Z390" s="378">
        <f t="shared" ref="Z390:AE390" si="112">Z384*Z387</f>
        <v>1419.4196999999999</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2212.7712000000001</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1777.1080237706794</v>
      </c>
      <c r="Z391" s="346">
        <f>SUM(Z388:Z390)</f>
        <v>1884.5897877749521</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3661.6978115456318</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5473.2746999999999</v>
      </c>
      <c r="Z392" s="347">
        <f t="shared" si="116"/>
        <v>1483.7903999999999</v>
      </c>
      <c r="AA392" s="347">
        <f t="shared" si="116"/>
        <v>1302.3220000000001</v>
      </c>
      <c r="AB392" s="347">
        <f t="shared" si="116"/>
        <v>611.10720000000003</v>
      </c>
      <c r="AC392" s="347">
        <f t="shared" si="116"/>
        <v>1.5959999999999999</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8872.0902999999998</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-5210.3924884543685</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72116.715569894994</v>
      </c>
      <c r="Z395" s="291">
        <f>SUMPRODUCT(E279:E382,Z279:Z382)</f>
        <v>175236.79528030101</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70808.440105693997</v>
      </c>
      <c r="Z396" s="291">
        <f>SUMPRODUCT(F279:F382,Z279:Z382)</f>
        <v>156112.18586451799</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63417.227783000999</v>
      </c>
      <c r="Z397" s="291">
        <f>SUMPRODUCT(G279:G382,Z279:Z382)</f>
        <v>88654.122644992007</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59151.773206646001</v>
      </c>
      <c r="Z398" s="291">
        <f>SUMPRODUCT(H279:H382,Z279:Z382)</f>
        <v>29646.143528727</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51974.724443970001</v>
      </c>
      <c r="Z399" s="291">
        <f>SUMPRODUCT(I279:I382,Z279:Z382)</f>
        <v>29646.143528727</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51974.724443970001</v>
      </c>
      <c r="Z400" s="291">
        <f>SUMPRODUCT(J279:J382,Z279:Z382)</f>
        <v>29646.143528727</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51895.858897237005</v>
      </c>
      <c r="Z401" s="326">
        <f>SUMPRODUCT(K279:K382,Z279:Z382)</f>
        <v>29646.143528727</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30" t="s">
        <v>211</v>
      </c>
      <c r="C405" s="832" t="s">
        <v>33</v>
      </c>
      <c r="D405" s="284" t="s">
        <v>421</v>
      </c>
      <c r="E405" s="834" t="s">
        <v>209</v>
      </c>
      <c r="F405" s="835"/>
      <c r="G405" s="835"/>
      <c r="H405" s="835"/>
      <c r="I405" s="835"/>
      <c r="J405" s="835"/>
      <c r="K405" s="835"/>
      <c r="L405" s="835"/>
      <c r="M405" s="836"/>
      <c r="N405" s="837" t="s">
        <v>213</v>
      </c>
      <c r="O405" s="284" t="s">
        <v>422</v>
      </c>
      <c r="P405" s="834" t="s">
        <v>212</v>
      </c>
      <c r="Q405" s="835"/>
      <c r="R405" s="835"/>
      <c r="S405" s="835"/>
      <c r="T405" s="835"/>
      <c r="U405" s="835"/>
      <c r="V405" s="835"/>
      <c r="W405" s="835"/>
      <c r="X405" s="836"/>
      <c r="Y405" s="827" t="s">
        <v>243</v>
      </c>
      <c r="Z405" s="828"/>
      <c r="AA405" s="828"/>
      <c r="AB405" s="828"/>
      <c r="AC405" s="828"/>
      <c r="AD405" s="828"/>
      <c r="AE405" s="828"/>
      <c r="AF405" s="828"/>
      <c r="AG405" s="828"/>
      <c r="AH405" s="828"/>
      <c r="AI405" s="828"/>
      <c r="AJ405" s="828"/>
      <c r="AK405" s="828"/>
      <c r="AL405" s="828"/>
      <c r="AM405" s="829"/>
    </row>
    <row r="406" spans="1:40" ht="45.75" customHeight="1">
      <c r="B406" s="831"/>
      <c r="C406" s="833"/>
      <c r="D406" s="285">
        <v>2014</v>
      </c>
      <c r="E406" s="285">
        <v>2015</v>
      </c>
      <c r="F406" s="285">
        <v>2016</v>
      </c>
      <c r="G406" s="285">
        <v>2017</v>
      </c>
      <c r="H406" s="285">
        <v>2018</v>
      </c>
      <c r="I406" s="285">
        <v>2019</v>
      </c>
      <c r="J406" s="285">
        <v>2020</v>
      </c>
      <c r="K406" s="285">
        <v>2021</v>
      </c>
      <c r="L406" s="285">
        <v>2022</v>
      </c>
      <c r="M406" s="285">
        <v>2023</v>
      </c>
      <c r="N406" s="83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&gt; 50 to 4,999 Kw</v>
      </c>
      <c r="AB406" s="285" t="str">
        <f>'1.  LRAMVA Summary'!G52</f>
        <v>Street Lighting</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17782</v>
      </c>
      <c r="E408" s="295">
        <v>17781.869319400612</v>
      </c>
      <c r="F408" s="295">
        <v>17781.869319400612</v>
      </c>
      <c r="G408" s="295">
        <v>17677.46127280061</v>
      </c>
      <c r="H408" s="295">
        <v>10616.768154433814</v>
      </c>
      <c r="I408" s="295">
        <v>0</v>
      </c>
      <c r="J408" s="295">
        <v>0</v>
      </c>
      <c r="K408" s="295">
        <v>0</v>
      </c>
      <c r="L408" s="295">
        <v>0</v>
      </c>
      <c r="M408" s="295">
        <v>0</v>
      </c>
      <c r="N408" s="291"/>
      <c r="O408" s="295">
        <v>3</v>
      </c>
      <c r="P408" s="295">
        <v>2.6521959078542841</v>
      </c>
      <c r="Q408" s="295">
        <v>2.6521959078542841</v>
      </c>
      <c r="R408" s="295">
        <v>2.5354416108542837</v>
      </c>
      <c r="S408" s="295">
        <v>1.5602843347195228</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v>
      </c>
      <c r="E411" s="295">
        <v>0.369439878</v>
      </c>
      <c r="F411" s="295">
        <v>0.369439878</v>
      </c>
      <c r="G411" s="295">
        <v>0.369439878</v>
      </c>
      <c r="H411" s="295">
        <v>0</v>
      </c>
      <c r="I411" s="295">
        <v>0</v>
      </c>
      <c r="J411" s="295">
        <v>0</v>
      </c>
      <c r="K411" s="295">
        <v>0</v>
      </c>
      <c r="L411" s="295">
        <v>0</v>
      </c>
      <c r="M411" s="295">
        <v>0</v>
      </c>
      <c r="N411" s="291"/>
      <c r="O411" s="295"/>
      <c r="P411" s="295"/>
      <c r="Q411" s="295"/>
      <c r="R411" s="295"/>
      <c r="S411" s="295"/>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676</v>
      </c>
      <c r="E414" s="295">
        <v>675.85157537999999</v>
      </c>
      <c r="F414" s="295">
        <v>675.85157537999999</v>
      </c>
      <c r="G414" s="295">
        <v>675.85157537999999</v>
      </c>
      <c r="H414" s="295">
        <v>675.85157537999999</v>
      </c>
      <c r="I414" s="295">
        <v>675.85157537999999</v>
      </c>
      <c r="J414" s="295">
        <v>675.85157537999999</v>
      </c>
      <c r="K414" s="295">
        <v>675.85157537999999</v>
      </c>
      <c r="L414" s="295">
        <v>675.85157537999999</v>
      </c>
      <c r="M414" s="295">
        <v>675.85157537999999</v>
      </c>
      <c r="N414" s="291"/>
      <c r="O414" s="295"/>
      <c r="P414" s="295"/>
      <c r="Q414" s="295"/>
      <c r="R414" s="295"/>
      <c r="S414" s="295"/>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23666</v>
      </c>
      <c r="E417" s="295">
        <v>22036.969349999999</v>
      </c>
      <c r="F417" s="295">
        <v>21250.127619999999</v>
      </c>
      <c r="G417" s="295">
        <v>21250.127619999999</v>
      </c>
      <c r="H417" s="295">
        <v>21250.127619999999</v>
      </c>
      <c r="I417" s="295">
        <v>21250.127619999999</v>
      </c>
      <c r="J417" s="295">
        <v>21250.127619999999</v>
      </c>
      <c r="K417" s="295">
        <v>21208.816699999999</v>
      </c>
      <c r="L417" s="295">
        <v>21208.816699999999</v>
      </c>
      <c r="M417" s="295">
        <v>18146.451509999999</v>
      </c>
      <c r="N417" s="291"/>
      <c r="O417" s="295">
        <v>2</v>
      </c>
      <c r="P417" s="295">
        <v>1.6683144809999999</v>
      </c>
      <c r="Q417" s="295">
        <v>1.6189186820000001</v>
      </c>
      <c r="R417" s="295">
        <v>1.6189186820000001</v>
      </c>
      <c r="S417" s="295">
        <v>1.6189186820000001</v>
      </c>
      <c r="T417" s="295">
        <v>1.6189186820000001</v>
      </c>
      <c r="U417" s="295">
        <v>1.6189186820000001</v>
      </c>
      <c r="V417" s="295">
        <v>1.6142028239999999</v>
      </c>
      <c r="W417" s="295">
        <v>1.6142028239999999</v>
      </c>
      <c r="X417" s="295">
        <v>1.421955809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103300</v>
      </c>
      <c r="E420" s="295">
        <v>89611.964340000006</v>
      </c>
      <c r="F420" s="295">
        <v>82478.334510000001</v>
      </c>
      <c r="G420" s="295">
        <v>82478.334510000001</v>
      </c>
      <c r="H420" s="295">
        <v>82478.334510000001</v>
      </c>
      <c r="I420" s="295">
        <v>82478.334510000001</v>
      </c>
      <c r="J420" s="295">
        <v>82478.334510000001</v>
      </c>
      <c r="K420" s="295">
        <v>82442.606140000004</v>
      </c>
      <c r="L420" s="295">
        <v>82442.606140000004</v>
      </c>
      <c r="M420" s="295">
        <v>76676.203949999996</v>
      </c>
      <c r="N420" s="291"/>
      <c r="O420" s="295">
        <v>7</v>
      </c>
      <c r="P420" s="295">
        <v>5.9012019860000002</v>
      </c>
      <c r="Q420" s="295">
        <v>5.4533719730000003</v>
      </c>
      <c r="R420" s="295">
        <v>5.4533719730000003</v>
      </c>
      <c r="S420" s="295">
        <v>5.4533719730000003</v>
      </c>
      <c r="T420" s="295">
        <v>5.4533719730000003</v>
      </c>
      <c r="U420" s="295">
        <v>5.4533719730000003</v>
      </c>
      <c r="V420" s="295">
        <v>5.4492933929999996</v>
      </c>
      <c r="W420" s="295">
        <v>5.4492933929999996</v>
      </c>
      <c r="X420" s="295">
        <v>5.0872942380000001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28612</v>
      </c>
      <c r="E436" s="295">
        <v>28611.979080000001</v>
      </c>
      <c r="F436" s="295">
        <v>28611.979080000001</v>
      </c>
      <c r="G436" s="295">
        <v>28611.979080000001</v>
      </c>
      <c r="H436" s="295">
        <v>28611.979080000001</v>
      </c>
      <c r="I436" s="295">
        <v>28611.979080000001</v>
      </c>
      <c r="J436" s="295">
        <v>25741.23633</v>
      </c>
      <c r="K436" s="295">
        <v>25741.23633</v>
      </c>
      <c r="L436" s="295">
        <v>24084.192340000001</v>
      </c>
      <c r="M436" s="295">
        <v>11922.331910000001</v>
      </c>
      <c r="N436" s="295">
        <v>12</v>
      </c>
      <c r="O436" s="295">
        <v>11</v>
      </c>
      <c r="P436" s="295">
        <v>10.99671745</v>
      </c>
      <c r="Q436" s="295">
        <v>10.99671745</v>
      </c>
      <c r="R436" s="295">
        <v>10.99671745</v>
      </c>
      <c r="S436" s="295">
        <v>10.99671745</v>
      </c>
      <c r="T436" s="295">
        <v>10.99671745</v>
      </c>
      <c r="U436" s="295">
        <v>10.402329529999999</v>
      </c>
      <c r="V436" s="295">
        <v>10.402329529999999</v>
      </c>
      <c r="W436" s="295">
        <v>9.9266443150000008</v>
      </c>
      <c r="X436" s="295">
        <v>7.408528424</v>
      </c>
      <c r="Y436" s="415"/>
      <c r="Z436" s="469"/>
      <c r="AA436" s="469">
        <v>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1</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52904</v>
      </c>
      <c r="E439" s="295">
        <v>52159.344129999998</v>
      </c>
      <c r="F439" s="295">
        <v>48756.82748</v>
      </c>
      <c r="G439" s="295">
        <v>36830.740850000002</v>
      </c>
      <c r="H439" s="295">
        <v>36830.740850000002</v>
      </c>
      <c r="I439" s="295">
        <v>36830.740850000002</v>
      </c>
      <c r="J439" s="295">
        <v>36830.740850000002</v>
      </c>
      <c r="K439" s="295">
        <v>36830.740850000002</v>
      </c>
      <c r="L439" s="295">
        <v>36830.740850000002</v>
      </c>
      <c r="M439" s="295">
        <v>36830.740850000002</v>
      </c>
      <c r="N439" s="295">
        <v>12</v>
      </c>
      <c r="O439" s="295">
        <v>15</v>
      </c>
      <c r="P439" s="295">
        <v>15.165059469999999</v>
      </c>
      <c r="Q439" s="295">
        <v>14.210945690000001</v>
      </c>
      <c r="R439" s="295">
        <v>10.66641531</v>
      </c>
      <c r="S439" s="295">
        <v>10.66641531</v>
      </c>
      <c r="T439" s="295">
        <v>10.66641531</v>
      </c>
      <c r="U439" s="295">
        <v>10.66641531</v>
      </c>
      <c r="V439" s="295">
        <v>10.66641531</v>
      </c>
      <c r="W439" s="295">
        <v>10.66641531</v>
      </c>
      <c r="X439" s="295">
        <v>10.66641531</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91975</v>
      </c>
      <c r="E477" s="295">
        <v>91822.043600000005</v>
      </c>
      <c r="F477" s="295">
        <v>83543.472640000007</v>
      </c>
      <c r="G477" s="295">
        <v>80018.000490000006</v>
      </c>
      <c r="H477" s="295">
        <v>76421.368730000002</v>
      </c>
      <c r="I477" s="295">
        <v>76421.368730000002</v>
      </c>
      <c r="J477" s="295">
        <v>73242.504719999997</v>
      </c>
      <c r="K477" s="295">
        <v>73242.504719999997</v>
      </c>
      <c r="L477" s="295">
        <v>40493.823400000001</v>
      </c>
      <c r="M477" s="295">
        <v>40493.823400000001</v>
      </c>
      <c r="N477" s="291"/>
      <c r="O477" s="295">
        <v>7</v>
      </c>
      <c r="P477" s="295">
        <v>7.4389760010000003</v>
      </c>
      <c r="Q477" s="295">
        <v>7.0080603950000002</v>
      </c>
      <c r="R477" s="295">
        <v>6.8241226619999997</v>
      </c>
      <c r="S477" s="295">
        <v>6.6365213509999998</v>
      </c>
      <c r="T477" s="295">
        <v>6.6365213509999998</v>
      </c>
      <c r="U477" s="295">
        <v>6.4708146129999999</v>
      </c>
      <c r="V477" s="295">
        <v>6.4708146129999999</v>
      </c>
      <c r="W477" s="295">
        <v>4.7660564059999997</v>
      </c>
      <c r="X477" s="295">
        <v>4.7660564059999997</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v>21</v>
      </c>
      <c r="E507" s="295">
        <v>0</v>
      </c>
      <c r="F507" s="295">
        <v>0</v>
      </c>
      <c r="G507" s="295">
        <v>0</v>
      </c>
      <c r="H507" s="295">
        <v>0</v>
      </c>
      <c r="I507" s="295">
        <v>0</v>
      </c>
      <c r="J507" s="295">
        <v>0</v>
      </c>
      <c r="K507" s="295">
        <v>0</v>
      </c>
      <c r="L507" s="295">
        <v>0</v>
      </c>
      <c r="M507" s="295">
        <v>0</v>
      </c>
      <c r="N507" s="295">
        <v>0</v>
      </c>
      <c r="O507" s="295"/>
      <c r="P507" s="295"/>
      <c r="Q507" s="295"/>
      <c r="R507" s="295"/>
      <c r="S507" s="295"/>
      <c r="T507" s="295"/>
      <c r="U507" s="295"/>
      <c r="V507" s="295"/>
      <c r="W507" s="295"/>
      <c r="X507" s="295"/>
      <c r="Y507" s="410">
        <v>0.74</v>
      </c>
      <c r="Z507" s="410">
        <v>0.26</v>
      </c>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0.74</v>
      </c>
      <c r="Z508" s="411">
        <f t="shared" ref="Z508:AL508" si="149">Z507</f>
        <v>0.26</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319305</v>
      </c>
      <c r="E513" s="329"/>
      <c r="F513" s="329"/>
      <c r="G513" s="329"/>
      <c r="H513" s="329"/>
      <c r="I513" s="329"/>
      <c r="J513" s="329"/>
      <c r="K513" s="329"/>
      <c r="L513" s="329"/>
      <c r="M513" s="329"/>
      <c r="N513" s="329"/>
      <c r="O513" s="329">
        <f>SUM(O408:O511)</f>
        <v>45</v>
      </c>
      <c r="P513" s="329"/>
      <c r="Q513" s="329"/>
      <c r="R513" s="329"/>
      <c r="S513" s="329"/>
      <c r="T513" s="329"/>
      <c r="U513" s="329"/>
      <c r="V513" s="329"/>
      <c r="W513" s="329"/>
      <c r="X513" s="329"/>
      <c r="Y513" s="329">
        <f>IF(Y407="kWh",SUMPRODUCT(D408:D511,Y408:Y511))</f>
        <v>237783.54</v>
      </c>
      <c r="Z513" s="329">
        <f>IF(Z407="kWh",SUMPRODUCT(D408:D511,Z408:Z511))</f>
        <v>52909.46</v>
      </c>
      <c r="AA513" s="329">
        <f>IF(AA407="kW",SUMPRODUCT(N408:N511,O408:O511,AA408:AA511),SUMPRODUCT(D408:D511,AA408:AA511))</f>
        <v>132</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511521</v>
      </c>
      <c r="Z514" s="328">
        <f>HLOOKUP(Z406,'2. LRAMVA Threshold'!$B$42:$Q$53,6,FALSE)</f>
        <v>183184</v>
      </c>
      <c r="AA514" s="328">
        <f>HLOOKUP(AA406,'2. LRAMVA Threshold'!$B$42:$Q$53,6,FALSE)</f>
        <v>959</v>
      </c>
      <c r="AB514" s="328">
        <f>HLOOKUP(AB406,'2. LRAMVA Threshold'!$B$42:$Q$53,6,FALSE)</f>
        <v>24</v>
      </c>
      <c r="AC514" s="328">
        <f>HLOOKUP(AC406,'2. LRAMVA Threshold'!$B$42:$Q$53,6,FALSE)</f>
        <v>190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1.14E-2</v>
      </c>
      <c r="Z516" s="341">
        <f>HLOOKUP(Z$20,'3.  Distribution Rates'!$C$122:$P$133,6,FALSE)</f>
        <v>7.9000000000000008E-3</v>
      </c>
      <c r="AA516" s="341">
        <f>HLOOKUP(AA$20,'3.  Distribution Rates'!$C$122:$P$133,6,FALSE)</f>
        <v>1.2937000000000001</v>
      </c>
      <c r="AB516" s="341">
        <f>HLOOKUP(AB$20,'3.  Distribution Rates'!$C$122:$P$133,6,FALSE)</f>
        <v>26.136399999999998</v>
      </c>
      <c r="AC516" s="341">
        <f>HLOOKUP(AC$20,'3.  Distribution Rates'!$C$122:$P$133,6,FALSE)</f>
        <v>8.5000000000000006E-3</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649.68231822668054</v>
      </c>
      <c r="Z517" s="378">
        <f t="shared" ref="Z517:AL517" si="151">Z137*Z516</f>
        <v>47.292353703088033</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696.97467192976853</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395.38837423773958</v>
      </c>
      <c r="Z518" s="378">
        <f t="shared" ref="Z518:AL518" si="152">Z266*Z516</f>
        <v>406.39205289223582</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801.78042712997535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822.13055749680291</v>
      </c>
      <c r="Z519" s="378">
        <f t="shared" ref="Z519:AL519" si="153">Z395*Z516</f>
        <v>1384.3706827143781</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2206.5012402111811</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2710.732356</v>
      </c>
      <c r="Z520" s="378">
        <f t="shared" ref="Z520:AK520" si="154">Z513*Z516</f>
        <v>417.98473400000006</v>
      </c>
      <c r="AA520" s="378">
        <f t="shared" si="154"/>
        <v>170.76840000000001</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3299.48549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4577.9336059612233</v>
      </c>
      <c r="Z521" s="346">
        <f t="shared" ref="Z521:AK521" si="155">SUM(Z517:Z520)</f>
        <v>2256.0398233097021</v>
      </c>
      <c r="AA521" s="346">
        <f t="shared" si="155"/>
        <v>170.76840000000001</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7004.7418292709244</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5831.3393999999998</v>
      </c>
      <c r="Z522" s="347">
        <f t="shared" ref="Z522:AJ522" si="156">Z514*Z516</f>
        <v>1447.1536000000001</v>
      </c>
      <c r="AA522" s="347">
        <f>AA514*AA516</f>
        <v>1240.6583000000001</v>
      </c>
      <c r="AB522" s="347">
        <f t="shared" si="156"/>
        <v>627.27359999999999</v>
      </c>
      <c r="AC522" s="347">
        <f t="shared" si="156"/>
        <v>1.6150000000000002</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9148.0399000000016</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-2143.2980707290772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221929.06762465864</v>
      </c>
      <c r="Z526" s="291">
        <f>SUMPRODUCT(E408:E511,Z408:Z511)</f>
        <v>52159.344129999998</v>
      </c>
      <c r="AA526" s="291">
        <f>IF(AA407="kW",SUMPRODUCT(N408:N511,P408:P511,AA408:AA511),SUMPRODUCT(E408:E511,AA408:AA511))</f>
        <v>131.96060940000001</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205730.02510465862</v>
      </c>
      <c r="Z527" s="291">
        <f>SUMPRODUCT(F408:F511,Z408:Z511)</f>
        <v>48756.82748</v>
      </c>
      <c r="AA527" s="291">
        <f>IF(AA407="kW",SUMPRODUCT(N408:N511,Q408:Q511,AA408:AA511),SUMPRODUCT(F408:F511,AA408:AA511))</f>
        <v>131.96060940000001</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202100.14490805863</v>
      </c>
      <c r="Z528" s="291">
        <f>SUMPRODUCT(G408:G511,Z408:Z511)</f>
        <v>36830.740850000002</v>
      </c>
      <c r="AA528" s="291">
        <f>IF(AA407="kW",SUMPRODUCT(N408:N511,R408:R511,AA408:AA511),SUMPRODUCT(G408:G511,AA408:AA511))</f>
        <v>131.96060940000001</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191442.45058981382</v>
      </c>
      <c r="Z529" s="291">
        <f>SUMPRODUCT(H408:H511,Z408:Z511)</f>
        <v>36830.740850000002</v>
      </c>
      <c r="AA529" s="291">
        <f>IF(AA407="kW",SUMPRODUCT(N408:N511,S408:S511,AA408:AA511),SUMPRODUCT(H408:H511,AA408:AA511))</f>
        <v>131.96060940000001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180825.68243538</v>
      </c>
      <c r="Z530" s="291">
        <f>SUMPRODUCT(I408:I511,Z408:Z511)</f>
        <v>36830.740850000002</v>
      </c>
      <c r="AA530" s="291">
        <f>IF(AA407="kW",SUMPRODUCT(N408:N511,T408:T511,AA408:AA511),SUMPRODUCT(I408:I511,AA408:AA511))</f>
        <v>131.96060940000001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177646.81842537998</v>
      </c>
      <c r="Z531" s="326">
        <f>SUMPRODUCT(J408:J511,Z408:Z511)</f>
        <v>36830.740850000002</v>
      </c>
      <c r="AA531" s="326">
        <f>IF(AA407="kW",SUMPRODUCT(N408:N511,U408:U511,AA408:AA511),SUMPRODUCT(J408:J511,AA408:AA511))</f>
        <v>124.82795435999999</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'8.  Streetlighting'!Print_Area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President</cp:lastModifiedBy>
  <cp:lastPrinted>2021-09-24T15:34:43Z</cp:lastPrinted>
  <dcterms:created xsi:type="dcterms:W3CDTF">2012-03-05T18:56:04Z</dcterms:created>
  <dcterms:modified xsi:type="dcterms:W3CDTF">2021-12-08T14:57:15Z</dcterms:modified>
</cp:coreProperties>
</file>