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66925"/>
  <mc:AlternateContent xmlns:mc="http://schemas.openxmlformats.org/markup-compatibility/2006">
    <mc:Choice Requires="x15">
      <x15ac:absPath xmlns:x15ac="http://schemas.microsoft.com/office/spreadsheetml/2010/11/ac" url="\\P-FPS02\Groups\Applications Department\Department Applications\Rates\2022 Electricity Rates\IRM\IRM Applications\Price Cap IR\Algoma\Final Decision and Model\Drafts\"/>
    </mc:Choice>
  </mc:AlternateContent>
  <xr:revisionPtr revIDLastSave="0" documentId="8_{A4F157A3-0883-4200-9FED-ABD73B201C23}" xr6:coauthVersionLast="47" xr6:coauthVersionMax="47" xr10:uidLastSave="{00000000-0000-0000-0000-000000000000}"/>
  <bookViews>
    <workbookView xWindow="-108" yWindow="-108" windowWidth="20376" windowHeight="12216" tabRatio="847" activeTab="4" xr2:uid="{BCA7A719-312A-4980-8E75-18D0BA2F886D}"/>
  </bookViews>
  <sheets>
    <sheet name="Cover Sheet" sheetId="2" r:id="rId1"/>
    <sheet name="Rate Summary" sheetId="3" r:id="rId2"/>
    <sheet name="2020 COS Cost Allocation" sheetId="17" r:id="rId3"/>
    <sheet name="2020 COS Eq Rates and Revenue" sheetId="6" r:id="rId4"/>
    <sheet name="RRRP Rate Design" sheetId="10" r:id="rId5"/>
    <sheet name="Equiv Rates for ACM Model" sheetId="18" r:id="rId6"/>
    <sheet name="IRM Adjustment Factor" sheetId="4" r:id="rId7"/>
    <sheet name="Indexed Revenue" sheetId="7" r:id="rId8"/>
    <sheet name="Non-RRRP Rate Design" sheetId="13" r:id="rId9"/>
    <sheet name="R1(i) Decoupling" sheetId="15" r:id="rId10"/>
    <sheet name="Seasonal Decoupling" sheetId="16"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_xlnm.Print_Area" localSheetId="10">#REF!</definedName>
    <definedName name="____xlnm.Print_Area">#REF!</definedName>
    <definedName name="____xlnm.Print_Area_1" localSheetId="10">#REF!</definedName>
    <definedName name="____xlnm.Print_Area_1">#REF!</definedName>
    <definedName name="___INDEX_SHEET___ASAP_Utilities" localSheetId="10">#REF!</definedName>
    <definedName name="___INDEX_SHEET___ASAP_Utilities">#REF!</definedName>
    <definedName name="___xlnm.Print_Area" localSheetId="10">#REF!</definedName>
    <definedName name="___xlnm.Print_Area">#REF!</definedName>
    <definedName name="___xlnm.Print_Area_1" localSheetId="10">#REF!</definedName>
    <definedName name="___xlnm.Print_Area_1">#REF!</definedName>
    <definedName name="___xlnm.Print_Area_10" localSheetId="10">#REF!</definedName>
    <definedName name="___xlnm.Print_Area_10">#REF!</definedName>
    <definedName name="___xlnm.Print_Area_11" localSheetId="10">#REF!</definedName>
    <definedName name="___xlnm.Print_Area_11">#REF!</definedName>
    <definedName name="___xlnm.Print_Area_12" localSheetId="10">#REF!</definedName>
    <definedName name="___xlnm.Print_Area_12">#REF!</definedName>
    <definedName name="___xlnm.Print_Area_13" localSheetId="10">#REF!</definedName>
    <definedName name="___xlnm.Print_Area_13">#REF!</definedName>
    <definedName name="___xlnm.Print_Area_14" localSheetId="10">#REF!</definedName>
    <definedName name="___xlnm.Print_Area_14">#REF!</definedName>
    <definedName name="___xlnm.Print_Area_15" localSheetId="10">#REF!</definedName>
    <definedName name="___xlnm.Print_Area_15">#REF!</definedName>
    <definedName name="___xlnm.Print_Area_16" localSheetId="10">#REF!</definedName>
    <definedName name="___xlnm.Print_Area_16">#REF!</definedName>
    <definedName name="___xlnm.Print_Area_17" localSheetId="10">#REF!</definedName>
    <definedName name="___xlnm.Print_Area_17">#REF!</definedName>
    <definedName name="___xlnm.Print_Area_18" localSheetId="10">#REF!</definedName>
    <definedName name="___xlnm.Print_Area_18">#REF!</definedName>
    <definedName name="___xlnm.Print_Area_19" localSheetId="10">#REF!</definedName>
    <definedName name="___xlnm.Print_Area_19">#REF!</definedName>
    <definedName name="___xlnm.Print_Area_2" localSheetId="10">#REF!</definedName>
    <definedName name="___xlnm.Print_Area_2">#REF!</definedName>
    <definedName name="___xlnm.Print_Area_20" localSheetId="10">#REF!</definedName>
    <definedName name="___xlnm.Print_Area_20">#REF!</definedName>
    <definedName name="___xlnm.Print_Area_21" localSheetId="10">#REF!</definedName>
    <definedName name="___xlnm.Print_Area_21">#REF!</definedName>
    <definedName name="___xlnm.Print_Area_22" localSheetId="10">#REF!</definedName>
    <definedName name="___xlnm.Print_Area_22">#REF!</definedName>
    <definedName name="___xlnm.Print_Area_23" localSheetId="10">#REF!</definedName>
    <definedName name="___xlnm.Print_Area_23">#REF!</definedName>
    <definedName name="___xlnm.Print_Area_24" localSheetId="10">#REF!</definedName>
    <definedName name="___xlnm.Print_Area_24">#REF!</definedName>
    <definedName name="___xlnm.Print_Area_25" localSheetId="10">#REF!</definedName>
    <definedName name="___xlnm.Print_Area_25">#REF!</definedName>
    <definedName name="___xlnm.Print_Area_26" localSheetId="10">#REF!</definedName>
    <definedName name="___xlnm.Print_Area_26">#REF!</definedName>
    <definedName name="___xlnm.Print_Area_27" localSheetId="10">#REF!</definedName>
    <definedName name="___xlnm.Print_Area_27">#REF!</definedName>
    <definedName name="___xlnm.Print_Area_28" localSheetId="10">#REF!</definedName>
    <definedName name="___xlnm.Print_Area_28">#REF!</definedName>
    <definedName name="___xlnm.Print_Area_29" localSheetId="10">#REF!</definedName>
    <definedName name="___xlnm.Print_Area_29">#REF!</definedName>
    <definedName name="___xlnm.Print_Area_3" localSheetId="10">#REF!</definedName>
    <definedName name="___xlnm.Print_Area_3">#REF!</definedName>
    <definedName name="___xlnm.Print_Area_30" localSheetId="10">#REF!</definedName>
    <definedName name="___xlnm.Print_Area_30">#REF!</definedName>
    <definedName name="___xlnm.Print_Area_31" localSheetId="10">#REF!</definedName>
    <definedName name="___xlnm.Print_Area_31">#REF!</definedName>
    <definedName name="___xlnm.Print_Area_32" localSheetId="10">#REF!</definedName>
    <definedName name="___xlnm.Print_Area_32">#REF!</definedName>
    <definedName name="___xlnm.Print_Area_33" localSheetId="10">#REF!</definedName>
    <definedName name="___xlnm.Print_Area_33">#REF!</definedName>
    <definedName name="___xlnm.Print_Area_34" localSheetId="10">#REF!</definedName>
    <definedName name="___xlnm.Print_Area_34">#REF!</definedName>
    <definedName name="___xlnm.Print_Area_35" localSheetId="10">#REF!</definedName>
    <definedName name="___xlnm.Print_Area_35">#REF!</definedName>
    <definedName name="___xlnm.Print_Area_36" localSheetId="10">#REF!</definedName>
    <definedName name="___xlnm.Print_Area_36">#REF!</definedName>
    <definedName name="___xlnm.Print_Area_37" localSheetId="10">#REF!</definedName>
    <definedName name="___xlnm.Print_Area_37">#REF!</definedName>
    <definedName name="___xlnm.Print_Area_38" localSheetId="10">#REF!</definedName>
    <definedName name="___xlnm.Print_Area_38">#REF!</definedName>
    <definedName name="___xlnm.Print_Area_39" localSheetId="10">#REF!</definedName>
    <definedName name="___xlnm.Print_Area_39">#REF!</definedName>
    <definedName name="___xlnm.Print_Area_4" localSheetId="10">#REF!</definedName>
    <definedName name="___xlnm.Print_Area_4">#REF!</definedName>
    <definedName name="___xlnm.Print_Area_40" localSheetId="10">#REF!</definedName>
    <definedName name="___xlnm.Print_Area_40">#REF!</definedName>
    <definedName name="___xlnm.Print_Area_41" localSheetId="10">#REF!</definedName>
    <definedName name="___xlnm.Print_Area_41">#REF!</definedName>
    <definedName name="___xlnm.Print_Area_42" localSheetId="10">#REF!</definedName>
    <definedName name="___xlnm.Print_Area_42">#REF!</definedName>
    <definedName name="___xlnm.Print_Area_43" localSheetId="10">#REF!</definedName>
    <definedName name="___xlnm.Print_Area_43">#REF!</definedName>
    <definedName name="___xlnm.Print_Area_44" localSheetId="10">#REF!</definedName>
    <definedName name="___xlnm.Print_Area_44">#REF!</definedName>
    <definedName name="___xlnm.Print_Area_45" localSheetId="10">#REF!</definedName>
    <definedName name="___xlnm.Print_Area_45">#REF!</definedName>
    <definedName name="___xlnm.Print_Area_46" localSheetId="10">#REF!</definedName>
    <definedName name="___xlnm.Print_Area_46">#REF!</definedName>
    <definedName name="___xlnm.Print_Area_47" localSheetId="10">#REF!</definedName>
    <definedName name="___xlnm.Print_Area_47">#REF!</definedName>
    <definedName name="___xlnm.Print_Area_48" localSheetId="10">#REF!</definedName>
    <definedName name="___xlnm.Print_Area_48">#REF!</definedName>
    <definedName name="___xlnm.Print_Area_49" localSheetId="10">#REF!</definedName>
    <definedName name="___xlnm.Print_Area_49">#REF!</definedName>
    <definedName name="___xlnm.Print_Area_5" localSheetId="10">#REF!</definedName>
    <definedName name="___xlnm.Print_Area_5">#REF!</definedName>
    <definedName name="___xlnm.Print_Area_6" localSheetId="10">#REF!</definedName>
    <definedName name="___xlnm.Print_Area_6">#REF!</definedName>
    <definedName name="___xlnm.Print_Area_7" localSheetId="10">#REF!</definedName>
    <definedName name="___xlnm.Print_Area_7">#REF!</definedName>
    <definedName name="___xlnm.Print_Area_8" localSheetId="10">#REF!</definedName>
    <definedName name="___xlnm.Print_Area_8">#REF!</definedName>
    <definedName name="___xlnm.Print_Area_9" localSheetId="10">#REF!</definedName>
    <definedName name="___xlnm.Print_Area_9">#REF!</definedName>
    <definedName name="__xlnm._FilterDatabase" localSheetId="10">#REF!</definedName>
    <definedName name="__xlnm._FilterDatabase">#REF!</definedName>
    <definedName name="__xlnm._FilterDatabase_1" localSheetId="10">#REF!</definedName>
    <definedName name="__xlnm._FilterDatabase_1">#REF!</definedName>
    <definedName name="__xlnm.Extract">"#N/A"</definedName>
    <definedName name="__xlnm.Print_Area" localSheetId="10">#REF!</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 localSheetId="10">#REF!</definedName>
    <definedName name="__xlnm.Print_Area_10">#REF!</definedName>
    <definedName name="__xlnm.Print_Area_11" localSheetId="10">#REF!</definedName>
    <definedName name="__xlnm.Print_Area_11">#REF!</definedName>
    <definedName name="__xlnm.Print_Area_12" localSheetId="10">#REF!</definedName>
    <definedName name="__xlnm.Print_Area_12">#REF!</definedName>
    <definedName name="__xlnm.Print_Area_13" localSheetId="10">#REF!</definedName>
    <definedName name="__xlnm.Print_Area_13">#REF!</definedName>
    <definedName name="__xlnm.Print_Area_14" localSheetId="10">#REF!</definedName>
    <definedName name="__xlnm.Print_Area_14">#REF!</definedName>
    <definedName name="__xlnm.Print_Area_15" localSheetId="10">#REF!</definedName>
    <definedName name="__xlnm.Print_Area_15">#REF!</definedName>
    <definedName name="__xlnm.Print_Area_16" localSheetId="10">#REF!</definedName>
    <definedName name="__xlnm.Print_Area_16">#REF!</definedName>
    <definedName name="__xlnm.Print_Area_17" localSheetId="10">#REF!</definedName>
    <definedName name="__xlnm.Print_Area_17">#REF!</definedName>
    <definedName name="__xlnm.Print_Area_18" localSheetId="10">#REF!</definedName>
    <definedName name="__xlnm.Print_Area_18">#REF!</definedName>
    <definedName name="__xlnm.Print_Area_19" localSheetId="10">#REF!</definedName>
    <definedName name="__xlnm.Print_Area_19">#REF!</definedName>
    <definedName name="__xlnm.Print_Area_2" localSheetId="10">#REF!</definedName>
    <definedName name="__xlnm.Print_Area_2">#REF!</definedName>
    <definedName name="__xlnm.Print_Area_2_1" localSheetId="10">#REF!</definedName>
    <definedName name="__xlnm.Print_Area_2_1">#REF!</definedName>
    <definedName name="__xlnm.Print_Area_2_2" localSheetId="10">#REF!</definedName>
    <definedName name="__xlnm.Print_Area_2_2">#REF!</definedName>
    <definedName name="__xlnm.Print_Area_2_3" localSheetId="10">#REF!</definedName>
    <definedName name="__xlnm.Print_Area_2_3">#REF!</definedName>
    <definedName name="__xlnm.Print_Area_2_4" localSheetId="10">#REF!</definedName>
    <definedName name="__xlnm.Print_Area_2_4">#REF!</definedName>
    <definedName name="__xlnm.Print_Area_2_5" localSheetId="10">#REF!</definedName>
    <definedName name="__xlnm.Print_Area_2_5">#REF!</definedName>
    <definedName name="__xlnm.Print_Area_2_6" localSheetId="10">#REF!</definedName>
    <definedName name="__xlnm.Print_Area_2_6">#REF!</definedName>
    <definedName name="__xlnm.Print_Area_20" localSheetId="10">#REF!</definedName>
    <definedName name="__xlnm.Print_Area_20">#REF!</definedName>
    <definedName name="__xlnm.Print_Area_21" localSheetId="10">#REF!</definedName>
    <definedName name="__xlnm.Print_Area_21">#REF!</definedName>
    <definedName name="__xlnm.Print_Area_21_1" localSheetId="10">#REF!</definedName>
    <definedName name="__xlnm.Print_Area_21_1">#REF!</definedName>
    <definedName name="__xlnm.Print_Area_21_2" localSheetId="10">#REF!</definedName>
    <definedName name="__xlnm.Print_Area_21_2">#REF!</definedName>
    <definedName name="__xlnm.Print_Area_21_3" localSheetId="10">#REF!</definedName>
    <definedName name="__xlnm.Print_Area_21_3">#REF!</definedName>
    <definedName name="__xlnm.Print_Area_22" localSheetId="10">#REF!</definedName>
    <definedName name="__xlnm.Print_Area_22">#REF!</definedName>
    <definedName name="__xlnm.Print_Area_23" localSheetId="10">#REF!</definedName>
    <definedName name="__xlnm.Print_Area_23">#REF!</definedName>
    <definedName name="__xlnm.Print_Area_24" localSheetId="10">#REF!</definedName>
    <definedName name="__xlnm.Print_Area_24">#REF!</definedName>
    <definedName name="__xlnm.Print_Area_24_1" localSheetId="10">#REF!</definedName>
    <definedName name="__xlnm.Print_Area_24_1">#REF!</definedName>
    <definedName name="__xlnm.Print_Area_24_2" localSheetId="10">#REF!</definedName>
    <definedName name="__xlnm.Print_Area_24_2">#REF!</definedName>
    <definedName name="__xlnm.Print_Area_25" localSheetId="10">#REF!</definedName>
    <definedName name="__xlnm.Print_Area_25">#REF!</definedName>
    <definedName name="__xlnm.Print_Area_26" localSheetId="10">#REF!</definedName>
    <definedName name="__xlnm.Print_Area_26">#REF!</definedName>
    <definedName name="__xlnm.Print_Area_27" localSheetId="10">#REF!</definedName>
    <definedName name="__xlnm.Print_Area_27">#REF!</definedName>
    <definedName name="__xlnm.Print_Area_28" localSheetId="10">#REF!</definedName>
    <definedName name="__xlnm.Print_Area_28">#REF!</definedName>
    <definedName name="__xlnm.Print_Area_29" localSheetId="10">#REF!</definedName>
    <definedName name="__xlnm.Print_Area_29">#REF!</definedName>
    <definedName name="__xlnm.Print_Area_3" localSheetId="10">#REF!</definedName>
    <definedName name="__xlnm.Print_Area_3">#REF!</definedName>
    <definedName name="__xlnm.Print_Area_30" localSheetId="10">#REF!</definedName>
    <definedName name="__xlnm.Print_Area_30">#REF!</definedName>
    <definedName name="__xlnm.Print_Area_31" localSheetId="10">#REF!</definedName>
    <definedName name="__xlnm.Print_Area_31">#REF!</definedName>
    <definedName name="__xlnm.Print_Area_32" localSheetId="10">#REF!</definedName>
    <definedName name="__xlnm.Print_Area_32">#REF!</definedName>
    <definedName name="__xlnm.Print_Area_33" localSheetId="10">#REF!</definedName>
    <definedName name="__xlnm.Print_Area_33">#REF!</definedName>
    <definedName name="__xlnm.Print_Area_34" localSheetId="10">#REF!</definedName>
    <definedName name="__xlnm.Print_Area_34">#REF!</definedName>
    <definedName name="__xlnm.Print_Area_35" localSheetId="10">#REF!</definedName>
    <definedName name="__xlnm.Print_Area_35">#REF!</definedName>
    <definedName name="__xlnm.Print_Area_36" localSheetId="10">#REF!</definedName>
    <definedName name="__xlnm.Print_Area_36">#REF!</definedName>
    <definedName name="__xlnm.Print_Area_37" localSheetId="10">#REF!</definedName>
    <definedName name="__xlnm.Print_Area_37">#REF!</definedName>
    <definedName name="__xlnm.Print_Area_38" localSheetId="10">#REF!</definedName>
    <definedName name="__xlnm.Print_Area_38">#REF!</definedName>
    <definedName name="__xlnm.Print_Area_39" localSheetId="10">#REF!</definedName>
    <definedName name="__xlnm.Print_Area_39">#REF!</definedName>
    <definedName name="__xlnm.Print_Area_4" localSheetId="10">#REF!</definedName>
    <definedName name="__xlnm.Print_Area_4">#REF!</definedName>
    <definedName name="__xlnm.Print_Area_41" localSheetId="10">#REF!</definedName>
    <definedName name="__xlnm.Print_Area_41">#REF!</definedName>
    <definedName name="__xlnm.Print_Area_42" localSheetId="10">#REF!</definedName>
    <definedName name="__xlnm.Print_Area_42">#REF!</definedName>
    <definedName name="__xlnm.Print_Area_43" localSheetId="10">#REF!</definedName>
    <definedName name="__xlnm.Print_Area_43">#REF!</definedName>
    <definedName name="__xlnm.Print_Area_44" localSheetId="10">#REF!</definedName>
    <definedName name="__xlnm.Print_Area_44">#REF!</definedName>
    <definedName name="__xlnm.Print_Area_45" localSheetId="10">#REF!</definedName>
    <definedName name="__xlnm.Print_Area_45">#REF!</definedName>
    <definedName name="__xlnm.Print_Area_46" localSheetId="10">#REF!</definedName>
    <definedName name="__xlnm.Print_Area_46">#REF!</definedName>
    <definedName name="__xlnm.Print_Area_46_1" localSheetId="10">#REF!</definedName>
    <definedName name="__xlnm.Print_Area_46_1">#REF!</definedName>
    <definedName name="__xlnm.Print_Area_46_2" localSheetId="10">#REF!</definedName>
    <definedName name="__xlnm.Print_Area_46_2">#REF!</definedName>
    <definedName name="__xlnm.Print_Area_46_3" localSheetId="10">#REF!</definedName>
    <definedName name="__xlnm.Print_Area_46_3">#REF!</definedName>
    <definedName name="__xlnm.Print_Area_46_4" localSheetId="10">#REF!</definedName>
    <definedName name="__xlnm.Print_Area_46_4">#REF!</definedName>
    <definedName name="__xlnm.Print_Area_46_5" localSheetId="10">#REF!</definedName>
    <definedName name="__xlnm.Print_Area_46_5">#REF!</definedName>
    <definedName name="__xlnm.Print_Area_46_6" localSheetId="10">#REF!</definedName>
    <definedName name="__xlnm.Print_Area_46_6">#REF!</definedName>
    <definedName name="__xlnm.Print_Area_46_7" localSheetId="10">#REF!</definedName>
    <definedName name="__xlnm.Print_Area_46_7">#REF!</definedName>
    <definedName name="__xlnm.Print_Area_46_8" localSheetId="10">#REF!</definedName>
    <definedName name="__xlnm.Print_Area_46_8">#REF!</definedName>
    <definedName name="__xlnm.Print_Area_46_9" localSheetId="10">#REF!</definedName>
    <definedName name="__xlnm.Print_Area_46_9">#REF!</definedName>
    <definedName name="__xlnm.Print_Area_47">"#REF!"</definedName>
    <definedName name="__xlnm.Print_Area_49" localSheetId="10">#REF!</definedName>
    <definedName name="__xlnm.Print_Area_49">#REF!</definedName>
    <definedName name="__xlnm.Print_Area_5" localSheetId="10">#REF!</definedName>
    <definedName name="__xlnm.Print_Area_5">#REF!</definedName>
    <definedName name="__xlnm.Print_Area_51" localSheetId="10">#REF!</definedName>
    <definedName name="__xlnm.Print_Area_51">#REF!</definedName>
    <definedName name="__xlnm.Print_Area_52" localSheetId="10">#REF!</definedName>
    <definedName name="__xlnm.Print_Area_52">#REF!</definedName>
    <definedName name="__xlnm.Print_Area_53" localSheetId="10">#REF!</definedName>
    <definedName name="__xlnm.Print_Area_53">#REF!</definedName>
    <definedName name="__xlnm.Print_Area_54" localSheetId="10">#REF!</definedName>
    <definedName name="__xlnm.Print_Area_54">#REF!</definedName>
    <definedName name="__xlnm.Print_Area_55" localSheetId="10">#REF!</definedName>
    <definedName name="__xlnm.Print_Area_55">#REF!</definedName>
    <definedName name="__xlnm.Print_Area_56" localSheetId="10">#REF!</definedName>
    <definedName name="__xlnm.Print_Area_56">#REF!</definedName>
    <definedName name="__xlnm.Print_Area_57" localSheetId="10">#REF!</definedName>
    <definedName name="__xlnm.Print_Area_57">#REF!</definedName>
    <definedName name="__xlnm.Print_Area_58" localSheetId="10">#REF!</definedName>
    <definedName name="__xlnm.Print_Area_58">#REF!</definedName>
    <definedName name="__xlnm.Print_Area_59" localSheetId="10">#REF!</definedName>
    <definedName name="__xlnm.Print_Area_59">#REF!</definedName>
    <definedName name="__xlnm.Print_Area_6" localSheetId="10">#REF!</definedName>
    <definedName name="__xlnm.Print_Area_6">#REF!</definedName>
    <definedName name="__xlnm.Print_Area_60" localSheetId="10">#REF!</definedName>
    <definedName name="__xlnm.Print_Area_60">#REF!</definedName>
    <definedName name="__xlnm.Print_Area_61" localSheetId="10">#REF!</definedName>
    <definedName name="__xlnm.Print_Area_61">#REF!</definedName>
    <definedName name="__xlnm.Print_Area_62" localSheetId="10">#REF!</definedName>
    <definedName name="__xlnm.Print_Area_62">#REF!</definedName>
    <definedName name="__xlnm.Print_Area_63" localSheetId="10">#REF!</definedName>
    <definedName name="__xlnm.Print_Area_63">#REF!</definedName>
    <definedName name="__xlnm.Print_Area_64" localSheetId="10">#REF!</definedName>
    <definedName name="__xlnm.Print_Area_64">#REF!</definedName>
    <definedName name="__xlnm.Print_Area_65" localSheetId="10">#REF!</definedName>
    <definedName name="__xlnm.Print_Area_65">#REF!</definedName>
    <definedName name="__xlnm.Print_Area_66" localSheetId="10">#REF!</definedName>
    <definedName name="__xlnm.Print_Area_66">#REF!</definedName>
    <definedName name="__xlnm.Print_Area_67" localSheetId="10">#REF!</definedName>
    <definedName name="__xlnm.Print_Area_67">#REF!</definedName>
    <definedName name="__xlnm.Print_Area_68" localSheetId="10">#REF!</definedName>
    <definedName name="__xlnm.Print_Area_68">#REF!</definedName>
    <definedName name="__xlnm.Print_Area_69" localSheetId="10">#REF!</definedName>
    <definedName name="__xlnm.Print_Area_69">#REF!</definedName>
    <definedName name="__xlnm.Print_Area_7" localSheetId="10">#REF!</definedName>
    <definedName name="__xlnm.Print_Area_7">#REF!</definedName>
    <definedName name="__xlnm.Print_Area_71" localSheetId="10">#REF!</definedName>
    <definedName name="__xlnm.Print_Area_71">#REF!</definedName>
    <definedName name="__xlnm.Print_Area_72" localSheetId="10">#REF!</definedName>
    <definedName name="__xlnm.Print_Area_72">#REF!</definedName>
    <definedName name="__xlnm.Print_Area_73" localSheetId="10">#REF!</definedName>
    <definedName name="__xlnm.Print_Area_73">#REF!</definedName>
    <definedName name="__xlnm.Print_Area_74" localSheetId="10">#REF!</definedName>
    <definedName name="__xlnm.Print_Area_74">#REF!</definedName>
    <definedName name="__xlnm.Print_Area_76" localSheetId="10">#REF!</definedName>
    <definedName name="__xlnm.Print_Area_76">#REF!</definedName>
    <definedName name="__xlnm.Print_Area_77">#N/A</definedName>
    <definedName name="__xlnm.Print_Area_78" localSheetId="10">#REF!</definedName>
    <definedName name="__xlnm.Print_Area_78">#REF!</definedName>
    <definedName name="__xlnm.Print_Area_79" localSheetId="10">#REF!</definedName>
    <definedName name="__xlnm.Print_Area_79">#REF!</definedName>
    <definedName name="__xlnm.Print_Area_8" localSheetId="10">#REF!</definedName>
    <definedName name="__xlnm.Print_Area_8">#REF!</definedName>
    <definedName name="__xlnm.Print_Area_80" localSheetId="10">#REF!</definedName>
    <definedName name="__xlnm.Print_Area_80">#REF!</definedName>
    <definedName name="__xlnm.Print_Area_81" localSheetId="10">#REF!</definedName>
    <definedName name="__xlnm.Print_Area_81">#REF!</definedName>
    <definedName name="__xlnm.Print_Area_9" localSheetId="10">#REF!</definedName>
    <definedName name="__xlnm.Print_Area_9">#REF!</definedName>
    <definedName name="__xlnm.Print_Titles" localSheetId="10">#REF!</definedName>
    <definedName name="__xlnm.Print_Titles">#REF!</definedName>
    <definedName name="__xlnm.Print_Titles_1" localSheetId="10">#REF!</definedName>
    <definedName name="__xlnm.Print_Titles_1">#REF!</definedName>
    <definedName name="__xlnm.Print_Titles_2" localSheetId="10">#REF!</definedName>
    <definedName name="__xlnm.Print_Titles_2">#REF!</definedName>
    <definedName name="_ftn1">"#N/A"</definedName>
    <definedName name="_ftnref1">"#N/A"</definedName>
    <definedName name="_Parse_Out" localSheetId="10" hidden="1">#REF!</definedName>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'[4]LDC Info'!$E$26</definedName>
    <definedName name="contactf" localSheetId="10">#REF!</definedName>
    <definedName name="contactf">#REF!</definedName>
    <definedName name="CRLF">'[1]Z1.ModelVariables'!$C$10</definedName>
    <definedName name="CustomerAdministration">[5]lists!$Z$1:$Z$36</definedName>
    <definedName name="EBCaseNumber">"#N/A"</definedName>
    <definedName name="EBNUMBER">'[6]LDC Info'!$E$16</definedName>
    <definedName name="Fixed_Charges">[5]lists!$I$1:$I$212</definedName>
    <definedName name="histdate">[7]Financials!$E$76</definedName>
    <definedName name="holidays">#N/A</definedName>
    <definedName name="Incr2000" localSheetId="10">#REF!</definedName>
    <definedName name="Incr2000">#REF!</definedName>
    <definedName name="Index_Sheet_Kutools" localSheetId="10">#REF!</definedName>
    <definedName name="Index_Sheet_Kutools">#REF!</definedName>
    <definedName name="infra">"#REF!"</definedName>
    <definedName name="IRMWG">"#N/A"</definedName>
    <definedName name="IRMWG_1">"#N/A"</definedName>
    <definedName name="Last_Rebasing_Year">'[3]0.1 LDC Info'!$E$27</definedName>
    <definedName name="LDC_LIST">[8]lists!$AM$1:$AM$80</definedName>
    <definedName name="LDC_LIST_1" localSheetId="10">#REF!</definedName>
    <definedName name="LDC_LIST_1">#REF!</definedName>
    <definedName name="LDC_LIST_2">[9]lists!$AM$1:$AM$80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[5]lists!$AL$1:$AL$78</definedName>
    <definedName name="LIMIT" localSheetId="10">#REF!</definedName>
    <definedName name="LIMIT">#REF!</definedName>
    <definedName name="LossFactors">[5]lists!$L$2:$L$15</definedName>
    <definedName name="man_beg_bud" localSheetId="10">#REF!</definedName>
    <definedName name="man_beg_bud">#REF!</definedName>
    <definedName name="man_end_bud" localSheetId="10">#REF!</definedName>
    <definedName name="man_end_bud">#REF!</definedName>
    <definedName name="man12ACT" localSheetId="10">#REF!</definedName>
    <definedName name="man12ACT">#REF!</definedName>
    <definedName name="MANBUD" localSheetId="10">#REF!</definedName>
    <definedName name="MANBUD">#REF!</definedName>
    <definedName name="manCYACT" localSheetId="10">#REF!</definedName>
    <definedName name="manCYACT">#REF!</definedName>
    <definedName name="manCYBUD" localSheetId="10">#REF!</definedName>
    <definedName name="manCYBUD">#REF!</definedName>
    <definedName name="manCYF" localSheetId="10">#REF!</definedName>
    <definedName name="manCYF">#REF!</definedName>
    <definedName name="MANEND" localSheetId="10">#REF!</definedName>
    <definedName name="MANEND">#REF!</definedName>
    <definedName name="manNYbud" localSheetId="10">#REF!</definedName>
    <definedName name="manNYbud">#REF!</definedName>
    <definedName name="manpower_costs" localSheetId="10">#REF!</definedName>
    <definedName name="manpower_costs">#REF!</definedName>
    <definedName name="manPYACT" localSheetId="10">#REF!</definedName>
    <definedName name="manPYACT">#REF!</definedName>
    <definedName name="MANSTART" localSheetId="10">#REF!</definedName>
    <definedName name="MANSTART">#REF!</definedName>
    <definedName name="mat_beg_bud" localSheetId="10">#REF!</definedName>
    <definedName name="mat_beg_bud">#REF!</definedName>
    <definedName name="mat_end_bud" localSheetId="10">#REF!</definedName>
    <definedName name="mat_end_bud">#REF!</definedName>
    <definedName name="mat12ACT" localSheetId="10">#REF!</definedName>
    <definedName name="mat12ACT">#REF!</definedName>
    <definedName name="MATBUD" localSheetId="10">#REF!</definedName>
    <definedName name="MATBUD">#REF!</definedName>
    <definedName name="matCYACT" localSheetId="10">#REF!</definedName>
    <definedName name="matCYACT">#REF!</definedName>
    <definedName name="matCYBUD" localSheetId="10">#REF!</definedName>
    <definedName name="matCYBUD">#REF!</definedName>
    <definedName name="matCYF" localSheetId="10">#REF!</definedName>
    <definedName name="matCYF">#REF!</definedName>
    <definedName name="MATEND" localSheetId="10">#REF!</definedName>
    <definedName name="MATEND">#REF!</definedName>
    <definedName name="material_costs" localSheetId="10">#REF!</definedName>
    <definedName name="material_costs">#REF!</definedName>
    <definedName name="matNYbud" localSheetId="10">#REF!</definedName>
    <definedName name="matNYbud">#REF!</definedName>
    <definedName name="matPYACT" localSheetId="10">#REF!</definedName>
    <definedName name="matPYACT">#REF!</definedName>
    <definedName name="MATSTART" localSheetId="10">#REF!</definedName>
    <definedName name="MATSTART">#REF!</definedName>
    <definedName name="NonPayment">[5]lists!$AA$1:$AA$71</definedName>
    <definedName name="OLE_LINK1">"#REF!"</definedName>
    <definedName name="OLE_LINK7">"#REF!"</definedName>
    <definedName name="oth_beg_bud" localSheetId="10">#REF!</definedName>
    <definedName name="oth_beg_bud">#REF!</definedName>
    <definedName name="oth_end_bud" localSheetId="10">#REF!</definedName>
    <definedName name="oth_end_bud">#REF!</definedName>
    <definedName name="oth12ACT" localSheetId="10">#REF!</definedName>
    <definedName name="oth12ACT">#REF!</definedName>
    <definedName name="othCYACT" localSheetId="10">#REF!</definedName>
    <definedName name="othCYACT">#REF!</definedName>
    <definedName name="othCYBUD" localSheetId="10">#REF!</definedName>
    <definedName name="othCYBUD">#REF!</definedName>
    <definedName name="othCYF" localSheetId="10">#REF!</definedName>
    <definedName name="othCYF">#REF!</definedName>
    <definedName name="OTHEND" localSheetId="10">#REF!</definedName>
    <definedName name="OTHEND">#REF!</definedName>
    <definedName name="other_costs" localSheetId="10">#REF!</definedName>
    <definedName name="other_costs">#REF!</definedName>
    <definedName name="OTHERBUD" localSheetId="10">#REF!</definedName>
    <definedName name="OTHERBUD">#REF!</definedName>
    <definedName name="othNYbud" localSheetId="10">#REF!</definedName>
    <definedName name="othNYbud">#REF!</definedName>
    <definedName name="othPYACT" localSheetId="10">#REF!</definedName>
    <definedName name="othPYACT">#REF!</definedName>
    <definedName name="OTHSTART" localSheetId="10">#REF!</definedName>
    <definedName name="OTHSTART">#REF!</definedName>
    <definedName name="print_end" localSheetId="10">#REF!</definedName>
    <definedName name="print_end">#REF!</definedName>
    <definedName name="Rate_Class">[5]lists!$A$2:$A$105</definedName>
    <definedName name="RATE_CLASSES">[5]lists!$A$1:$A$104</definedName>
    <definedName name="ratedescription">[10]hidden1!$D$1:$D$122</definedName>
    <definedName name="RebaseYear">'[11]LDC Info'!$E$28</definedName>
    <definedName name="RebaseYear_1">'[12]LDC Info'!$E$24</definedName>
    <definedName name="RMpilsVer">'[13]Z1.ModelVariables'!$C$13</definedName>
    <definedName name="RMversion">'[14]Z1.ModelVariables'!$C$13</definedName>
    <definedName name="SALBENF" localSheetId="10">#REF!</definedName>
    <definedName name="SALBENF">#REF!</definedName>
    <definedName name="salreg" localSheetId="10">#REF!</definedName>
    <definedName name="salreg">#REF!</definedName>
    <definedName name="SALREGF" localSheetId="10">#REF!</definedName>
    <definedName name="SALREGF">#REF!</definedName>
    <definedName name="sdfvgsdfsf" localSheetId="10">#REF!</definedName>
    <definedName name="sdfvgsdfsf">#REF!</definedName>
    <definedName name="Start_12" localSheetId="10">#REF!</definedName>
    <definedName name="Start_12">#REF!</definedName>
    <definedName name="Start_5" localSheetId="10">#REF!</definedName>
    <definedName name="Start_5">#REF!</definedName>
    <definedName name="TEMPA" localSheetId="10">#REF!</definedName>
    <definedName name="TEMPA">#REF!</definedName>
    <definedName name="Test_Year">'[3]0.1 LDC Info'!$E$25</definedName>
    <definedName name="TestYear">'[4]LDC Info'!$E$24</definedName>
    <definedName name="TestYr">'[13]P0.Admin'!$C$13</definedName>
    <definedName name="total_dept" localSheetId="10">#REF!</definedName>
    <definedName name="total_dept">#REF!</definedName>
    <definedName name="total_manpower" localSheetId="10">#REF!</definedName>
    <definedName name="total_manpower">#REF!</definedName>
    <definedName name="total_material" localSheetId="10">#REF!</definedName>
    <definedName name="total_material">#REF!</definedName>
    <definedName name="total_other" localSheetId="10">#REF!</definedName>
    <definedName name="total_other">#REF!</definedName>
    <definedName name="total_transportation" localSheetId="10">#REF!</definedName>
    <definedName name="total_transportation">#REF!</definedName>
    <definedName name="TRANBUD" localSheetId="10">#REF!</definedName>
    <definedName name="TRANBUD">#REF!</definedName>
    <definedName name="TRANEND" localSheetId="10">#REF!</definedName>
    <definedName name="TRANEND">#REF!</definedName>
    <definedName name="transportation_costs" localSheetId="10">#REF!</definedName>
    <definedName name="transportation_costs">#REF!</definedName>
    <definedName name="TRANSTART" localSheetId="10">#REF!</definedName>
    <definedName name="TRANSTART">#REF!</definedName>
    <definedName name="trn_beg_bud" localSheetId="10">#REF!</definedName>
    <definedName name="trn_beg_bud">#REF!</definedName>
    <definedName name="trn_end_bud" localSheetId="10">#REF!</definedName>
    <definedName name="trn_end_bud">#REF!</definedName>
    <definedName name="trn12ACT" localSheetId="10">#REF!</definedName>
    <definedName name="trn12ACT">#REF!</definedName>
    <definedName name="trnCYACT" localSheetId="10">#REF!</definedName>
    <definedName name="trnCYACT">#REF!</definedName>
    <definedName name="trnCYBUD" localSheetId="10">#REF!</definedName>
    <definedName name="trnCYBUD">#REF!</definedName>
    <definedName name="trnCYF" localSheetId="10">#REF!</definedName>
    <definedName name="trnCYF">#REF!</definedName>
    <definedName name="trnNYbud" localSheetId="10">#REF!</definedName>
    <definedName name="trnNYbud">#REF!</definedName>
    <definedName name="trnPYACT" localSheetId="10">#REF!</definedName>
    <definedName name="trnPYACT">#REF!</definedName>
    <definedName name="Units">[5]lists!$N$2:$N$5</definedName>
    <definedName name="Units1">[5]lists!$O$2:$O$4</definedName>
    <definedName name="Units2">[5]lists!$P$2:$P$3</definedName>
    <definedName name="Utility">[7]Financials!$A$1</definedName>
    <definedName name="utitliy1">[15]Financials!$A$1</definedName>
    <definedName name="valuevx">42.314159</definedName>
    <definedName name="WAGBENF" localSheetId="10">#REF!</definedName>
    <definedName name="WAGBENF">#REF!</definedName>
    <definedName name="wagdob" localSheetId="10">#REF!</definedName>
    <definedName name="wagdob">#REF!</definedName>
    <definedName name="wagdobf" localSheetId="10">#REF!</definedName>
    <definedName name="wagdobf">#REF!</definedName>
    <definedName name="wagreg" localSheetId="10">#REF!</definedName>
    <definedName name="wagreg">#REF!</definedName>
    <definedName name="wagregf" localSheetId="10">#REF!</definedName>
    <definedName name="wagregf">#REF!</definedName>
    <definedName name="Z_258F368B_AF27_44ED_A772_A0C4A2AFB945_.wvu.Cols" localSheetId="10">#REF!</definedName>
    <definedName name="Z_258F368B_AF27_44ED_A772_A0C4A2AFB945_.wvu.Cols">#REF!</definedName>
    <definedName name="Z_258F368B_AF27_44ED_A772_A0C4A2AFB945_.wvu.Cols_1" localSheetId="10">#REF!</definedName>
    <definedName name="Z_258F368B_AF27_44ED_A772_A0C4A2AFB945_.wvu.Cols_1">#REF!</definedName>
    <definedName name="Z_258F368B_AF27_44ED_A772_A0C4A2AFB945_.wvu.Cols_2">#N/A</definedName>
    <definedName name="Z_258F368B_AF27_44ED_A772_A0C4A2AFB945_.wvu.FilterData" localSheetId="10">#REF!</definedName>
    <definedName name="Z_258F368B_AF27_44ED_A772_A0C4A2AFB945_.wvu.FilterData">#REF!</definedName>
    <definedName name="Z_258F368B_AF27_44ED_A772_A0C4A2AFB945_.wvu.PrintArea" localSheetId="10">#REF!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 localSheetId="10">#REF!</definedName>
    <definedName name="Z_258F368B_AF27_44ED_A772_A0C4A2AFB945_.wvu.PrintArea_10">#REF!</definedName>
    <definedName name="Z_258F368B_AF27_44ED_A772_A0C4A2AFB945_.wvu.PrintArea_11" localSheetId="10">#REF!</definedName>
    <definedName name="Z_258F368B_AF27_44ED_A772_A0C4A2AFB945_.wvu.PrintArea_11">#REF!</definedName>
    <definedName name="Z_258F368B_AF27_44ED_A772_A0C4A2AFB945_.wvu.PrintArea_12" localSheetId="10">#REF!</definedName>
    <definedName name="Z_258F368B_AF27_44ED_A772_A0C4A2AFB945_.wvu.PrintArea_12">#REF!</definedName>
    <definedName name="Z_258F368B_AF27_44ED_A772_A0C4A2AFB945_.wvu.PrintArea_13" localSheetId="10">#REF!</definedName>
    <definedName name="Z_258F368B_AF27_44ED_A772_A0C4A2AFB945_.wvu.PrintArea_13">#REF!</definedName>
    <definedName name="Z_258F368B_AF27_44ED_A772_A0C4A2AFB945_.wvu.PrintArea_14" localSheetId="10">#REF!</definedName>
    <definedName name="Z_258F368B_AF27_44ED_A772_A0C4A2AFB945_.wvu.PrintArea_14">#REF!</definedName>
    <definedName name="Z_258F368B_AF27_44ED_A772_A0C4A2AFB945_.wvu.PrintArea_15" localSheetId="10">#REF!</definedName>
    <definedName name="Z_258F368B_AF27_44ED_A772_A0C4A2AFB945_.wvu.PrintArea_15">#REF!</definedName>
    <definedName name="Z_258F368B_AF27_44ED_A772_A0C4A2AFB945_.wvu.PrintArea_16" localSheetId="10">#REF!</definedName>
    <definedName name="Z_258F368B_AF27_44ED_A772_A0C4A2AFB945_.wvu.PrintArea_16">#REF!</definedName>
    <definedName name="Z_258F368B_AF27_44ED_A772_A0C4A2AFB945_.wvu.PrintArea_17" localSheetId="10">#REF!</definedName>
    <definedName name="Z_258F368B_AF27_44ED_A772_A0C4A2AFB945_.wvu.PrintArea_17">#REF!</definedName>
    <definedName name="Z_258F368B_AF27_44ED_A772_A0C4A2AFB945_.wvu.PrintArea_18" localSheetId="10">#REF!</definedName>
    <definedName name="Z_258F368B_AF27_44ED_A772_A0C4A2AFB945_.wvu.PrintArea_18">#REF!</definedName>
    <definedName name="Z_258F368B_AF27_44ED_A772_A0C4A2AFB945_.wvu.PrintArea_19" localSheetId="10">#REF!</definedName>
    <definedName name="Z_258F368B_AF27_44ED_A772_A0C4A2AFB945_.wvu.PrintArea_19">#REF!</definedName>
    <definedName name="Z_258F368B_AF27_44ED_A772_A0C4A2AFB945_.wvu.PrintArea_2" localSheetId="10">#REF!</definedName>
    <definedName name="Z_258F368B_AF27_44ED_A772_A0C4A2AFB945_.wvu.PrintArea_2">#REF!</definedName>
    <definedName name="Z_258F368B_AF27_44ED_A772_A0C4A2AFB945_.wvu.PrintArea_2_1" localSheetId="10">#REF!</definedName>
    <definedName name="Z_258F368B_AF27_44ED_A772_A0C4A2AFB945_.wvu.PrintArea_2_1">#REF!</definedName>
    <definedName name="Z_258F368B_AF27_44ED_A772_A0C4A2AFB945_.wvu.PrintArea_2_2" localSheetId="10">#REF!</definedName>
    <definedName name="Z_258F368B_AF27_44ED_A772_A0C4A2AFB945_.wvu.PrintArea_2_2">#REF!</definedName>
    <definedName name="Z_258F368B_AF27_44ED_A772_A0C4A2AFB945_.wvu.PrintArea_2_3" localSheetId="10">#REF!</definedName>
    <definedName name="Z_258F368B_AF27_44ED_A772_A0C4A2AFB945_.wvu.PrintArea_2_3">#REF!</definedName>
    <definedName name="Z_258F368B_AF27_44ED_A772_A0C4A2AFB945_.wvu.PrintArea_2_4" localSheetId="10">#REF!</definedName>
    <definedName name="Z_258F368B_AF27_44ED_A772_A0C4A2AFB945_.wvu.PrintArea_2_4">#REF!</definedName>
    <definedName name="Z_258F368B_AF27_44ED_A772_A0C4A2AFB945_.wvu.PrintArea_2_5" localSheetId="10">#REF!</definedName>
    <definedName name="Z_258F368B_AF27_44ED_A772_A0C4A2AFB945_.wvu.PrintArea_2_5">#REF!</definedName>
    <definedName name="Z_258F368B_AF27_44ED_A772_A0C4A2AFB945_.wvu.PrintArea_2_6" localSheetId="10">#REF!</definedName>
    <definedName name="Z_258F368B_AF27_44ED_A772_A0C4A2AFB945_.wvu.PrintArea_2_6">#REF!</definedName>
    <definedName name="Z_258F368B_AF27_44ED_A772_A0C4A2AFB945_.wvu.PrintArea_20" localSheetId="10">#REF!</definedName>
    <definedName name="Z_258F368B_AF27_44ED_A772_A0C4A2AFB945_.wvu.PrintArea_20">#REF!</definedName>
    <definedName name="Z_258F368B_AF27_44ED_A772_A0C4A2AFB945_.wvu.PrintArea_21" localSheetId="10">#REF!</definedName>
    <definedName name="Z_258F368B_AF27_44ED_A772_A0C4A2AFB945_.wvu.PrintArea_21">#REF!</definedName>
    <definedName name="Z_258F368B_AF27_44ED_A772_A0C4A2AFB945_.wvu.PrintArea_21_1" localSheetId="10">#REF!</definedName>
    <definedName name="Z_258F368B_AF27_44ED_A772_A0C4A2AFB945_.wvu.PrintArea_21_1">#REF!</definedName>
    <definedName name="Z_258F368B_AF27_44ED_A772_A0C4A2AFB945_.wvu.PrintArea_21_2" localSheetId="10">#REF!</definedName>
    <definedName name="Z_258F368B_AF27_44ED_A772_A0C4A2AFB945_.wvu.PrintArea_21_2">#REF!</definedName>
    <definedName name="Z_258F368B_AF27_44ED_A772_A0C4A2AFB945_.wvu.PrintArea_21_3" localSheetId="10">#REF!</definedName>
    <definedName name="Z_258F368B_AF27_44ED_A772_A0C4A2AFB945_.wvu.PrintArea_21_3">#REF!</definedName>
    <definedName name="Z_258F368B_AF27_44ED_A772_A0C4A2AFB945_.wvu.PrintArea_22" localSheetId="10">#REF!</definedName>
    <definedName name="Z_258F368B_AF27_44ED_A772_A0C4A2AFB945_.wvu.PrintArea_22">#REF!</definedName>
    <definedName name="Z_258F368B_AF27_44ED_A772_A0C4A2AFB945_.wvu.PrintArea_23" localSheetId="10">#REF!</definedName>
    <definedName name="Z_258F368B_AF27_44ED_A772_A0C4A2AFB945_.wvu.PrintArea_23">#REF!</definedName>
    <definedName name="Z_258F368B_AF27_44ED_A772_A0C4A2AFB945_.wvu.PrintArea_24" localSheetId="10">#REF!</definedName>
    <definedName name="Z_258F368B_AF27_44ED_A772_A0C4A2AFB945_.wvu.PrintArea_24">#REF!</definedName>
    <definedName name="Z_258F368B_AF27_44ED_A772_A0C4A2AFB945_.wvu.PrintArea_24_1" localSheetId="10">#REF!</definedName>
    <definedName name="Z_258F368B_AF27_44ED_A772_A0C4A2AFB945_.wvu.PrintArea_24_1">#REF!</definedName>
    <definedName name="Z_258F368B_AF27_44ED_A772_A0C4A2AFB945_.wvu.PrintArea_24_2" localSheetId="10">#REF!</definedName>
    <definedName name="Z_258F368B_AF27_44ED_A772_A0C4A2AFB945_.wvu.PrintArea_24_2">#REF!</definedName>
    <definedName name="Z_258F368B_AF27_44ED_A772_A0C4A2AFB945_.wvu.PrintArea_25" localSheetId="10">#REF!</definedName>
    <definedName name="Z_258F368B_AF27_44ED_A772_A0C4A2AFB945_.wvu.PrintArea_25">#REF!</definedName>
    <definedName name="Z_258F368B_AF27_44ED_A772_A0C4A2AFB945_.wvu.PrintArea_26" localSheetId="10">#REF!</definedName>
    <definedName name="Z_258F368B_AF27_44ED_A772_A0C4A2AFB945_.wvu.PrintArea_26">#REF!</definedName>
    <definedName name="Z_258F368B_AF27_44ED_A772_A0C4A2AFB945_.wvu.PrintArea_27" localSheetId="10">#REF!</definedName>
    <definedName name="Z_258F368B_AF27_44ED_A772_A0C4A2AFB945_.wvu.PrintArea_27">#REF!</definedName>
    <definedName name="Z_258F368B_AF27_44ED_A772_A0C4A2AFB945_.wvu.PrintArea_28" localSheetId="10">#REF!</definedName>
    <definedName name="Z_258F368B_AF27_44ED_A772_A0C4A2AFB945_.wvu.PrintArea_28">#REF!</definedName>
    <definedName name="Z_258F368B_AF27_44ED_A772_A0C4A2AFB945_.wvu.PrintArea_29" localSheetId="10">#REF!</definedName>
    <definedName name="Z_258F368B_AF27_44ED_A772_A0C4A2AFB945_.wvu.PrintArea_29">#REF!</definedName>
    <definedName name="Z_258F368B_AF27_44ED_A772_A0C4A2AFB945_.wvu.PrintArea_3" localSheetId="10">#REF!</definedName>
    <definedName name="Z_258F368B_AF27_44ED_A772_A0C4A2AFB945_.wvu.PrintArea_3">#REF!</definedName>
    <definedName name="Z_258F368B_AF27_44ED_A772_A0C4A2AFB945_.wvu.PrintArea_30" localSheetId="10">#REF!</definedName>
    <definedName name="Z_258F368B_AF27_44ED_A772_A0C4A2AFB945_.wvu.PrintArea_30">#REF!</definedName>
    <definedName name="Z_258F368B_AF27_44ED_A772_A0C4A2AFB945_.wvu.PrintArea_31" localSheetId="10">#REF!</definedName>
    <definedName name="Z_258F368B_AF27_44ED_A772_A0C4A2AFB945_.wvu.PrintArea_31">#REF!</definedName>
    <definedName name="Z_258F368B_AF27_44ED_A772_A0C4A2AFB945_.wvu.PrintArea_32" localSheetId="10">#REF!</definedName>
    <definedName name="Z_258F368B_AF27_44ED_A772_A0C4A2AFB945_.wvu.PrintArea_32">#REF!</definedName>
    <definedName name="Z_258F368B_AF27_44ED_A772_A0C4A2AFB945_.wvu.PrintArea_33" localSheetId="10">#REF!</definedName>
    <definedName name="Z_258F368B_AF27_44ED_A772_A0C4A2AFB945_.wvu.PrintArea_33">#REF!</definedName>
    <definedName name="Z_258F368B_AF27_44ED_A772_A0C4A2AFB945_.wvu.PrintArea_34" localSheetId="10">#REF!</definedName>
    <definedName name="Z_258F368B_AF27_44ED_A772_A0C4A2AFB945_.wvu.PrintArea_34">#REF!</definedName>
    <definedName name="Z_258F368B_AF27_44ED_A772_A0C4A2AFB945_.wvu.PrintArea_35" localSheetId="10">#REF!</definedName>
    <definedName name="Z_258F368B_AF27_44ED_A772_A0C4A2AFB945_.wvu.PrintArea_35">#REF!</definedName>
    <definedName name="Z_258F368B_AF27_44ED_A772_A0C4A2AFB945_.wvu.PrintArea_36" localSheetId="10">#REF!</definedName>
    <definedName name="Z_258F368B_AF27_44ED_A772_A0C4A2AFB945_.wvu.PrintArea_36">#REF!</definedName>
    <definedName name="Z_258F368B_AF27_44ED_A772_A0C4A2AFB945_.wvu.PrintArea_37" localSheetId="10">#REF!</definedName>
    <definedName name="Z_258F368B_AF27_44ED_A772_A0C4A2AFB945_.wvu.PrintArea_37">#REF!</definedName>
    <definedName name="Z_258F368B_AF27_44ED_A772_A0C4A2AFB945_.wvu.PrintArea_38" localSheetId="10">#REF!</definedName>
    <definedName name="Z_258F368B_AF27_44ED_A772_A0C4A2AFB945_.wvu.PrintArea_38">#REF!</definedName>
    <definedName name="Z_258F368B_AF27_44ED_A772_A0C4A2AFB945_.wvu.PrintArea_39" localSheetId="10">#REF!</definedName>
    <definedName name="Z_258F368B_AF27_44ED_A772_A0C4A2AFB945_.wvu.PrintArea_39">#REF!</definedName>
    <definedName name="Z_258F368B_AF27_44ED_A772_A0C4A2AFB945_.wvu.PrintArea_4" localSheetId="10">#REF!</definedName>
    <definedName name="Z_258F368B_AF27_44ED_A772_A0C4A2AFB945_.wvu.PrintArea_4">#REF!</definedName>
    <definedName name="Z_258F368B_AF27_44ED_A772_A0C4A2AFB945_.wvu.PrintArea_41" localSheetId="10">#REF!</definedName>
    <definedName name="Z_258F368B_AF27_44ED_A772_A0C4A2AFB945_.wvu.PrintArea_41">#REF!</definedName>
    <definedName name="Z_258F368B_AF27_44ED_A772_A0C4A2AFB945_.wvu.PrintArea_42" localSheetId="10">#REF!</definedName>
    <definedName name="Z_258F368B_AF27_44ED_A772_A0C4A2AFB945_.wvu.PrintArea_42">#REF!</definedName>
    <definedName name="Z_258F368B_AF27_44ED_A772_A0C4A2AFB945_.wvu.PrintArea_43" localSheetId="10">#REF!</definedName>
    <definedName name="Z_258F368B_AF27_44ED_A772_A0C4A2AFB945_.wvu.PrintArea_43">#REF!</definedName>
    <definedName name="Z_258F368B_AF27_44ED_A772_A0C4A2AFB945_.wvu.PrintArea_44" localSheetId="10">#REF!</definedName>
    <definedName name="Z_258F368B_AF27_44ED_A772_A0C4A2AFB945_.wvu.PrintArea_44">#REF!</definedName>
    <definedName name="Z_258F368B_AF27_44ED_A772_A0C4A2AFB945_.wvu.PrintArea_45" localSheetId="10">#REF!</definedName>
    <definedName name="Z_258F368B_AF27_44ED_A772_A0C4A2AFB945_.wvu.PrintArea_45">#REF!</definedName>
    <definedName name="Z_258F368B_AF27_44ED_A772_A0C4A2AFB945_.wvu.PrintArea_46" localSheetId="10">#REF!</definedName>
    <definedName name="Z_258F368B_AF27_44ED_A772_A0C4A2AFB945_.wvu.PrintArea_46">#REF!</definedName>
    <definedName name="Z_258F368B_AF27_44ED_A772_A0C4A2AFB945_.wvu.PrintArea_46_1" localSheetId="10">#REF!</definedName>
    <definedName name="Z_258F368B_AF27_44ED_A772_A0C4A2AFB945_.wvu.PrintArea_46_1">#REF!</definedName>
    <definedName name="Z_258F368B_AF27_44ED_A772_A0C4A2AFB945_.wvu.PrintArea_46_2" localSheetId="10">#REF!</definedName>
    <definedName name="Z_258F368B_AF27_44ED_A772_A0C4A2AFB945_.wvu.PrintArea_46_2">#REF!</definedName>
    <definedName name="Z_258F368B_AF27_44ED_A772_A0C4A2AFB945_.wvu.PrintArea_46_3" localSheetId="10">#REF!</definedName>
    <definedName name="Z_258F368B_AF27_44ED_A772_A0C4A2AFB945_.wvu.PrintArea_46_3">#REF!</definedName>
    <definedName name="Z_258F368B_AF27_44ED_A772_A0C4A2AFB945_.wvu.PrintArea_46_4" localSheetId="10">#REF!</definedName>
    <definedName name="Z_258F368B_AF27_44ED_A772_A0C4A2AFB945_.wvu.PrintArea_46_4">#REF!</definedName>
    <definedName name="Z_258F368B_AF27_44ED_A772_A0C4A2AFB945_.wvu.PrintArea_46_5" localSheetId="10">#REF!</definedName>
    <definedName name="Z_258F368B_AF27_44ED_A772_A0C4A2AFB945_.wvu.PrintArea_46_5">#REF!</definedName>
    <definedName name="Z_258F368B_AF27_44ED_A772_A0C4A2AFB945_.wvu.PrintArea_46_6" localSheetId="10">#REF!</definedName>
    <definedName name="Z_258F368B_AF27_44ED_A772_A0C4A2AFB945_.wvu.PrintArea_46_6">#REF!</definedName>
    <definedName name="Z_258F368B_AF27_44ED_A772_A0C4A2AFB945_.wvu.PrintArea_46_7" localSheetId="10">#REF!</definedName>
    <definedName name="Z_258F368B_AF27_44ED_A772_A0C4A2AFB945_.wvu.PrintArea_46_7">#REF!</definedName>
    <definedName name="Z_258F368B_AF27_44ED_A772_A0C4A2AFB945_.wvu.PrintArea_46_8" localSheetId="10">#REF!</definedName>
    <definedName name="Z_258F368B_AF27_44ED_A772_A0C4A2AFB945_.wvu.PrintArea_46_8">#REF!</definedName>
    <definedName name="Z_258F368B_AF27_44ED_A772_A0C4A2AFB945_.wvu.PrintArea_46_9" localSheetId="10">#REF!</definedName>
    <definedName name="Z_258F368B_AF27_44ED_A772_A0C4A2AFB945_.wvu.PrintArea_46_9">#REF!</definedName>
    <definedName name="Z_258F368B_AF27_44ED_A772_A0C4A2AFB945_.wvu.PrintArea_47">"#REF!"</definedName>
    <definedName name="Z_258F368B_AF27_44ED_A772_A0C4A2AFB945_.wvu.PrintArea_49" localSheetId="10">#REF!</definedName>
    <definedName name="Z_258F368B_AF27_44ED_A772_A0C4A2AFB945_.wvu.PrintArea_49">#REF!</definedName>
    <definedName name="Z_258F368B_AF27_44ED_A772_A0C4A2AFB945_.wvu.PrintArea_5" localSheetId="10">#REF!</definedName>
    <definedName name="Z_258F368B_AF27_44ED_A772_A0C4A2AFB945_.wvu.PrintArea_5">#REF!</definedName>
    <definedName name="Z_258F368B_AF27_44ED_A772_A0C4A2AFB945_.wvu.PrintArea_6" localSheetId="10">#REF!</definedName>
    <definedName name="Z_258F368B_AF27_44ED_A772_A0C4A2AFB945_.wvu.PrintArea_6">#REF!</definedName>
    <definedName name="Z_258F368B_AF27_44ED_A772_A0C4A2AFB945_.wvu.PrintArea_7" localSheetId="10">#REF!</definedName>
    <definedName name="Z_258F368B_AF27_44ED_A772_A0C4A2AFB945_.wvu.PrintArea_7">#REF!</definedName>
    <definedName name="Z_258F368B_AF27_44ED_A772_A0C4A2AFB945_.wvu.PrintArea_8" localSheetId="10">#REF!</definedName>
    <definedName name="Z_258F368B_AF27_44ED_A772_A0C4A2AFB945_.wvu.PrintArea_8">#REF!</definedName>
    <definedName name="Z_258F368B_AF27_44ED_A772_A0C4A2AFB945_.wvu.PrintArea_9" localSheetId="10">#REF!</definedName>
    <definedName name="Z_258F368B_AF27_44ED_A772_A0C4A2AFB945_.wvu.PrintArea_9">#REF!</definedName>
    <definedName name="Z_258F368B_AF27_44ED_A772_A0C4A2AFB945_.wvu.Rows" localSheetId="10">#REF!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 i="18" l="1"/>
  <c r="J17" i="18"/>
  <c r="J18" i="18"/>
  <c r="J15" i="18"/>
  <c r="I18" i="18"/>
  <c r="I16" i="18"/>
  <c r="I17" i="18"/>
  <c r="I15" i="18"/>
  <c r="G18" i="18"/>
  <c r="H18" i="18" s="1"/>
  <c r="G16" i="18"/>
  <c r="H16" i="18" s="1"/>
  <c r="G17" i="18"/>
  <c r="H17" i="18" s="1"/>
  <c r="G15" i="18"/>
  <c r="H15" i="18"/>
  <c r="P20" i="18"/>
  <c r="P19" i="18"/>
  <c r="L15" i="18"/>
  <c r="L19" i="18" s="1"/>
  <c r="L16" i="18"/>
  <c r="L17" i="18"/>
  <c r="L18" i="18"/>
  <c r="K16" i="18"/>
  <c r="K19" i="18" s="1"/>
  <c r="K17" i="18"/>
  <c r="N17" i="18" s="1"/>
  <c r="K18" i="18"/>
  <c r="N18" i="18" s="1"/>
  <c r="K15" i="18"/>
  <c r="M19" i="18"/>
  <c r="D19" i="18"/>
  <c r="M10" i="18"/>
  <c r="D10" i="18"/>
  <c r="L9" i="18"/>
  <c r="K9" i="18"/>
  <c r="N9" i="18" s="1"/>
  <c r="H9" i="18"/>
  <c r="L8" i="18"/>
  <c r="K8" i="18"/>
  <c r="N8" i="18" s="1"/>
  <c r="H8" i="18"/>
  <c r="L7" i="18"/>
  <c r="K7" i="18"/>
  <c r="N7" i="18" s="1"/>
  <c r="H7" i="18"/>
  <c r="L6" i="18"/>
  <c r="K6" i="18"/>
  <c r="H6" i="18"/>
  <c r="N15" i="18" l="1"/>
  <c r="N16" i="18"/>
  <c r="N19" i="18"/>
  <c r="N6" i="18"/>
  <c r="N10" i="18" s="1"/>
  <c r="L10" i="18"/>
  <c r="K10" i="18"/>
  <c r="I14" i="10" l="1"/>
  <c r="F8" i="15" s="1"/>
  <c r="H7" i="4"/>
  <c r="I8" i="13" s="1"/>
  <c r="H7" i="13" l="1"/>
  <c r="F8" i="16" s="1"/>
  <c r="H8" i="13"/>
  <c r="I7" i="13"/>
  <c r="M17" i="10"/>
  <c r="G8" i="13" l="1"/>
  <c r="G7" i="13"/>
  <c r="F8" i="13"/>
  <c r="F7" i="13"/>
  <c r="F7" i="17"/>
  <c r="F8" i="17"/>
  <c r="F9" i="17"/>
  <c r="F6" i="17"/>
  <c r="E10" i="17"/>
  <c r="D10" i="17"/>
  <c r="C10" i="17"/>
  <c r="E8" i="15" l="1"/>
  <c r="E22" i="15" s="1"/>
  <c r="E29" i="15" s="1"/>
  <c r="D8" i="15"/>
  <c r="D22" i="15" l="1"/>
  <c r="D29" i="15" s="1"/>
  <c r="D8" i="13" l="1"/>
  <c r="E8" i="13"/>
  <c r="E7" i="13"/>
  <c r="E8" i="16" s="1"/>
  <c r="D7" i="13"/>
  <c r="D8" i="16" s="1"/>
  <c r="M6" i="10"/>
  <c r="D22" i="16" l="1"/>
  <c r="D29" i="16" s="1"/>
  <c r="D9" i="13"/>
  <c r="E22" i="16"/>
  <c r="E29" i="16" s="1"/>
  <c r="E9" i="13"/>
  <c r="I15" i="10" l="1"/>
  <c r="I16" i="10"/>
  <c r="J17" i="3" s="1"/>
  <c r="J14" i="10"/>
  <c r="J15" i="10"/>
  <c r="J16" i="10"/>
  <c r="J18" i="3" s="1"/>
  <c r="F16" i="10"/>
  <c r="D16" i="10"/>
  <c r="H8" i="6"/>
  <c r="H9" i="6"/>
  <c r="H10" i="6"/>
  <c r="H7" i="6"/>
  <c r="M11" i="6"/>
  <c r="L14" i="10" l="1"/>
  <c r="G8" i="15"/>
  <c r="I8" i="15" s="1"/>
  <c r="L15" i="10"/>
  <c r="J14" i="3"/>
  <c r="K15" i="10"/>
  <c r="J13" i="3"/>
  <c r="K14" i="10"/>
  <c r="K16" i="10"/>
  <c r="L16" i="10"/>
  <c r="L8" i="6"/>
  <c r="L9" i="6"/>
  <c r="L10" i="6"/>
  <c r="L7" i="6"/>
  <c r="K8" i="6"/>
  <c r="N8" i="6" s="1"/>
  <c r="K9" i="6"/>
  <c r="K10" i="6"/>
  <c r="K7" i="6"/>
  <c r="D11" i="6"/>
  <c r="M14" i="10" l="1"/>
  <c r="G14" i="10" s="1"/>
  <c r="M15" i="10"/>
  <c r="H15" i="10" s="1"/>
  <c r="M16" i="10"/>
  <c r="G16" i="10" s="1"/>
  <c r="F12" i="15"/>
  <c r="H8" i="15"/>
  <c r="J8" i="15" s="1"/>
  <c r="N7" i="6"/>
  <c r="N10" i="6"/>
  <c r="N9" i="6"/>
  <c r="N11" i="6"/>
  <c r="L11" i="6"/>
  <c r="K11" i="6"/>
  <c r="F13" i="15" l="1"/>
  <c r="F14" i="15" s="1"/>
  <c r="F15" i="15" s="1"/>
  <c r="G12" i="15" s="1"/>
  <c r="G15" i="10"/>
  <c r="H14" i="10"/>
  <c r="N15" i="6"/>
  <c r="N16" i="6" s="1"/>
  <c r="G16" i="7"/>
  <c r="H16" i="10"/>
  <c r="L8" i="15"/>
  <c r="K8" i="15"/>
  <c r="D7" i="4"/>
  <c r="N17" i="7" s="1"/>
  <c r="F22" i="15" l="1"/>
  <c r="H22" i="15" s="1"/>
  <c r="D6" i="7"/>
  <c r="I6" i="7" s="1"/>
  <c r="D7" i="7"/>
  <c r="I7" i="7" s="1"/>
  <c r="D8" i="7"/>
  <c r="I8" i="7" s="1"/>
  <c r="D5" i="7"/>
  <c r="I5" i="7" s="1"/>
  <c r="G14" i="15"/>
  <c r="G15" i="15" s="1"/>
  <c r="C7" i="7"/>
  <c r="H7" i="7" s="1"/>
  <c r="J7" i="7" s="1"/>
  <c r="G17" i="7"/>
  <c r="G18" i="7" s="1"/>
  <c r="C8" i="7"/>
  <c r="H8" i="7" s="1"/>
  <c r="C6" i="7"/>
  <c r="H6" i="7" s="1"/>
  <c r="C5" i="7"/>
  <c r="H5" i="7" s="1"/>
  <c r="M18" i="3"/>
  <c r="M17" i="3"/>
  <c r="M14" i="3"/>
  <c r="M13" i="3"/>
  <c r="I9" i="7" l="1"/>
  <c r="J5" i="7"/>
  <c r="H9" i="7"/>
  <c r="J6" i="7"/>
  <c r="L5" i="10" s="1"/>
  <c r="L7" i="10" s="1"/>
  <c r="J8" i="7"/>
  <c r="F29" i="15"/>
  <c r="H29" i="15" s="1"/>
  <c r="D9" i="7"/>
  <c r="E7" i="7"/>
  <c r="G8" i="16"/>
  <c r="I8" i="16" s="1"/>
  <c r="K7" i="13"/>
  <c r="E8" i="7"/>
  <c r="J26" i="3"/>
  <c r="M26" i="3" s="1"/>
  <c r="K8" i="13"/>
  <c r="J25" i="3"/>
  <c r="M25" i="3" s="1"/>
  <c r="J8" i="13"/>
  <c r="E6" i="7"/>
  <c r="J7" i="13"/>
  <c r="K22" i="15"/>
  <c r="L22" i="15" s="1"/>
  <c r="I22" i="15" s="1"/>
  <c r="G22" i="15" s="1"/>
  <c r="G29" i="15" s="1"/>
  <c r="C9" i="7"/>
  <c r="E5" i="7"/>
  <c r="K5" i="10" l="1"/>
  <c r="J9" i="7"/>
  <c r="J9" i="3"/>
  <c r="M9" i="3" s="1"/>
  <c r="L8" i="13"/>
  <c r="L7" i="13"/>
  <c r="J9" i="13"/>
  <c r="K9" i="13"/>
  <c r="F12" i="16"/>
  <c r="H8" i="16"/>
  <c r="E9" i="7"/>
  <c r="J22" i="15"/>
  <c r="J10" i="3"/>
  <c r="M10" i="3" s="1"/>
  <c r="I29" i="15"/>
  <c r="I31" i="15" s="1"/>
  <c r="I32" i="15" s="1"/>
  <c r="H31" i="15"/>
  <c r="H32" i="15" s="1"/>
  <c r="B20" i="7" l="1"/>
  <c r="N16" i="7"/>
  <c r="N18" i="7" s="1"/>
  <c r="H20" i="7" s="1"/>
  <c r="L9" i="13"/>
  <c r="J8" i="16"/>
  <c r="K8" i="16" s="1"/>
  <c r="K7" i="10"/>
  <c r="M5" i="10"/>
  <c r="M7" i="10" s="1"/>
  <c r="M19" i="10" s="1"/>
  <c r="J29" i="15"/>
  <c r="J28" i="3" l="1"/>
  <c r="M28" i="3" s="1"/>
  <c r="M22" i="10"/>
  <c r="J31" i="15"/>
  <c r="J32" i="15" s="1"/>
  <c r="O7" i="15"/>
  <c r="F13" i="16"/>
  <c r="L8" i="16"/>
  <c r="F14" i="16" l="1"/>
  <c r="F15" i="16" s="1"/>
  <c r="F22" i="16" l="1"/>
  <c r="G12" i="16"/>
  <c r="G14" i="16" s="1"/>
  <c r="G15" i="16" s="1"/>
  <c r="H12" i="16" s="1"/>
  <c r="H14" i="16" s="1"/>
  <c r="H15" i="16" s="1"/>
  <c r="I12" i="16" s="1"/>
  <c r="I14" i="16" l="1"/>
  <c r="I15" i="16" s="1"/>
  <c r="J12" i="16" s="1"/>
  <c r="J14" i="16" s="1"/>
  <c r="J15" i="16" s="1"/>
  <c r="F29" i="16"/>
  <c r="H22" i="16"/>
  <c r="K22" i="16" l="1"/>
  <c r="L22" i="16" s="1"/>
  <c r="I22" i="16" s="1"/>
  <c r="G22" i="16" s="1"/>
  <c r="G29" i="16" s="1"/>
  <c r="J21" i="3"/>
  <c r="M21" i="3" s="1"/>
  <c r="H29" i="16"/>
  <c r="H31" i="16" l="1"/>
  <c r="H32" i="16" s="1"/>
  <c r="J22" i="16"/>
  <c r="I29" i="16"/>
  <c r="I31" i="16" s="1"/>
  <c r="I32" i="16" s="1"/>
  <c r="J22" i="3"/>
  <c r="M22" i="3" s="1"/>
  <c r="J29" i="16" l="1"/>
  <c r="J31" i="16" s="1"/>
  <c r="J32" i="16" s="1"/>
</calcChain>
</file>

<file path=xl/sharedStrings.xml><?xml version="1.0" encoding="utf-8"?>
<sst xmlns="http://schemas.openxmlformats.org/spreadsheetml/2006/main" count="403" uniqueCount="133">
  <si>
    <t>Algoma Power Inc.</t>
  </si>
  <si>
    <t xml:space="preserve">Incentive Rate-setting Mechanism </t>
  </si>
  <si>
    <t>Rate Design Model</t>
  </si>
  <si>
    <t>EB-2020-0003</t>
  </si>
  <si>
    <t>Percent Change</t>
  </si>
  <si>
    <t>Distribution Charges</t>
  </si>
  <si>
    <t>Monthly Rates and Charges</t>
  </si>
  <si>
    <t>Metric</t>
  </si>
  <si>
    <t>Residential - R1(i)</t>
  </si>
  <si>
    <t>Monthly Service Charge</t>
  </si>
  <si>
    <t>$</t>
  </si>
  <si>
    <t>Distribution Volumetric Rate</t>
  </si>
  <si>
    <t>$/kWh</t>
  </si>
  <si>
    <t>Residential - R1(ii)</t>
  </si>
  <si>
    <t>Residential - R2</t>
  </si>
  <si>
    <t>$/kW</t>
  </si>
  <si>
    <t>Seasonal</t>
  </si>
  <si>
    <t>Street Lighting</t>
  </si>
  <si>
    <t>Rural and Remote Rate Protection</t>
  </si>
  <si>
    <t>Effective January 1, 2021</t>
  </si>
  <si>
    <t>Price Cap Metric</t>
  </si>
  <si>
    <t>Status</t>
  </si>
  <si>
    <t>Value</t>
  </si>
  <si>
    <t>Inflation Factor</t>
  </si>
  <si>
    <t>Productivity Factor</t>
  </si>
  <si>
    <t>Stretch Factor</t>
  </si>
  <si>
    <t>Calculated</t>
  </si>
  <si>
    <t>Price Cap for 2021 Electricity Distribution Rates</t>
  </si>
  <si>
    <t>Placeholder</t>
  </si>
  <si>
    <t>Customer Class</t>
  </si>
  <si>
    <t>Average # of Customers</t>
  </si>
  <si>
    <t>Billing Determinant</t>
  </si>
  <si>
    <t>F/V Split</t>
  </si>
  <si>
    <t>Distribution Rates</t>
  </si>
  <si>
    <t>Revenues</t>
  </si>
  <si>
    <t>kWh</t>
  </si>
  <si>
    <t>kW</t>
  </si>
  <si>
    <t>Fixed Allocation</t>
  </si>
  <si>
    <t>Variable Allocation</t>
  </si>
  <si>
    <t>Variable Charge</t>
  </si>
  <si>
    <t>Fixed</t>
  </si>
  <si>
    <t>Variable</t>
  </si>
  <si>
    <t>Total Revenue</t>
  </si>
  <si>
    <t>Residential - R1</t>
  </si>
  <si>
    <t>2020 Accepted Equivalent Electricity Distribution Rates</t>
  </si>
  <si>
    <t>Total</t>
  </si>
  <si>
    <t>Equivalent Distribution Rates Required to Recover the Approved 2020 Base Revenue Requirement in the absence of RRRP Funding
(See EB-2019-0019: Sheet 3 of API Rate Design Model and Sheet 13 of RRWF)</t>
  </si>
  <si>
    <t>Transformer Ownership Allowance</t>
  </si>
  <si>
    <t>Revenue Less Transformer Ownership</t>
  </si>
  <si>
    <t>Base Revenue Requirement:</t>
  </si>
  <si>
    <t>Difference (Rounding):</t>
  </si>
  <si>
    <t>% Difference:</t>
  </si>
  <si>
    <t>Check</t>
  </si>
  <si>
    <t>2020 COS Approved Revenue from Rates Less Transformer Ownership Allowance:</t>
  </si>
  <si>
    <t>2021 Indexed Revenue from Rates less Transformer Ownership Allowance:</t>
  </si>
  <si>
    <t>2021 Price Cap Index:</t>
  </si>
  <si>
    <t>IRM Indexed Revenue for 2021
(Using the 2021 Price-Cap Index)</t>
  </si>
  <si>
    <t>Delivery Charges Indexed by Simple Average of Other LDC Increases in Current Year</t>
  </si>
  <si>
    <t>Residential - R1 (i)</t>
  </si>
  <si>
    <t>Residential - R1 (ii)</t>
  </si>
  <si>
    <t>Notes:</t>
  </si>
  <si>
    <t>R1 customer count and kWh splits can be confirmed in EB-2019-0019: Sheet 4 of API Rate Design Model or Table 14 of Settlement Agreement</t>
  </si>
  <si>
    <t>Revenue</t>
  </si>
  <si>
    <t>Transformer Ownership Allowance (not indexed) - Attributable to the Residential - R2 class</t>
  </si>
  <si>
    <t>R1</t>
  </si>
  <si>
    <t>R2</t>
  </si>
  <si>
    <t>Total R1+R2</t>
  </si>
  <si>
    <t>Revenue Component</t>
  </si>
  <si>
    <t>Determination of Seasonal and Street Lighting Distribution Rates</t>
  </si>
  <si>
    <t>Customers</t>
  </si>
  <si>
    <t>Rate Class</t>
  </si>
  <si>
    <t>Customers/ Connections</t>
  </si>
  <si>
    <t>Test Year Consumption</t>
  </si>
  <si>
    <t>Proposed Rates</t>
  </si>
  <si>
    <t>Proposed Revenues</t>
  </si>
  <si>
    <t>Existing Split</t>
  </si>
  <si>
    <t>Average number of Customers</t>
  </si>
  <si>
    <t>Volumetric</t>
  </si>
  <si>
    <t>R1 (i)</t>
  </si>
  <si>
    <t>Monthly Service Charge to Achieve 100% Recovery</t>
  </si>
  <si>
    <t>Monthly Service Charge Increment</t>
  </si>
  <si>
    <t>Proposed Monthly Service Charge</t>
  </si>
  <si>
    <t>R1(i)</t>
  </si>
  <si>
    <t>%</t>
  </si>
  <si>
    <t>Difference due to Rounding of Volumetric Rate:</t>
  </si>
  <si>
    <t>Revenue Reconciliation - Volumetric Rate Rounded to 4th Decimal Place</t>
  </si>
  <si>
    <t>Revenue Decoupling - R1 (i)</t>
  </si>
  <si>
    <t>Revenue Decoupling - Seasonal</t>
  </si>
  <si>
    <t>Notes</t>
  </si>
  <si>
    <t>3, 4</t>
  </si>
  <si>
    <t>Misc. Revenue</t>
  </si>
  <si>
    <t>EB-2019-0019 Approved Revenue to Cost Ratios</t>
  </si>
  <si>
    <t>Approved Revenue to Cost Ratio</t>
  </si>
  <si>
    <t>LF X Proposed Rates</t>
  </si>
  <si>
    <t>Price Cap Index</t>
  </si>
  <si>
    <t xml:space="preserve">Allocation of Service Revenue Requirement </t>
  </si>
  <si>
    <t>2022 IRM Electricity Distribution Rate Application</t>
  </si>
  <si>
    <t>EB-2021-0006</t>
  </si>
  <si>
    <t>August 18, 2021</t>
  </si>
  <si>
    <t>Proposed Distribution Charges and RRRP Funding for 2022 Rate Year</t>
  </si>
  <si>
    <t>IRM Indexed Revenue for 2022
(Using the 2022 Price-Cap Index)</t>
  </si>
  <si>
    <t>Price Cap for 2022 Electricity Distribution Rates</t>
  </si>
  <si>
    <t>2021 Revenue from Rates Less Transformer Ownership Allowance:</t>
  </si>
  <si>
    <t>2022 Price Cap Index:</t>
  </si>
  <si>
    <t>2022 Indexed Revenue from Rates less Transformer Ownership Allowance:</t>
  </si>
  <si>
    <t>2022 Distribution Base Rate Determination for Non-RRRP Rate Classes</t>
  </si>
  <si>
    <t>Determination of Residential R1 &amp; R2 2022 Electricity Distribution Rates and RRRP Funding</t>
  </si>
  <si>
    <t>2022 Application of Rate Indexing Methodology</t>
  </si>
  <si>
    <t>The Rural and Remote Rate Protection Amount Required for 2022</t>
  </si>
  <si>
    <t>Indexed Revenue Attributable to Residential Rate Classes for 2022</t>
  </si>
  <si>
    <t>Simple Average Increase in Delivery Charge for 2022 using the 2021 Board Calculated RRRP Adjustment Factor</t>
  </si>
  <si>
    <t>Placeholder RRRP Adjustment Factor requires updating for 2022 rates - see Manager's Summary</t>
  </si>
  <si>
    <t>Approved 2021 IRM</t>
  </si>
  <si>
    <t>Proposed 2022 IRM</t>
  </si>
  <si>
    <t>Effective January 1, 2022</t>
  </si>
  <si>
    <t>ACM Rate Rider Revenue Allocated to Residential Rate Classes for 2022</t>
  </si>
  <si>
    <t>2021 Approved Rates</t>
  </si>
  <si>
    <t>2022 Indexed Rates</t>
  </si>
  <si>
    <t>Revenue Decoupling for the Residential Rate Class - 7th Increment</t>
  </si>
  <si>
    <t>2022 Proposed R1(i) Rates - Calculate Volumetric Rate Based on Change in F/V Split</t>
  </si>
  <si>
    <t>CHECK</t>
  </si>
  <si>
    <t>Revenue Decoupling for the Seasonal Rate Class - 7th Increment</t>
  </si>
  <si>
    <t>Initial Monthly Service Charge (post IRM adjustment for 2022)</t>
  </si>
  <si>
    <t>2022 Proposed Seasonal Rates - Calculate Volumetric Rate Based on Change in F/V Split</t>
  </si>
  <si>
    <t>**Placeholder values to be replaced once 2022 IRM factors are finalized</t>
  </si>
  <si>
    <t>Final</t>
  </si>
  <si>
    <t>Assigned</t>
  </si>
  <si>
    <t>See "R1(i) Decoupling" tab for details of transition toward a fully fixed rate for traditional residential customers</t>
  </si>
  <si>
    <t>The 2020 Approved Class Revenues are indexed using the annual Price Cap index. This step is necessary to determine the overall 2021 revenue requirement for the R1 and R2 rate classes before the RRRP Adjustment Factor is applied.</t>
  </si>
  <si>
    <t>2021 Equivalent Electricity Distribution Rates</t>
  </si>
  <si>
    <t>Rev w/TO</t>
  </si>
  <si>
    <t>Match?</t>
  </si>
  <si>
    <t>See ACM section of Manager's summary for explanation of ACM cost recovery for RRRP-funded rate classes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</si>
</sst>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43" formatCode="_(* #,##0.00_);_(* \(#,##0.00\);_(* &quot;-&quot;??_);_(@_)"/>
    <numFmt numFmtId="164" formatCode="_-&quot;$&quot;* #,##0.00_-;\-&quot;$&quot;* #,##0.00_-;_-&quot;$&quot;* &quot;-&quot;??_-;_-@_-"/>
    <numFmt numFmtId="165" formatCode="_-* #,##0.00_-;\-* #,##0.00_-;_-* &quot;-&quot;??_-;_-@_-"/>
    <numFmt numFmtId="166" formatCode="_(* #,##0.0000_);_(* \(#,##0.0000\);_(* &quot;-&quot;??_);_(@_)"/>
    <numFmt numFmtId="167" formatCode="_(* #,##0_);_(* \(#,##0\);_(* &quot;-&quot;??_);_(@_)"/>
    <numFmt numFmtId="168" formatCode="0.0%"/>
    <numFmt numFmtId="169" formatCode="0.000%"/>
    <numFmt numFmtId="170" formatCode="_(&quot;$&quot;* #,##0_);_(&quot;$&quot;* \(#,##0\);_(&quot;$&quot;* &quot;-&quot;??_);_(@_)"/>
    <numFmt numFmtId="171" formatCode="_-* #,##0_-;\-* #,##0_-;_-* &quot;-&quot;??_-;_-@_-"/>
    <numFmt numFmtId="172" formatCode="_-* #,##0.00_-;\-* #,##0.00_-;_-* \-??_-;_-@_-"/>
    <numFmt numFmtId="173" formatCode="0.0000%"/>
    <numFmt numFmtId="174" formatCode="_-&quot;$&quot;* #,##0.0000_-;\-&quot;$&quot;* #,##0.0000_-;_-&quot;$&quot;* &quot;-&quot;??_-;_-@_-"/>
    <numFmt numFmtId="175" formatCode="#,##0.0000"/>
    <numFmt numFmtId="176" formatCode="_-* #,##0.0000_-;\-* #,##0.0000_-;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26"/>
      <name val="Calibri"/>
      <family val="2"/>
      <scheme val="minor"/>
    </font>
    <font>
      <b/>
      <sz val="24"/>
      <name val="Calibri"/>
      <family val="2"/>
      <scheme val="minor"/>
    </font>
    <font>
      <b/>
      <sz val="12"/>
      <name val="Calibri"/>
      <family val="2"/>
      <scheme val="minor"/>
    </font>
    <font>
      <b/>
      <sz val="10"/>
      <name val="Calibri"/>
      <family val="2"/>
      <scheme val="minor"/>
    </font>
    <font>
      <sz val="10"/>
      <name val="Calibri"/>
      <family val="2"/>
      <scheme val="minor"/>
    </font>
    <font>
      <b/>
      <sz val="12"/>
      <color theme="1"/>
      <name val="Calibri"/>
      <family val="2"/>
      <scheme val="minor"/>
    </font>
    <font>
      <u/>
      <sz val="11"/>
      <color theme="1"/>
      <name val="Calibri"/>
      <family val="2"/>
      <scheme val="minor"/>
    </font>
    <font>
      <b/>
      <sz val="11"/>
      <name val="Calibri"/>
      <family val="2"/>
      <scheme val="minor"/>
    </font>
    <font>
      <b/>
      <u/>
      <sz val="11"/>
      <color theme="1"/>
      <name val="Calibri"/>
      <family val="2"/>
      <scheme val="minor"/>
    </font>
    <font>
      <sz val="11"/>
      <name val="Calibri"/>
      <family val="2"/>
      <scheme val="minor"/>
    </font>
    <font>
      <sz val="10"/>
      <name val="Arial"/>
      <family val="2"/>
    </font>
    <font>
      <sz val="10"/>
      <name val="Mangal"/>
      <family val="2"/>
      <charset val="1"/>
    </font>
    <font>
      <b/>
      <sz val="14"/>
      <color theme="1"/>
      <name val="Calibri"/>
      <family val="2"/>
      <scheme val="minor"/>
    </font>
    <font>
      <b/>
      <sz val="12"/>
      <name val="Arial"/>
      <family val="2"/>
    </font>
    <font>
      <b/>
      <sz val="10"/>
      <name val="Arial"/>
      <family val="2"/>
    </font>
    <font>
      <sz val="10"/>
      <color rgb="FFFF0000"/>
      <name val="Calibri"/>
      <family val="2"/>
      <scheme val="minor"/>
    </font>
    <font>
      <u/>
      <sz val="11"/>
      <name val="Calibri"/>
      <family val="2"/>
      <scheme val="minor"/>
    </font>
  </fonts>
  <fills count="6">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4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2">
    <xf numFmtId="0" fontId="0" fillId="0" borderId="0"/>
    <xf numFmtId="9"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4" fillId="0" borderId="0"/>
    <xf numFmtId="0" fontId="1" fillId="0" borderId="0"/>
    <xf numFmtId="165" fontId="14" fillId="0" borderId="0" applyFont="0" applyFill="0" applyBorder="0" applyAlignment="0" applyProtection="0"/>
    <xf numFmtId="164" fontId="14" fillId="0" borderId="0" applyFont="0" applyFill="0" applyBorder="0" applyAlignment="0" applyProtection="0"/>
    <xf numFmtId="172" fontId="15" fillId="0" borderId="0" applyFill="0" applyBorder="0" applyAlignment="0" applyProtection="0"/>
    <xf numFmtId="9" fontId="14" fillId="0" borderId="0" applyFont="0" applyFill="0" applyBorder="0" applyAlignment="0" applyProtection="0"/>
    <xf numFmtId="9" fontId="15" fillId="0" borderId="0" applyFill="0" applyBorder="0" applyAlignment="0" applyProtection="0"/>
    <xf numFmtId="165" fontId="1" fillId="0" borderId="0" applyFont="0" applyFill="0" applyBorder="0" applyAlignment="0" applyProtection="0"/>
  </cellStyleXfs>
  <cellXfs count="315">
    <xf numFmtId="0" fontId="0" fillId="0" borderId="0" xfId="0"/>
    <xf numFmtId="0" fontId="2" fillId="0" borderId="0" xfId="0" applyFont="1"/>
    <xf numFmtId="165" fontId="0" fillId="2" borderId="17" xfId="2" applyFont="1" applyFill="1" applyBorder="1"/>
    <xf numFmtId="10" fontId="0" fillId="0" borderId="9" xfId="1" applyNumberFormat="1" applyFont="1" applyBorder="1" applyAlignment="1">
      <alignment horizontal="center"/>
    </xf>
    <xf numFmtId="166" fontId="0" fillId="2" borderId="17" xfId="2" applyNumberFormat="1" applyFont="1" applyFill="1" applyBorder="1"/>
    <xf numFmtId="0" fontId="0" fillId="0" borderId="0" xfId="0" applyFont="1"/>
    <xf numFmtId="0" fontId="0" fillId="0" borderId="0" xfId="0" applyFont="1" applyAlignment="1">
      <alignment horizontal="center"/>
    </xf>
    <xf numFmtId="0" fontId="0" fillId="0" borderId="0" xfId="0" applyFont="1" applyBorder="1"/>
    <xf numFmtId="0" fontId="0" fillId="0" borderId="9" xfId="0" applyFont="1" applyBorder="1" applyAlignment="1">
      <alignment horizontal="center"/>
    </xf>
    <xf numFmtId="0" fontId="7" fillId="0" borderId="16" xfId="0" applyFont="1" applyBorder="1" applyAlignment="1">
      <alignment vertical="center"/>
    </xf>
    <xf numFmtId="0" fontId="7" fillId="0" borderId="9" xfId="0" applyFont="1" applyBorder="1" applyAlignment="1">
      <alignment horizontal="center" vertical="center"/>
    </xf>
    <xf numFmtId="0" fontId="7" fillId="2" borderId="17" xfId="0" applyFont="1" applyFill="1" applyBorder="1" applyAlignment="1">
      <alignment horizontal="center" vertical="center" wrapText="1"/>
    </xf>
    <xf numFmtId="0" fontId="7" fillId="0" borderId="16" xfId="0" applyFont="1" applyBorder="1"/>
    <xf numFmtId="0" fontId="0" fillId="2" borderId="17" xfId="0" applyFont="1" applyFill="1" applyBorder="1"/>
    <xf numFmtId="0" fontId="0" fillId="0" borderId="10" xfId="0" applyFont="1" applyBorder="1"/>
    <xf numFmtId="0" fontId="0" fillId="0" borderId="18" xfId="0" applyFont="1" applyBorder="1"/>
    <xf numFmtId="0" fontId="0" fillId="0" borderId="11" xfId="0" applyFont="1" applyBorder="1"/>
    <xf numFmtId="0" fontId="0" fillId="0" borderId="16" xfId="0" applyFont="1" applyBorder="1"/>
    <xf numFmtId="0" fontId="0" fillId="0" borderId="21" xfId="0" applyFont="1" applyBorder="1"/>
    <xf numFmtId="10" fontId="0" fillId="0" borderId="9" xfId="0" applyNumberFormat="1" applyFont="1" applyBorder="1" applyAlignment="1">
      <alignment horizontal="center"/>
    </xf>
    <xf numFmtId="0" fontId="8" fillId="0" borderId="16" xfId="0" applyFont="1" applyBorder="1"/>
    <xf numFmtId="0" fontId="7" fillId="0" borderId="22" xfId="0" applyFont="1" applyBorder="1"/>
    <xf numFmtId="0" fontId="0" fillId="0" borderId="23" xfId="0" applyFont="1" applyBorder="1" applyAlignment="1">
      <alignment horizontal="center"/>
    </xf>
    <xf numFmtId="0" fontId="0" fillId="2" borderId="24" xfId="0" applyFont="1" applyFill="1" applyBorder="1"/>
    <xf numFmtId="0" fontId="0" fillId="0" borderId="27" xfId="0" applyFont="1" applyBorder="1"/>
    <xf numFmtId="0" fontId="2" fillId="0" borderId="28" xfId="0" applyFont="1" applyBorder="1"/>
    <xf numFmtId="0" fontId="2" fillId="0" borderId="29" xfId="0" applyFont="1" applyBorder="1" applyAlignment="1">
      <alignment horizontal="center"/>
    </xf>
    <xf numFmtId="0" fontId="2" fillId="0" borderId="30" xfId="0" applyFont="1" applyBorder="1" applyAlignment="1">
      <alignment horizontal="center"/>
    </xf>
    <xf numFmtId="10" fontId="0" fillId="0" borderId="32" xfId="1" applyNumberFormat="1" applyFont="1" applyBorder="1" applyAlignment="1">
      <alignment horizontal="center"/>
    </xf>
    <xf numFmtId="10" fontId="0" fillId="3" borderId="31" xfId="1" applyNumberFormat="1" applyFont="1" applyFill="1" applyBorder="1" applyAlignment="1">
      <alignment horizontal="center"/>
    </xf>
    <xf numFmtId="10" fontId="10" fillId="3" borderId="31" xfId="1" applyNumberFormat="1" applyFont="1" applyFill="1" applyBorder="1" applyAlignment="1">
      <alignment horizontal="center"/>
    </xf>
    <xf numFmtId="0" fontId="7" fillId="0" borderId="9" xfId="0" applyFont="1" applyBorder="1" applyAlignment="1">
      <alignment horizontal="center" vertical="center" wrapText="1"/>
    </xf>
    <xf numFmtId="167" fontId="0" fillId="0" borderId="9" xfId="2" applyNumberFormat="1" applyFont="1" applyBorder="1"/>
    <xf numFmtId="167" fontId="0" fillId="0" borderId="31" xfId="0" applyNumberFormat="1" applyFont="1" applyBorder="1"/>
    <xf numFmtId="0" fontId="0" fillId="0" borderId="22" xfId="0" applyFont="1" applyBorder="1"/>
    <xf numFmtId="0" fontId="0" fillId="0" borderId="23" xfId="0" applyFont="1" applyBorder="1"/>
    <xf numFmtId="0" fontId="8" fillId="0" borderId="0" xfId="0" applyFont="1"/>
    <xf numFmtId="0" fontId="0" fillId="3" borderId="9" xfId="0" applyFont="1" applyFill="1" applyBorder="1" applyAlignment="1">
      <alignment horizontal="center"/>
    </xf>
    <xf numFmtId="0" fontId="2" fillId="0" borderId="22" xfId="0" applyFont="1" applyBorder="1"/>
    <xf numFmtId="0" fontId="2" fillId="4" borderId="23" xfId="0" applyFont="1" applyFill="1" applyBorder="1"/>
    <xf numFmtId="3" fontId="2" fillId="0" borderId="23" xfId="0" applyNumberFormat="1" applyFont="1" applyBorder="1" applyAlignment="1">
      <alignment horizontal="center"/>
    </xf>
    <xf numFmtId="167" fontId="0" fillId="4" borderId="9" xfId="2" applyNumberFormat="1" applyFont="1" applyFill="1" applyBorder="1"/>
    <xf numFmtId="167" fontId="0" fillId="3" borderId="9" xfId="2" applyNumberFormat="1" applyFont="1" applyFill="1" applyBorder="1"/>
    <xf numFmtId="165" fontId="0" fillId="3" borderId="9" xfId="2" applyFont="1" applyFill="1" applyBorder="1"/>
    <xf numFmtId="166" fontId="0" fillId="3" borderId="9" xfId="2" applyNumberFormat="1" applyFont="1" applyFill="1" applyBorder="1"/>
    <xf numFmtId="3" fontId="0" fillId="3" borderId="9" xfId="0" applyNumberFormat="1" applyFont="1" applyFill="1" applyBorder="1" applyAlignment="1">
      <alignment horizontal="center"/>
    </xf>
    <xf numFmtId="0" fontId="7" fillId="0" borderId="31" xfId="0" applyFont="1" applyBorder="1" applyAlignment="1">
      <alignment horizontal="center" vertical="center" wrapText="1"/>
    </xf>
    <xf numFmtId="3" fontId="0" fillId="3" borderId="0" xfId="0" applyNumberFormat="1" applyFont="1" applyFill="1" applyAlignment="1">
      <alignment horizontal="center"/>
    </xf>
    <xf numFmtId="167" fontId="0" fillId="0" borderId="0" xfId="0" applyNumberFormat="1" applyFont="1"/>
    <xf numFmtId="169" fontId="0" fillId="0" borderId="0" xfId="1" applyNumberFormat="1" applyFont="1"/>
    <xf numFmtId="0" fontId="11" fillId="0" borderId="9" xfId="0" applyFont="1" applyBorder="1" applyAlignment="1">
      <alignment horizontal="center" vertical="center"/>
    </xf>
    <xf numFmtId="0" fontId="11" fillId="0" borderId="9"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6" xfId="0" applyFont="1" applyBorder="1"/>
    <xf numFmtId="167" fontId="11" fillId="0" borderId="23" xfId="0" applyNumberFormat="1" applyFont="1" applyBorder="1"/>
    <xf numFmtId="167" fontId="11" fillId="0" borderId="32" xfId="0" applyNumberFormat="1" applyFont="1" applyBorder="1"/>
    <xf numFmtId="10" fontId="0" fillId="3" borderId="9" xfId="1" applyNumberFormat="1" applyFont="1" applyFill="1" applyBorder="1" applyAlignment="1">
      <alignment horizontal="center"/>
    </xf>
    <xf numFmtId="10" fontId="0" fillId="0" borderId="9" xfId="1" applyNumberFormat="1" applyFont="1" applyFill="1" applyBorder="1" applyAlignment="1">
      <alignment horizontal="center"/>
    </xf>
    <xf numFmtId="5" fontId="11" fillId="0" borderId="23" xfId="0" applyNumberFormat="1" applyFont="1" applyBorder="1"/>
    <xf numFmtId="5" fontId="11" fillId="0" borderId="32" xfId="0" applyNumberFormat="1" applyFont="1" applyBorder="1"/>
    <xf numFmtId="167" fontId="7" fillId="0" borderId="0" xfId="0" applyNumberFormat="1" applyFont="1" applyBorder="1"/>
    <xf numFmtId="0" fontId="12" fillId="0" borderId="0" xfId="0" applyFont="1"/>
    <xf numFmtId="0" fontId="3" fillId="0" borderId="0" xfId="0" applyFont="1"/>
    <xf numFmtId="5" fontId="2" fillId="0" borderId="0" xfId="0" applyNumberFormat="1" applyFont="1"/>
    <xf numFmtId="10" fontId="2" fillId="0" borderId="0" xfId="0" applyNumberFormat="1" applyFont="1"/>
    <xf numFmtId="0" fontId="6" fillId="0" borderId="0" xfId="0" applyFont="1" applyAlignment="1">
      <alignment horizontal="center"/>
    </xf>
    <xf numFmtId="165" fontId="6" fillId="0" borderId="0" xfId="0" applyNumberFormat="1" applyFont="1" applyAlignment="1">
      <alignment horizontal="center"/>
    </xf>
    <xf numFmtId="0" fontId="6" fillId="0" borderId="0" xfId="0" applyFont="1" applyAlignment="1"/>
    <xf numFmtId="0" fontId="7" fillId="0" borderId="16" xfId="0" applyFont="1" applyFill="1" applyBorder="1"/>
    <xf numFmtId="0" fontId="0" fillId="0" borderId="9" xfId="0" applyFont="1" applyFill="1" applyBorder="1" applyAlignment="1">
      <alignment horizontal="center"/>
    </xf>
    <xf numFmtId="170" fontId="7" fillId="0" borderId="32" xfId="3" applyNumberFormat="1" applyFont="1" applyBorder="1"/>
    <xf numFmtId="170" fontId="0" fillId="0" borderId="0" xfId="0" applyNumberFormat="1" applyFont="1"/>
    <xf numFmtId="0" fontId="11" fillId="0" borderId="29" xfId="0" applyFont="1" applyBorder="1" applyAlignment="1">
      <alignment horizontal="center"/>
    </xf>
    <xf numFmtId="165" fontId="11" fillId="0" borderId="30" xfId="0" applyNumberFormat="1" applyFont="1" applyBorder="1" applyAlignment="1">
      <alignment horizontal="center"/>
    </xf>
    <xf numFmtId="0" fontId="7" fillId="0" borderId="38" xfId="0" applyFont="1" applyBorder="1" applyAlignment="1"/>
    <xf numFmtId="3" fontId="0" fillId="0" borderId="23" xfId="0" applyNumberFormat="1" applyFont="1" applyBorder="1" applyAlignment="1">
      <alignment horizontal="center"/>
    </xf>
    <xf numFmtId="0" fontId="11" fillId="0" borderId="16" xfId="0" applyFont="1" applyFill="1" applyBorder="1"/>
    <xf numFmtId="3" fontId="13" fillId="0" borderId="9" xfId="0" applyNumberFormat="1" applyFont="1" applyFill="1" applyBorder="1" applyAlignment="1">
      <alignment horizontal="center"/>
    </xf>
    <xf numFmtId="0" fontId="0" fillId="4" borderId="23" xfId="0" applyFont="1" applyFill="1" applyBorder="1"/>
    <xf numFmtId="168" fontId="0" fillId="0" borderId="47" xfId="1" applyNumberFormat="1" applyFont="1" applyBorder="1"/>
    <xf numFmtId="168" fontId="0" fillId="0" borderId="48" xfId="1" applyNumberFormat="1" applyFont="1" applyBorder="1"/>
    <xf numFmtId="0" fontId="2" fillId="0" borderId="0" xfId="0" applyFont="1" applyAlignment="1">
      <alignment horizontal="center"/>
    </xf>
    <xf numFmtId="0" fontId="2" fillId="0" borderId="0" xfId="0" applyFont="1" applyBorder="1" applyAlignment="1">
      <alignment horizontal="center"/>
    </xf>
    <xf numFmtId="164" fontId="0" fillId="0" borderId="0" xfId="3" applyFont="1"/>
    <xf numFmtId="171" fontId="0" fillId="0" borderId="47" xfId="2" applyNumberFormat="1" applyFont="1" applyBorder="1"/>
    <xf numFmtId="171" fontId="0" fillId="0" borderId="47" xfId="0" applyNumberFormat="1" applyFont="1" applyBorder="1"/>
    <xf numFmtId="0" fontId="0" fillId="0" borderId="45" xfId="0" applyFont="1" applyBorder="1"/>
    <xf numFmtId="0" fontId="0" fillId="0" borderId="46" xfId="0" applyFont="1" applyBorder="1"/>
    <xf numFmtId="0" fontId="0" fillId="0" borderId="45" xfId="0" applyFont="1" applyBorder="1" applyAlignment="1">
      <alignment horizontal="center"/>
    </xf>
    <xf numFmtId="0" fontId="0" fillId="0" borderId="46" xfId="0" applyFont="1" applyBorder="1" applyAlignment="1">
      <alignment horizontal="center"/>
    </xf>
    <xf numFmtId="0" fontId="0" fillId="0" borderId="15" xfId="0" applyFont="1" applyBorder="1"/>
    <xf numFmtId="164" fontId="0" fillId="0" borderId="0" xfId="0" applyNumberFormat="1" applyFont="1"/>
    <xf numFmtId="0" fontId="0" fillId="0" borderId="0" xfId="0" applyFont="1" applyAlignment="1">
      <alignment horizontal="left"/>
    </xf>
    <xf numFmtId="171" fontId="0" fillId="0" borderId="0" xfId="0" applyNumberFormat="1" applyFont="1"/>
    <xf numFmtId="0" fontId="2" fillId="0" borderId="44" xfId="0" applyFont="1" applyBorder="1" applyAlignment="1">
      <alignment horizontal="center" vertical="center"/>
    </xf>
    <xf numFmtId="0" fontId="2" fillId="0" borderId="14" xfId="0" applyFont="1" applyBorder="1" applyAlignment="1">
      <alignment horizontal="center" vertical="center"/>
    </xf>
    <xf numFmtId="0" fontId="11" fillId="0" borderId="27" xfId="0" applyFont="1" applyFill="1" applyBorder="1" applyAlignment="1">
      <alignment vertical="center" wrapText="1"/>
    </xf>
    <xf numFmtId="0" fontId="11" fillId="0" borderId="43" xfId="0" applyFont="1" applyFill="1" applyBorder="1" applyAlignment="1">
      <alignment horizontal="center" vertical="center" wrapText="1"/>
    </xf>
    <xf numFmtId="0" fontId="11" fillId="0" borderId="12" xfId="0" applyFont="1" applyFill="1" applyBorder="1" applyAlignment="1">
      <alignment horizontal="center" vertical="center"/>
    </xf>
    <xf numFmtId="0" fontId="0" fillId="0" borderId="47" xfId="0" applyFont="1" applyFill="1" applyBorder="1"/>
    <xf numFmtId="0" fontId="0" fillId="0" borderId="43" xfId="0" applyFont="1" applyFill="1" applyBorder="1"/>
    <xf numFmtId="171" fontId="13" fillId="0" borderId="48" xfId="2" applyNumberFormat="1" applyFont="1" applyBorder="1"/>
    <xf numFmtId="164" fontId="13" fillId="0" borderId="47" xfId="3" applyNumberFormat="1" applyFont="1" applyFill="1" applyBorder="1"/>
    <xf numFmtId="174" fontId="13" fillId="0" borderId="47" xfId="3" applyNumberFormat="1" applyFont="1" applyFill="1" applyBorder="1"/>
    <xf numFmtId="0" fontId="11" fillId="0" borderId="7"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43" xfId="0" applyFont="1" applyFill="1" applyBorder="1" applyAlignment="1">
      <alignment vertical="center" wrapText="1"/>
    </xf>
    <xf numFmtId="171" fontId="13" fillId="0" borderId="47" xfId="2" applyNumberFormat="1" applyFont="1" applyBorder="1"/>
    <xf numFmtId="0" fontId="0" fillId="0" borderId="0" xfId="0" applyFont="1" applyFill="1" applyBorder="1"/>
    <xf numFmtId="171" fontId="13" fillId="0" borderId="0" xfId="2" applyNumberFormat="1" applyFont="1" applyBorder="1"/>
    <xf numFmtId="174" fontId="13" fillId="0" borderId="0" xfId="3" applyNumberFormat="1" applyFont="1" applyFill="1" applyBorder="1"/>
    <xf numFmtId="171" fontId="0" fillId="0" borderId="0" xfId="2" applyNumberFormat="1" applyFont="1" applyBorder="1"/>
    <xf numFmtId="171" fontId="0" fillId="0" borderId="0" xfId="0" applyNumberFormat="1" applyFont="1" applyBorder="1"/>
    <xf numFmtId="37" fontId="0" fillId="0" borderId="29" xfId="0" applyNumberFormat="1" applyFont="1" applyBorder="1"/>
    <xf numFmtId="37" fontId="0" fillId="0" borderId="30" xfId="0" applyNumberFormat="1" applyFont="1" applyBorder="1"/>
    <xf numFmtId="173" fontId="0" fillId="0" borderId="23" xfId="1" applyNumberFormat="1" applyFont="1" applyBorder="1"/>
    <xf numFmtId="0" fontId="2" fillId="0" borderId="23" xfId="0" applyFont="1" applyBorder="1" applyAlignment="1">
      <alignment horizontal="center"/>
    </xf>
    <xf numFmtId="173" fontId="0" fillId="0" borderId="32" xfId="1" applyNumberFormat="1" applyFont="1" applyBorder="1"/>
    <xf numFmtId="0" fontId="13" fillId="0" borderId="0" xfId="0" applyFont="1" applyAlignment="1">
      <alignment horizontal="center"/>
    </xf>
    <xf numFmtId="0" fontId="11" fillId="0" borderId="0" xfId="0" applyFont="1" applyAlignment="1">
      <alignment horizontal="center"/>
    </xf>
    <xf numFmtId="166" fontId="13" fillId="0" borderId="0" xfId="0" applyNumberFormat="1" applyFont="1" applyAlignment="1">
      <alignment horizontal="center"/>
    </xf>
    <xf numFmtId="0" fontId="18" fillId="0" borderId="28" xfId="0" applyFont="1" applyBorder="1"/>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0" fillId="0" borderId="16" xfId="0" applyBorder="1"/>
    <xf numFmtId="0" fontId="14" fillId="0" borderId="0" xfId="0" applyFont="1" applyAlignment="1">
      <alignment horizontal="center"/>
    </xf>
    <xf numFmtId="10" fontId="1" fillId="0" borderId="31" xfId="1" applyNumberFormat="1" applyBorder="1" applyAlignment="1">
      <alignment horizontal="center"/>
    </xf>
    <xf numFmtId="3" fontId="1" fillId="0" borderId="9" xfId="2" applyNumberFormat="1" applyBorder="1" applyAlignment="1">
      <alignment horizontal="center"/>
    </xf>
    <xf numFmtId="10" fontId="2" fillId="5" borderId="32" xfId="0" applyNumberFormat="1" applyFont="1" applyFill="1" applyBorder="1" applyAlignment="1">
      <alignment horizontal="center"/>
    </xf>
    <xf numFmtId="0" fontId="7" fillId="0" borderId="9" xfId="0" applyFont="1" applyBorder="1" applyAlignment="1">
      <alignment horizontal="center" vertical="center"/>
    </xf>
    <xf numFmtId="0" fontId="3" fillId="0" borderId="0" xfId="0" applyFont="1" applyBorder="1"/>
    <xf numFmtId="0" fontId="3" fillId="0" borderId="19" xfId="0" applyFont="1" applyBorder="1"/>
    <xf numFmtId="0" fontId="3" fillId="0" borderId="10" xfId="0" applyFont="1" applyBorder="1"/>
    <xf numFmtId="0" fontId="3" fillId="0" borderId="26" xfId="0" applyFont="1" applyBorder="1"/>
    <xf numFmtId="0" fontId="3" fillId="0" borderId="25" xfId="0" applyFont="1" applyBorder="1"/>
    <xf numFmtId="0" fontId="3" fillId="0" borderId="16" xfId="0" applyFont="1" applyBorder="1"/>
    <xf numFmtId="0" fontId="3" fillId="0" borderId="9" xfId="0" applyFont="1" applyBorder="1"/>
    <xf numFmtId="0" fontId="3" fillId="0" borderId="31" xfId="0" applyFont="1" applyBorder="1"/>
    <xf numFmtId="0" fontId="19" fillId="0" borderId="0" xfId="0" applyFont="1"/>
    <xf numFmtId="0" fontId="3" fillId="0" borderId="0" xfId="0" applyFont="1" applyAlignment="1">
      <alignment horizontal="center"/>
    </xf>
    <xf numFmtId="170" fontId="3" fillId="0" borderId="0" xfId="0" applyNumberFormat="1" applyFont="1"/>
    <xf numFmtId="0" fontId="13" fillId="0" borderId="23" xfId="0" applyFont="1" applyBorder="1" applyAlignment="1">
      <alignment horizontal="center"/>
    </xf>
    <xf numFmtId="10" fontId="13" fillId="0" borderId="32" xfId="1" applyNumberFormat="1" applyFont="1" applyBorder="1" applyAlignment="1">
      <alignment horizontal="center"/>
    </xf>
    <xf numFmtId="167" fontId="1" fillId="0" borderId="9" xfId="11" applyNumberFormat="1" applyBorder="1"/>
    <xf numFmtId="167" fontId="0" fillId="0" borderId="31" xfId="0" applyNumberFormat="1" applyBorder="1"/>
    <xf numFmtId="167" fontId="18" fillId="0" borderId="23" xfId="0" applyNumberFormat="1" applyFont="1" applyBorder="1"/>
    <xf numFmtId="167" fontId="18" fillId="0" borderId="32" xfId="0" applyNumberFormat="1" applyFont="1" applyBorder="1"/>
    <xf numFmtId="0" fontId="0" fillId="0" borderId="0" xfId="0" applyAlignment="1">
      <alignment horizontal="center"/>
    </xf>
    <xf numFmtId="167" fontId="11" fillId="0" borderId="31" xfId="2" applyNumberFormat="1" applyFont="1" applyBorder="1"/>
    <xf numFmtId="167" fontId="11" fillId="0" borderId="23" xfId="2" applyNumberFormat="1" applyFont="1" applyBorder="1"/>
    <xf numFmtId="167" fontId="13" fillId="0" borderId="9" xfId="2" applyNumberFormat="1" applyFont="1" applyBorder="1"/>
    <xf numFmtId="0" fontId="20" fillId="0" borderId="0" xfId="0" applyFont="1"/>
    <xf numFmtId="0" fontId="13" fillId="0" borderId="0" xfId="0" applyFont="1"/>
    <xf numFmtId="0" fontId="13" fillId="0" borderId="9" xfId="0" applyFont="1" applyBorder="1" applyAlignment="1">
      <alignment horizontal="center"/>
    </xf>
    <xf numFmtId="0" fontId="13" fillId="0" borderId="9" xfId="0" applyFont="1" applyFill="1" applyBorder="1" applyAlignment="1">
      <alignment horizontal="center"/>
    </xf>
    <xf numFmtId="168" fontId="13" fillId="0" borderId="9" xfId="1" applyNumberFormat="1" applyFont="1" applyBorder="1" applyAlignment="1">
      <alignment horizontal="center"/>
    </xf>
    <xf numFmtId="167" fontId="13" fillId="0" borderId="9" xfId="2" applyNumberFormat="1" applyFont="1" applyFill="1" applyBorder="1"/>
    <xf numFmtId="167" fontId="13" fillId="0" borderId="31" xfId="0" applyNumberFormat="1" applyFont="1" applyBorder="1"/>
    <xf numFmtId="0" fontId="13" fillId="0" borderId="6" xfId="0" applyFont="1" applyBorder="1"/>
    <xf numFmtId="0" fontId="13" fillId="0" borderId="0" xfId="0" applyFont="1" applyBorder="1"/>
    <xf numFmtId="167" fontId="13" fillId="3" borderId="26" xfId="2" applyNumberFormat="1" applyFont="1" applyFill="1" applyBorder="1"/>
    <xf numFmtId="165" fontId="13" fillId="3" borderId="11" xfId="2" applyFont="1" applyFill="1" applyBorder="1"/>
    <xf numFmtId="166" fontId="13" fillId="3" borderId="11" xfId="2" applyNumberFormat="1" applyFont="1" applyFill="1" applyBorder="1"/>
    <xf numFmtId="166" fontId="13" fillId="0" borderId="11" xfId="2" applyNumberFormat="1" applyFont="1" applyBorder="1"/>
    <xf numFmtId="43" fontId="13" fillId="3" borderId="11" xfId="0" applyNumberFormat="1" applyFont="1" applyFill="1" applyBorder="1"/>
    <xf numFmtId="0" fontId="13" fillId="0" borderId="10" xfId="0" applyFont="1" applyBorder="1"/>
    <xf numFmtId="0" fontId="13" fillId="0" borderId="11" xfId="0" applyFont="1" applyFill="1" applyBorder="1"/>
    <xf numFmtId="0" fontId="13" fillId="0" borderId="18" xfId="0" applyFont="1" applyBorder="1"/>
    <xf numFmtId="165" fontId="13" fillId="0" borderId="10" xfId="2" applyFont="1" applyBorder="1" applyAlignment="1">
      <alignment horizontal="center"/>
    </xf>
    <xf numFmtId="0" fontId="13" fillId="0" borderId="11" xfId="0" applyFont="1" applyBorder="1"/>
    <xf numFmtId="167" fontId="13" fillId="0" borderId="25" xfId="2" applyNumberFormat="1" applyFont="1" applyBorder="1" applyAlignment="1">
      <alignment horizontal="center"/>
    </xf>
    <xf numFmtId="0" fontId="13" fillId="0" borderId="27" xfId="0" applyFont="1" applyBorder="1"/>
    <xf numFmtId="165" fontId="13" fillId="0" borderId="20" xfId="2" applyFont="1" applyFill="1" applyBorder="1"/>
    <xf numFmtId="166" fontId="13" fillId="0" borderId="11" xfId="2" applyNumberFormat="1" applyFont="1" applyFill="1" applyBorder="1"/>
    <xf numFmtId="165" fontId="13" fillId="0" borderId="11" xfId="2" applyFont="1" applyFill="1" applyBorder="1"/>
    <xf numFmtId="43" fontId="13" fillId="0" borderId="11" xfId="0" applyNumberFormat="1" applyFont="1" applyFill="1" applyBorder="1"/>
    <xf numFmtId="167" fontId="13" fillId="0" borderId="26" xfId="2" applyNumberFormat="1" applyFont="1" applyFill="1" applyBorder="1"/>
    <xf numFmtId="1" fontId="13" fillId="3" borderId="9" xfId="0" applyNumberFormat="1" applyFont="1" applyFill="1" applyBorder="1" applyAlignment="1">
      <alignment horizontal="center"/>
    </xf>
    <xf numFmtId="167" fontId="13" fillId="3" borderId="9" xfId="2" applyNumberFormat="1" applyFont="1" applyFill="1" applyBorder="1"/>
    <xf numFmtId="167" fontId="13" fillId="4" borderId="9" xfId="2" applyNumberFormat="1" applyFont="1" applyFill="1" applyBorder="1"/>
    <xf numFmtId="1" fontId="13" fillId="0" borderId="9" xfId="0" applyNumberFormat="1" applyFont="1" applyFill="1" applyBorder="1" applyAlignment="1">
      <alignment horizontal="center"/>
    </xf>
    <xf numFmtId="165" fontId="13" fillId="0" borderId="9" xfId="2" applyFont="1" applyBorder="1"/>
    <xf numFmtId="166" fontId="13" fillId="0" borderId="9" xfId="2" applyNumberFormat="1" applyFont="1" applyBorder="1"/>
    <xf numFmtId="165" fontId="13" fillId="0" borderId="9" xfId="2" applyNumberFormat="1" applyFont="1" applyBorder="1"/>
    <xf numFmtId="165" fontId="13" fillId="0" borderId="9" xfId="2" applyFont="1" applyFill="1" applyBorder="1"/>
    <xf numFmtId="166" fontId="13" fillId="0" borderId="9" xfId="2" applyNumberFormat="1" applyFont="1" applyFill="1" applyBorder="1"/>
    <xf numFmtId="0" fontId="13" fillId="0" borderId="0" xfId="0" applyFont="1" applyFill="1"/>
    <xf numFmtId="167" fontId="13" fillId="0" borderId="9" xfId="2" applyNumberFormat="1" applyFont="1" applyBorder="1" applyAlignment="1">
      <alignment horizontal="center"/>
    </xf>
    <xf numFmtId="167" fontId="13" fillId="0" borderId="31" xfId="2" applyNumberFormat="1" applyFont="1" applyBorder="1" applyAlignment="1">
      <alignment horizontal="center"/>
    </xf>
    <xf numFmtId="4" fontId="13" fillId="0" borderId="9" xfId="1" applyNumberFormat="1" applyFont="1" applyFill="1" applyBorder="1" applyAlignment="1">
      <alignment horizontal="center"/>
    </xf>
    <xf numFmtId="175" fontId="13" fillId="0" borderId="9" xfId="1" applyNumberFormat="1" applyFont="1" applyBorder="1" applyAlignment="1">
      <alignment horizontal="center"/>
    </xf>
    <xf numFmtId="4" fontId="13" fillId="0" borderId="9" xfId="2" applyNumberFormat="1" applyFont="1" applyBorder="1" applyAlignment="1">
      <alignment horizontal="center"/>
    </xf>
    <xf numFmtId="175" fontId="13" fillId="0" borderId="9" xfId="2" applyNumberFormat="1" applyFont="1" applyBorder="1" applyAlignment="1">
      <alignment horizontal="center"/>
    </xf>
    <xf numFmtId="171" fontId="13" fillId="0" borderId="47" xfId="0" applyNumberFormat="1" applyFont="1" applyBorder="1"/>
    <xf numFmtId="168" fontId="13" fillId="0" borderId="47" xfId="1" applyNumberFormat="1" applyFont="1" applyBorder="1"/>
    <xf numFmtId="168" fontId="13" fillId="0" borderId="48" xfId="1" applyNumberFormat="1" applyFont="1" applyBorder="1"/>
    <xf numFmtId="10" fontId="7" fillId="3" borderId="31" xfId="1" applyNumberFormat="1" applyFont="1" applyFill="1" applyBorder="1" applyAlignment="1">
      <alignment horizontal="center"/>
    </xf>
    <xf numFmtId="10" fontId="13" fillId="0" borderId="31" xfId="1" applyNumberFormat="1" applyFont="1" applyFill="1" applyBorder="1" applyAlignment="1">
      <alignment horizontal="center"/>
    </xf>
    <xf numFmtId="10" fontId="20" fillId="0" borderId="31" xfId="1" applyNumberFormat="1" applyFont="1" applyFill="1" applyBorder="1" applyAlignment="1">
      <alignment horizontal="center"/>
    </xf>
    <xf numFmtId="0" fontId="11" fillId="0" borderId="9" xfId="0" applyFont="1" applyBorder="1" applyAlignment="1">
      <alignment horizontal="center" vertical="center"/>
    </xf>
    <xf numFmtId="0" fontId="3" fillId="0" borderId="0" xfId="0" applyFont="1" applyAlignment="1">
      <alignment horizontal="right"/>
    </xf>
    <xf numFmtId="0" fontId="3" fillId="0" borderId="0" xfId="0" applyFont="1" applyAlignment="1">
      <alignment horizontal="left"/>
    </xf>
    <xf numFmtId="5" fontId="3" fillId="0" borderId="0" xfId="0" applyNumberFormat="1" applyFont="1" applyAlignment="1">
      <alignment horizontal="left"/>
    </xf>
    <xf numFmtId="176" fontId="0" fillId="3" borderId="9" xfId="2" applyNumberFormat="1" applyFont="1" applyFill="1" applyBorder="1"/>
    <xf numFmtId="168" fontId="3" fillId="0" borderId="0" xfId="1" applyNumberFormat="1" applyFont="1"/>
    <xf numFmtId="0" fontId="4" fillId="0" borderId="0" xfId="0" applyFont="1" applyAlignment="1">
      <alignment horizontal="center"/>
    </xf>
    <xf numFmtId="0" fontId="4" fillId="0" borderId="0" xfId="0" quotePrefix="1" applyFont="1" applyAlignment="1">
      <alignment horizontal="center"/>
    </xf>
    <xf numFmtId="0" fontId="4" fillId="0" borderId="0" xfId="0" applyFont="1" applyAlignment="1">
      <alignment horizontal="center" wrapText="1"/>
    </xf>
    <xf numFmtId="0" fontId="4" fillId="0" borderId="0" xfId="0" quotePrefix="1" applyFont="1" applyAlignment="1">
      <alignment horizontal="center" wrapText="1"/>
    </xf>
    <xf numFmtId="0" fontId="5"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6" fillId="0" borderId="6" xfId="0" applyFont="1" applyBorder="1" applyAlignment="1">
      <alignment horizontal="center"/>
    </xf>
    <xf numFmtId="0" fontId="6" fillId="0" borderId="8" xfId="0" applyFont="1" applyBorder="1" applyAlignment="1">
      <alignment horizontal="center"/>
    </xf>
    <xf numFmtId="0" fontId="2" fillId="0" borderId="9" xfId="0" applyFont="1" applyBorder="1" applyAlignment="1">
      <alignment horizontal="center" wrapText="1"/>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15" xfId="0" applyFont="1" applyBorder="1" applyAlignment="1">
      <alignment horizont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8" xfId="0" applyFont="1" applyBorder="1" applyAlignment="1">
      <alignment horizontal="center" vertical="center" wrapText="1"/>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6" fillId="0" borderId="7" xfId="0" applyFont="1" applyBorder="1" applyAlignment="1">
      <alignment horizontal="center"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11" fillId="0" borderId="10" xfId="0" applyFont="1" applyBorder="1" applyAlignment="1">
      <alignment horizontal="center"/>
    </xf>
    <xf numFmtId="0" fontId="11" fillId="0" borderId="11" xfId="0" applyFont="1" applyBorder="1" applyAlignment="1">
      <alignment horizontal="center"/>
    </xf>
    <xf numFmtId="0" fontId="11" fillId="0" borderId="18" xfId="0" applyFont="1" applyBorder="1" applyAlignment="1">
      <alignment horizont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center" vertical="center"/>
    </xf>
    <xf numFmtId="0" fontId="11" fillId="0" borderId="34" xfId="0" applyFont="1" applyBorder="1" applyAlignment="1">
      <alignment horizontal="center" wrapText="1"/>
    </xf>
    <xf numFmtId="0" fontId="11" fillId="0" borderId="37" xfId="0" applyFont="1" applyBorder="1" applyAlignment="1">
      <alignment horizontal="center" wrapText="1"/>
    </xf>
    <xf numFmtId="0" fontId="11" fillId="0" borderId="17" xfId="0" applyFont="1" applyBorder="1" applyAlignment="1">
      <alignment horizontal="center"/>
    </xf>
    <xf numFmtId="0" fontId="11" fillId="0" borderId="35" xfId="0" applyFont="1" applyBorder="1" applyAlignment="1">
      <alignment horizontal="center"/>
    </xf>
    <xf numFmtId="0" fontId="7" fillId="0" borderId="22" xfId="0" applyFont="1" applyBorder="1" applyAlignment="1">
      <alignment horizontal="left"/>
    </xf>
    <xf numFmtId="0" fontId="7" fillId="0" borderId="23" xfId="0" applyFont="1" applyBorder="1" applyAlignment="1">
      <alignment horizontal="left"/>
    </xf>
    <xf numFmtId="0" fontId="7" fillId="0" borderId="10" xfId="0" applyFont="1" applyBorder="1" applyAlignment="1">
      <alignment horizontal="left"/>
    </xf>
    <xf numFmtId="0" fontId="7" fillId="0" borderId="11" xfId="0" applyFont="1" applyBorder="1" applyAlignment="1">
      <alignment horizontal="left"/>
    </xf>
    <xf numFmtId="0" fontId="7" fillId="0" borderId="35" xfId="0" applyFont="1" applyBorder="1" applyAlignment="1">
      <alignment horizontal="left"/>
    </xf>
    <xf numFmtId="0" fontId="11" fillId="0" borderId="28" xfId="0" applyFont="1" applyBorder="1" applyAlignment="1">
      <alignment horizontal="center"/>
    </xf>
    <xf numFmtId="0" fontId="11" fillId="0" borderId="29" xfId="0" applyFont="1" applyBorder="1" applyAlignment="1">
      <alignment horizontal="center"/>
    </xf>
    <xf numFmtId="0" fontId="13" fillId="0" borderId="16" xfId="0" applyFont="1" applyBorder="1" applyAlignment="1">
      <alignment horizontal="left"/>
    </xf>
    <xf numFmtId="0" fontId="13" fillId="0" borderId="9" xfId="0" applyFont="1" applyBorder="1" applyAlignment="1">
      <alignment horizontal="left"/>
    </xf>
    <xf numFmtId="0" fontId="11" fillId="0" borderId="39" xfId="0" applyFont="1" applyBorder="1" applyAlignment="1">
      <alignment horizontal="left"/>
    </xf>
    <xf numFmtId="0" fontId="11" fillId="0" borderId="40" xfId="0" applyFont="1" applyBorder="1" applyAlignment="1">
      <alignment horizontal="left"/>
    </xf>
    <xf numFmtId="0" fontId="11" fillId="0" borderId="41" xfId="0" applyFont="1" applyBorder="1" applyAlignment="1">
      <alignment horizontal="left"/>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16" xfId="0" applyFont="1" applyBorder="1" applyAlignment="1">
      <alignment horizontal="center"/>
    </xf>
    <xf numFmtId="0" fontId="7" fillId="0" borderId="9" xfId="0" applyFont="1" applyBorder="1" applyAlignment="1">
      <alignment horizontal="center"/>
    </xf>
    <xf numFmtId="0" fontId="7" fillId="0" borderId="31" xfId="0" applyFont="1" applyBorder="1" applyAlignment="1">
      <alignment horizontal="center"/>
    </xf>
    <xf numFmtId="0" fontId="7" fillId="0" borderId="10" xfId="0" applyFont="1" applyFill="1" applyBorder="1" applyAlignment="1">
      <alignment horizontal="center"/>
    </xf>
    <xf numFmtId="0" fontId="7" fillId="0" borderId="11" xfId="0" applyFont="1" applyFill="1" applyBorder="1" applyAlignment="1">
      <alignment horizontal="center"/>
    </xf>
    <xf numFmtId="0" fontId="7" fillId="0" borderId="35" xfId="0" applyFont="1" applyFill="1" applyBorder="1" applyAlignment="1">
      <alignment horizont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34" xfId="0" applyFont="1" applyBorder="1" applyAlignment="1">
      <alignment horizontal="center" vertical="center" wrapText="1"/>
    </xf>
    <xf numFmtId="0" fontId="7" fillId="0" borderId="37" xfId="0" applyFont="1" applyBorder="1" applyAlignment="1">
      <alignment horizontal="center" vertic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14" xfId="0" applyFont="1" applyBorder="1" applyAlignment="1">
      <alignment horizontal="center" wrapText="1"/>
    </xf>
    <xf numFmtId="0" fontId="0" fillId="0" borderId="0" xfId="0" applyFont="1" applyAlignment="1">
      <alignment horizontal="left" vertical="top" wrapText="1"/>
    </xf>
    <xf numFmtId="0" fontId="0" fillId="0" borderId="0" xfId="0" applyAlignment="1">
      <alignment horizontal="left"/>
    </xf>
    <xf numFmtId="0" fontId="11" fillId="0" borderId="1" xfId="0" applyFont="1" applyBorder="1" applyAlignment="1">
      <alignment horizontal="center"/>
    </xf>
    <xf numFmtId="0" fontId="11" fillId="0" borderId="2"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center" wrapText="1"/>
    </xf>
    <xf numFmtId="0" fontId="11" fillId="0" borderId="34" xfId="0" applyFont="1" applyBorder="1" applyAlignment="1">
      <alignment horizontal="center"/>
    </xf>
    <xf numFmtId="0" fontId="11" fillId="0" borderId="37" xfId="0" applyFont="1" applyBorder="1" applyAlignment="1">
      <alignment horizontal="center"/>
    </xf>
    <xf numFmtId="0" fontId="16" fillId="0" borderId="0" xfId="0" applyFont="1" applyAlignment="1">
      <alignment horizontal="center"/>
    </xf>
    <xf numFmtId="0" fontId="11" fillId="0" borderId="42" xfId="0" applyFont="1" applyFill="1" applyBorder="1" applyAlignment="1">
      <alignment horizontal="center" vertical="center"/>
    </xf>
    <xf numFmtId="0" fontId="11" fillId="0" borderId="43" xfId="0" applyFont="1" applyFill="1" applyBorder="1" applyAlignment="1">
      <alignment horizontal="center" vertical="center"/>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0" xfId="0" applyFont="1" applyAlignment="1">
      <alignment horizontal="left"/>
    </xf>
    <xf numFmtId="0" fontId="0" fillId="0" borderId="0" xfId="0" applyFont="1" applyAlignment="1">
      <alignment horizontal="left"/>
    </xf>
    <xf numFmtId="0" fontId="11" fillId="0" borderId="12" xfId="0" applyFont="1" applyFill="1" applyBorder="1" applyAlignment="1">
      <alignment horizontal="center"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0" fillId="0" borderId="0" xfId="0" applyFont="1" applyAlignment="1">
      <alignment horizontal="right"/>
    </xf>
  </cellXfs>
  <cellStyles count="12">
    <cellStyle name="Comma" xfId="11" builtinId="3"/>
    <cellStyle name="Comma 2" xfId="2" xr:uid="{7BE898D3-340C-4B9E-A1F6-C757EE20C23B}"/>
    <cellStyle name="Comma 2 11" xfId="6" xr:uid="{877D0614-2CC4-4242-81EB-95D752FB48CF}"/>
    <cellStyle name="Comma 3" xfId="8" xr:uid="{974591EE-19F2-4158-931B-B8A3B260F9CE}"/>
    <cellStyle name="Currency 2" xfId="3" xr:uid="{732C39E1-518E-4DE7-ADAD-AE5E6BC9C08B}"/>
    <cellStyle name="Currency 2 10" xfId="7" xr:uid="{CA904D9A-663F-4E4C-962F-2F88BCB59405}"/>
    <cellStyle name="Normal" xfId="0" builtinId="0"/>
    <cellStyle name="Normal 2 2 3" xfId="4" xr:uid="{58841765-0DA8-41B1-B85C-E1B0E71F54CB}"/>
    <cellStyle name="Normal 76" xfId="5" xr:uid="{8097078B-F0B8-486B-A4AD-BDC9C88CC75A}"/>
    <cellStyle name="Percent" xfId="1" builtinId="5"/>
    <cellStyle name="Percent 10 2 2" xfId="9" xr:uid="{937C59EE-86CA-4EF2-9B83-BBE37C02ED7D}"/>
    <cellStyle name="Percent 2" xfId="10" xr:uid="{F717EAAD-4A70-4375-B8DB-5DE5D89B52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2" name="Picture 1" descr="Algoma Power_logo">
          <a:extLst>
            <a:ext uri="{FF2B5EF4-FFF2-40B4-BE49-F238E27FC236}">
              <a16:creationId xmlns:a16="http://schemas.microsoft.com/office/drawing/2014/main" id="{85516A2B-2EEF-449F-9EC9-E241E128A2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71825" y="1638300"/>
          <a:ext cx="2857500" cy="8001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5.%20TESI%20UTILITIES\ORPC\Application\Models\FInal%20Models\EB-2014-0105%202016%20ORPC%20Filing_Requirements_Chapter2_Appendices_Aug%2028%202015.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Users\Manuela\Documents\TANDEM%20ENERGY%20SERVICES%20INC\Documents\Hearst\RateMaker\Hearst_RMpils%202010ED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ACTIVE%20APPLICATIONS\API_2020_COS\Shared%20Files\API%202019%20CoS%20Data%20Vaul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7%20Minimum%20Filing%20Requirements\2017_Filing_Requirements_Chapter2_Appendic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1\Departments\API%202015%20REG%20COS\Chap_2_App\Filing_Requirements_Chapter2_Appendices_for%20201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24">
          <cell r="E24">
            <v>2016</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3-VECC-24_2019JUNYTD"/>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BVV IR Changes"/>
      <sheetName val="APP 2-BA 2015"/>
      <sheetName val="2.6 FA Cont Stmt - DLI"/>
      <sheetName val="API Sum_Dep"/>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ORIGSUB"/>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DNUC.1 Res Rate Design R1(i)(2)"/>
      <sheetName val="C.2 Res Rate Design Seasonal"/>
      <sheetName val="D. Rev_Reconciliation"/>
      <sheetName val="F.Cost Allocation"/>
      <sheetName val="Intergrity Check"/>
      <sheetName val="Integrity Check"/>
      <sheetName val="4.12 PowerSupplExp"/>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sheetData sheetId="1"/>
      <sheetData sheetId="2">
        <row r="23">
          <cell r="E23">
            <v>2019</v>
          </cell>
        </row>
        <row r="25">
          <cell r="E25">
            <v>2020</v>
          </cell>
        </row>
        <row r="27">
          <cell r="E27">
            <v>2015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2017</v>
          </cell>
        </row>
        <row r="26">
          <cell r="E26">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448C5-14DD-474D-8760-7C8E52D64281}">
  <sheetPr codeName="Sheet1">
    <tabColor theme="9" tint="0.79998168889431442"/>
    <pageSetUpPr fitToPage="1"/>
  </sheetPr>
  <dimension ref="B20:I34"/>
  <sheetViews>
    <sheetView showGridLines="0" workbookViewId="0">
      <selection activeCell="I16" sqref="I16"/>
    </sheetView>
  </sheetViews>
  <sheetFormatPr defaultColWidth="9.109375" defaultRowHeight="14.4" x14ac:dyDescent="0.3"/>
  <cols>
    <col min="1" max="1" width="5" style="5" customWidth="1"/>
    <col min="2" max="2" width="18.6640625" style="5" customWidth="1"/>
    <col min="3" max="8" width="9.109375" style="5"/>
    <col min="9" max="9" width="47" style="5" customWidth="1"/>
    <col min="10" max="16384" width="9.109375" style="5"/>
  </cols>
  <sheetData>
    <row r="20" spans="2:9" ht="33.6" x14ac:dyDescent="0.65">
      <c r="B20" s="205" t="s">
        <v>0</v>
      </c>
      <c r="C20" s="205"/>
      <c r="D20" s="205"/>
      <c r="E20" s="205"/>
      <c r="F20" s="205"/>
      <c r="G20" s="205"/>
      <c r="H20" s="205"/>
      <c r="I20" s="205"/>
    </row>
    <row r="21" spans="2:9" ht="33.6" x14ac:dyDescent="0.65">
      <c r="B21" s="205" t="s">
        <v>96</v>
      </c>
      <c r="C21" s="205"/>
      <c r="D21" s="205"/>
      <c r="E21" s="205"/>
      <c r="F21" s="205"/>
      <c r="G21" s="205"/>
      <c r="H21" s="205"/>
      <c r="I21" s="205"/>
    </row>
    <row r="22" spans="2:9" ht="33.6" x14ac:dyDescent="0.65">
      <c r="B22" s="205" t="s">
        <v>1</v>
      </c>
      <c r="C22" s="205"/>
      <c r="D22" s="205"/>
      <c r="E22" s="205"/>
      <c r="F22" s="205"/>
      <c r="G22" s="205"/>
      <c r="H22" s="205"/>
      <c r="I22" s="205"/>
    </row>
    <row r="25" spans="2:9" ht="31.2" x14ac:dyDescent="0.6">
      <c r="B25" s="209" t="s">
        <v>2</v>
      </c>
      <c r="C25" s="209"/>
      <c r="D25" s="209"/>
      <c r="E25" s="209"/>
      <c r="F25" s="209"/>
      <c r="G25" s="209"/>
      <c r="H25" s="209"/>
      <c r="I25" s="209"/>
    </row>
    <row r="26" spans="2:9" ht="33.6" x14ac:dyDescent="0.65">
      <c r="B26" s="205" t="s">
        <v>97</v>
      </c>
      <c r="C26" s="205"/>
      <c r="D26" s="205"/>
      <c r="E26" s="205"/>
      <c r="F26" s="205"/>
      <c r="G26" s="205"/>
      <c r="H26" s="205"/>
      <c r="I26" s="205"/>
    </row>
    <row r="27" spans="2:9" ht="33.6" x14ac:dyDescent="0.65">
      <c r="B27" s="205"/>
      <c r="C27" s="206"/>
      <c r="D27" s="206"/>
      <c r="E27" s="206"/>
      <c r="F27" s="206"/>
      <c r="G27" s="206"/>
      <c r="H27" s="206"/>
      <c r="I27" s="206"/>
    </row>
    <row r="28" spans="2:9" ht="33.6" x14ac:dyDescent="0.65">
      <c r="B28" s="207"/>
      <c r="C28" s="208"/>
      <c r="D28" s="208"/>
      <c r="E28" s="208"/>
      <c r="F28" s="208"/>
      <c r="G28" s="208"/>
      <c r="H28" s="208"/>
      <c r="I28" s="208"/>
    </row>
    <row r="29" spans="2:9" ht="33.6" x14ac:dyDescent="0.65">
      <c r="B29" s="208" t="s">
        <v>98</v>
      </c>
      <c r="C29" s="208"/>
      <c r="D29" s="208"/>
      <c r="E29" s="208"/>
      <c r="F29" s="208"/>
      <c r="G29" s="208"/>
      <c r="H29" s="208"/>
      <c r="I29" s="208"/>
    </row>
    <row r="32" spans="2:9" x14ac:dyDescent="0.3">
      <c r="B32" s="1"/>
    </row>
    <row r="33" spans="2:2" x14ac:dyDescent="0.3">
      <c r="B33" s="1"/>
    </row>
    <row r="34" spans="2:2" x14ac:dyDescent="0.3">
      <c r="B34" s="1"/>
    </row>
  </sheetData>
  <mergeCells count="8">
    <mergeCell ref="B27:I27"/>
    <mergeCell ref="B28:I28"/>
    <mergeCell ref="B29:I29"/>
    <mergeCell ref="B20:I20"/>
    <mergeCell ref="B21:I21"/>
    <mergeCell ref="B22:I22"/>
    <mergeCell ref="B25:I25"/>
    <mergeCell ref="B26:I26"/>
  </mergeCells>
  <pageMargins left="0.7" right="0.7" top="0.75" bottom="0.75" header="0.3" footer="0.3"/>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87A20-3ABB-4DDA-A569-F1D2B37650A0}">
  <sheetPr codeName="Sheet10">
    <tabColor theme="9" tint="0.79998168889431442"/>
    <pageSetUpPr fitToPage="1"/>
  </sheetPr>
  <dimension ref="B2:O32"/>
  <sheetViews>
    <sheetView showGridLines="0" workbookViewId="0">
      <selection activeCell="L12" sqref="L12"/>
    </sheetView>
  </sheetViews>
  <sheetFormatPr defaultColWidth="9.109375" defaultRowHeight="14.4" x14ac:dyDescent="0.3"/>
  <cols>
    <col min="1" max="1" width="2.109375" style="5" customWidth="1"/>
    <col min="2" max="2" width="19.109375" style="5" bestFit="1" customWidth="1"/>
    <col min="3" max="3" width="12.77734375" style="5" customWidth="1"/>
    <col min="4" max="4" width="12.21875" style="5" bestFit="1" customWidth="1"/>
    <col min="5" max="5" width="13" style="5" customWidth="1"/>
    <col min="6" max="6" width="10" style="5" bestFit="1" customWidth="1"/>
    <col min="7" max="9" width="10.77734375" style="5" bestFit="1" customWidth="1"/>
    <col min="10" max="10" width="11.77734375" style="5" bestFit="1" customWidth="1"/>
    <col min="11" max="12" width="9.21875" style="5" bestFit="1" customWidth="1"/>
    <col min="13" max="16384" width="9.109375" style="5"/>
  </cols>
  <sheetData>
    <row r="2" spans="2:15" ht="18" x14ac:dyDescent="0.35">
      <c r="B2" s="295" t="s">
        <v>118</v>
      </c>
      <c r="C2" s="295"/>
      <c r="D2" s="295"/>
      <c r="E2" s="295"/>
      <c r="F2" s="295"/>
      <c r="G2" s="295"/>
      <c r="H2" s="295"/>
      <c r="I2" s="295"/>
      <c r="J2" s="295"/>
      <c r="K2" s="295"/>
      <c r="L2" s="295"/>
    </row>
    <row r="4" spans="2:15" ht="15" thickBot="1" x14ac:dyDescent="0.35"/>
    <row r="5" spans="2:15" ht="15.75" customHeight="1" thickBot="1" x14ac:dyDescent="0.35">
      <c r="B5" s="296" t="s">
        <v>70</v>
      </c>
      <c r="C5" s="298" t="s">
        <v>71</v>
      </c>
      <c r="D5" s="299"/>
      <c r="E5" s="300" t="s">
        <v>72</v>
      </c>
      <c r="F5" s="302" t="s">
        <v>73</v>
      </c>
      <c r="G5" s="303"/>
      <c r="H5" s="304" t="s">
        <v>74</v>
      </c>
      <c r="I5" s="305"/>
      <c r="J5" s="306"/>
      <c r="K5" s="305" t="s">
        <v>75</v>
      </c>
      <c r="L5" s="306"/>
    </row>
    <row r="6" spans="2:15" ht="43.8" thickBot="1" x14ac:dyDescent="0.35">
      <c r="B6" s="297"/>
      <c r="C6" s="96"/>
      <c r="D6" s="97" t="s">
        <v>76</v>
      </c>
      <c r="E6" s="301"/>
      <c r="F6" s="97" t="s">
        <v>9</v>
      </c>
      <c r="G6" s="98" t="s">
        <v>77</v>
      </c>
      <c r="H6" s="94" t="s">
        <v>40</v>
      </c>
      <c r="I6" s="94" t="s">
        <v>41</v>
      </c>
      <c r="J6" s="94" t="s">
        <v>45</v>
      </c>
      <c r="K6" s="94" t="s">
        <v>40</v>
      </c>
      <c r="L6" s="95" t="s">
        <v>41</v>
      </c>
    </row>
    <row r="7" spans="2:15" x14ac:dyDescent="0.3">
      <c r="B7" s="86"/>
      <c r="C7" s="87"/>
      <c r="D7" s="18"/>
      <c r="E7" s="88" t="s">
        <v>35</v>
      </c>
      <c r="F7" s="86"/>
      <c r="G7" s="89" t="s">
        <v>35</v>
      </c>
      <c r="H7" s="89" t="s">
        <v>10</v>
      </c>
      <c r="I7" s="89" t="s">
        <v>10</v>
      </c>
      <c r="J7" s="89" t="s">
        <v>10</v>
      </c>
      <c r="K7" s="87"/>
      <c r="L7" s="90"/>
      <c r="N7" s="5" t="s">
        <v>120</v>
      </c>
      <c r="O7" s="93">
        <f>J8-J29</f>
        <v>797.05398312024772</v>
      </c>
    </row>
    <row r="8" spans="2:15" ht="15" thickBot="1" x14ac:dyDescent="0.35">
      <c r="B8" s="99" t="s">
        <v>82</v>
      </c>
      <c r="C8" s="100" t="s">
        <v>69</v>
      </c>
      <c r="D8" s="101">
        <f>'RRRP Rate Design'!D14</f>
        <v>8115.5292008802571</v>
      </c>
      <c r="E8" s="101">
        <f>'RRRP Rate Design'!E14</f>
        <v>84857055.570733279</v>
      </c>
      <c r="F8" s="102">
        <f>'RRRP Rate Design'!I14</f>
        <v>52.77</v>
      </c>
      <c r="G8" s="103">
        <f>'RRRP Rate Design'!J14</f>
        <v>8.6E-3</v>
      </c>
      <c r="H8" s="101">
        <f>D8*F8*12</f>
        <v>5139077.7111654142</v>
      </c>
      <c r="I8" s="101">
        <f>E8*G8</f>
        <v>729770.67790830624</v>
      </c>
      <c r="J8" s="101">
        <f>H8+I8</f>
        <v>5868848.3890737202</v>
      </c>
      <c r="K8" s="194">
        <f>H8/J8</f>
        <v>0.87565351334225117</v>
      </c>
      <c r="L8" s="195">
        <f>I8/J8</f>
        <v>0.12434648665774886</v>
      </c>
    </row>
    <row r="10" spans="2:15" x14ac:dyDescent="0.3">
      <c r="B10" s="307" t="s">
        <v>86</v>
      </c>
      <c r="C10" s="307"/>
      <c r="D10" s="307"/>
      <c r="E10" s="307"/>
    </row>
    <row r="11" spans="2:15" x14ac:dyDescent="0.3">
      <c r="F11" s="81">
        <v>2022</v>
      </c>
      <c r="G11" s="82">
        <v>2023</v>
      </c>
      <c r="H11" s="82"/>
      <c r="I11" s="81"/>
      <c r="J11" s="82"/>
      <c r="K11" s="81"/>
    </row>
    <row r="12" spans="2:15" x14ac:dyDescent="0.3">
      <c r="B12" s="308" t="s">
        <v>122</v>
      </c>
      <c r="C12" s="308"/>
      <c r="D12" s="308"/>
      <c r="E12" s="308"/>
      <c r="F12" s="91">
        <f>F8</f>
        <v>52.77</v>
      </c>
      <c r="G12" s="91">
        <f>F15</f>
        <v>56.77</v>
      </c>
      <c r="H12" s="91"/>
      <c r="I12" s="91"/>
      <c r="J12" s="91"/>
      <c r="K12" s="91"/>
    </row>
    <row r="13" spans="2:15" x14ac:dyDescent="0.3">
      <c r="B13" s="308" t="s">
        <v>79</v>
      </c>
      <c r="C13" s="308"/>
      <c r="D13" s="308"/>
      <c r="E13" s="308"/>
      <c r="F13" s="83">
        <f>J8/D8/12</f>
        <v>60.263562237744061</v>
      </c>
      <c r="G13" s="91"/>
    </row>
    <row r="14" spans="2:15" x14ac:dyDescent="0.3">
      <c r="B14" s="92" t="s">
        <v>80</v>
      </c>
      <c r="C14" s="92"/>
      <c r="D14" s="92"/>
      <c r="E14" s="92"/>
      <c r="F14" s="83">
        <f>IF(($F$13-F12)&gt;4,4,$F$13-F12)</f>
        <v>4</v>
      </c>
      <c r="G14" s="83">
        <f>IF(($F$13-G12)&gt;4,4,$F$13-G12)</f>
        <v>3.4935622377440581</v>
      </c>
      <c r="H14" s="83"/>
      <c r="I14" s="83"/>
      <c r="J14" s="83"/>
      <c r="K14" s="83"/>
    </row>
    <row r="15" spans="2:15" x14ac:dyDescent="0.3">
      <c r="B15" s="308" t="s">
        <v>81</v>
      </c>
      <c r="C15" s="308"/>
      <c r="D15" s="308"/>
      <c r="E15" s="308"/>
      <c r="F15" s="83">
        <f>F12+F14</f>
        <v>56.77</v>
      </c>
      <c r="G15" s="83">
        <f>G12+G14</f>
        <v>60.263562237744061</v>
      </c>
      <c r="H15" s="83"/>
      <c r="I15" s="83"/>
      <c r="J15" s="83"/>
      <c r="K15" s="83"/>
    </row>
    <row r="17" spans="2:12" x14ac:dyDescent="0.3">
      <c r="B17" s="1" t="s">
        <v>119</v>
      </c>
    </row>
    <row r="18" spans="2:12" ht="15" thickBot="1" x14ac:dyDescent="0.35"/>
    <row r="19" spans="2:12" ht="15" thickBot="1" x14ac:dyDescent="0.35">
      <c r="B19" s="104" t="s">
        <v>70</v>
      </c>
      <c r="C19" s="309" t="s">
        <v>71</v>
      </c>
      <c r="D19" s="299"/>
      <c r="E19" s="300" t="s">
        <v>72</v>
      </c>
      <c r="F19" s="302" t="s">
        <v>73</v>
      </c>
      <c r="G19" s="303"/>
      <c r="H19" s="304" t="s">
        <v>74</v>
      </c>
      <c r="I19" s="305"/>
      <c r="J19" s="306"/>
      <c r="K19" s="305" t="s">
        <v>32</v>
      </c>
      <c r="L19" s="306"/>
    </row>
    <row r="20" spans="2:12" ht="43.8" thickBot="1" x14ac:dyDescent="0.35">
      <c r="B20" s="105"/>
      <c r="C20" s="106"/>
      <c r="D20" s="97" t="s">
        <v>76</v>
      </c>
      <c r="E20" s="301"/>
      <c r="F20" s="97" t="s">
        <v>9</v>
      </c>
      <c r="G20" s="98" t="s">
        <v>77</v>
      </c>
      <c r="H20" s="94" t="s">
        <v>40</v>
      </c>
      <c r="I20" s="94" t="s">
        <v>41</v>
      </c>
      <c r="J20" s="94" t="s">
        <v>45</v>
      </c>
      <c r="K20" s="94" t="s">
        <v>40</v>
      </c>
      <c r="L20" s="95" t="s">
        <v>41</v>
      </c>
    </row>
    <row r="21" spans="2:12" x14ac:dyDescent="0.3">
      <c r="B21" s="86"/>
      <c r="C21" s="86"/>
      <c r="D21" s="86"/>
      <c r="E21" s="88" t="s">
        <v>35</v>
      </c>
      <c r="F21" s="86"/>
      <c r="G21" s="89" t="s">
        <v>35</v>
      </c>
      <c r="H21" s="89" t="s">
        <v>10</v>
      </c>
      <c r="I21" s="89" t="s">
        <v>10</v>
      </c>
      <c r="J21" s="89" t="s">
        <v>10</v>
      </c>
      <c r="K21" s="87"/>
      <c r="L21" s="90"/>
    </row>
    <row r="22" spans="2:12" ht="15" thickBot="1" x14ac:dyDescent="0.35">
      <c r="B22" s="99" t="s">
        <v>78</v>
      </c>
      <c r="C22" s="99" t="s">
        <v>69</v>
      </c>
      <c r="D22" s="107">
        <f>D8</f>
        <v>8115.5292008802571</v>
      </c>
      <c r="E22" s="107">
        <f>E8</f>
        <v>84857055.570733279</v>
      </c>
      <c r="F22" s="102">
        <f>F15</f>
        <v>56.77</v>
      </c>
      <c r="G22" s="103">
        <f>I22/E22</f>
        <v>4.0093929017187705E-3</v>
      </c>
      <c r="H22" s="107">
        <f>F22*D22*12</f>
        <v>5528623.1128076669</v>
      </c>
      <c r="I22" s="107">
        <f>L22*J8</f>
        <v>340225.27626605326</v>
      </c>
      <c r="J22" s="193">
        <f>H22+I22</f>
        <v>5868848.3890737202</v>
      </c>
      <c r="K22" s="194">
        <f>H22/J8</f>
        <v>0.94202861384194814</v>
      </c>
      <c r="L22" s="195">
        <f>1-K22</f>
        <v>5.7971386158051863E-2</v>
      </c>
    </row>
    <row r="24" spans="2:12" x14ac:dyDescent="0.3">
      <c r="B24" s="1" t="s">
        <v>85</v>
      </c>
      <c r="H24" s="314"/>
      <c r="I24" s="314"/>
      <c r="J24" s="93"/>
    </row>
    <row r="25" spans="2:12" ht="15" thickBot="1" x14ac:dyDescent="0.35"/>
    <row r="26" spans="2:12" ht="15" thickBot="1" x14ac:dyDescent="0.35">
      <c r="B26" s="104" t="s">
        <v>70</v>
      </c>
      <c r="C26" s="309" t="s">
        <v>71</v>
      </c>
      <c r="D26" s="299"/>
      <c r="E26" s="300" t="s">
        <v>72</v>
      </c>
      <c r="F26" s="302" t="s">
        <v>73</v>
      </c>
      <c r="G26" s="303"/>
      <c r="H26" s="304" t="s">
        <v>74</v>
      </c>
      <c r="I26" s="305"/>
      <c r="J26" s="306"/>
    </row>
    <row r="27" spans="2:12" ht="43.8" thickBot="1" x14ac:dyDescent="0.35">
      <c r="B27" s="105"/>
      <c r="C27" s="106"/>
      <c r="D27" s="97" t="s">
        <v>76</v>
      </c>
      <c r="E27" s="301"/>
      <c r="F27" s="97" t="s">
        <v>9</v>
      </c>
      <c r="G27" s="98" t="s">
        <v>77</v>
      </c>
      <c r="H27" s="94" t="s">
        <v>40</v>
      </c>
      <c r="I27" s="94" t="s">
        <v>41</v>
      </c>
      <c r="J27" s="94" t="s">
        <v>45</v>
      </c>
    </row>
    <row r="28" spans="2:12" x14ac:dyDescent="0.3">
      <c r="B28" s="86"/>
      <c r="C28" s="86"/>
      <c r="D28" s="86"/>
      <c r="E28" s="88" t="s">
        <v>35</v>
      </c>
      <c r="F28" s="86"/>
      <c r="G28" s="89" t="s">
        <v>35</v>
      </c>
      <c r="H28" s="89" t="s">
        <v>10</v>
      </c>
      <c r="I28" s="89" t="s">
        <v>10</v>
      </c>
      <c r="J28" s="89" t="s">
        <v>10</v>
      </c>
    </row>
    <row r="29" spans="2:12" ht="15" thickBot="1" x14ac:dyDescent="0.35">
      <c r="B29" s="99" t="s">
        <v>78</v>
      </c>
      <c r="C29" s="99" t="s">
        <v>69</v>
      </c>
      <c r="D29" s="107">
        <f>D22</f>
        <v>8115.5292008802571</v>
      </c>
      <c r="E29" s="107">
        <f>E22</f>
        <v>84857055.570733279</v>
      </c>
      <c r="F29" s="102">
        <f>F22</f>
        <v>56.77</v>
      </c>
      <c r="G29" s="103">
        <f>ROUND(G22,4)</f>
        <v>4.0000000000000001E-3</v>
      </c>
      <c r="H29" s="107">
        <f>F29*D29*12</f>
        <v>5528623.1128076669</v>
      </c>
      <c r="I29" s="107">
        <f>E29*G29</f>
        <v>339428.22228293313</v>
      </c>
      <c r="J29" s="193">
        <f>H29+I29</f>
        <v>5868051.3350906</v>
      </c>
    </row>
    <row r="30" spans="2:12" ht="15" thickBot="1" x14ac:dyDescent="0.35">
      <c r="B30" s="108"/>
      <c r="C30" s="108"/>
      <c r="D30" s="109"/>
      <c r="E30" s="109"/>
      <c r="F30" s="110"/>
      <c r="G30" s="110"/>
      <c r="H30" s="111"/>
      <c r="I30" s="111"/>
      <c r="J30" s="112"/>
    </row>
    <row r="31" spans="2:12" x14ac:dyDescent="0.3">
      <c r="B31" s="310" t="s">
        <v>84</v>
      </c>
      <c r="C31" s="311"/>
      <c r="D31" s="311"/>
      <c r="E31" s="311"/>
      <c r="F31" s="311"/>
      <c r="G31" s="26" t="s">
        <v>10</v>
      </c>
      <c r="H31" s="113">
        <f>H29-H22</f>
        <v>0</v>
      </c>
      <c r="I31" s="113">
        <f>I29-I22</f>
        <v>-797.05398312013131</v>
      </c>
      <c r="J31" s="114">
        <f>J29-J22</f>
        <v>-797.05398312024772</v>
      </c>
    </row>
    <row r="32" spans="2:12" ht="15" thickBot="1" x14ac:dyDescent="0.35">
      <c r="B32" s="312"/>
      <c r="C32" s="313"/>
      <c r="D32" s="313"/>
      <c r="E32" s="313"/>
      <c r="F32" s="313"/>
      <c r="G32" s="116" t="s">
        <v>83</v>
      </c>
      <c r="H32" s="115">
        <f>H31/H22</f>
        <v>0</v>
      </c>
      <c r="I32" s="115">
        <f t="shared" ref="I32:J32" si="0">I31/I22</f>
        <v>-2.3427241851861763E-3</v>
      </c>
      <c r="J32" s="117">
        <f t="shared" si="0"/>
        <v>-1.3581096840125506E-4</v>
      </c>
    </row>
  </sheetData>
  <mergeCells count="22">
    <mergeCell ref="B31:F32"/>
    <mergeCell ref="F19:G19"/>
    <mergeCell ref="H19:J19"/>
    <mergeCell ref="K19:L19"/>
    <mergeCell ref="H24:I24"/>
    <mergeCell ref="C26:D26"/>
    <mergeCell ref="E26:E27"/>
    <mergeCell ref="F26:G26"/>
    <mergeCell ref="H26:J26"/>
    <mergeCell ref="B10:E10"/>
    <mergeCell ref="B12:E12"/>
    <mergeCell ref="B13:E13"/>
    <mergeCell ref="B15:E15"/>
    <mergeCell ref="C19:D19"/>
    <mergeCell ref="E19:E20"/>
    <mergeCell ref="B2:L2"/>
    <mergeCell ref="B5:B6"/>
    <mergeCell ref="C5:D5"/>
    <mergeCell ref="E5:E6"/>
    <mergeCell ref="F5:G5"/>
    <mergeCell ref="H5:J5"/>
    <mergeCell ref="K5:L5"/>
  </mergeCells>
  <pageMargins left="0.7" right="0.7" top="0.75" bottom="0.75" header="0.3" footer="0.3"/>
  <pageSetup scale="6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AE17-E022-42C7-8062-45D3B1C6C683}">
  <sheetPr codeName="Sheet11">
    <tabColor theme="9" tint="0.79998168889431442"/>
    <pageSetUpPr fitToPage="1"/>
  </sheetPr>
  <dimension ref="B2:L32"/>
  <sheetViews>
    <sheetView showGridLines="0" topLeftCell="A4" workbookViewId="0">
      <selection activeCell="F15" sqref="F15"/>
    </sheetView>
  </sheetViews>
  <sheetFormatPr defaultColWidth="9.109375" defaultRowHeight="14.4" x14ac:dyDescent="0.3"/>
  <cols>
    <col min="1" max="1" width="2.109375" style="5" customWidth="1"/>
    <col min="2" max="2" width="19.109375" style="5" bestFit="1" customWidth="1"/>
    <col min="3" max="3" width="12.77734375" style="5" customWidth="1"/>
    <col min="4" max="4" width="12.21875" style="5" bestFit="1" customWidth="1"/>
    <col min="5" max="5" width="13" style="5" customWidth="1"/>
    <col min="6" max="6" width="10" style="5" bestFit="1" customWidth="1"/>
    <col min="7" max="9" width="10.77734375" style="5" bestFit="1" customWidth="1"/>
    <col min="10" max="10" width="11.77734375" style="5" bestFit="1" customWidth="1"/>
    <col min="11" max="12" width="9.21875" style="5" bestFit="1" customWidth="1"/>
    <col min="13" max="16384" width="9.109375" style="5"/>
  </cols>
  <sheetData>
    <row r="2" spans="2:12" ht="18" x14ac:dyDescent="0.35">
      <c r="B2" s="295" t="s">
        <v>121</v>
      </c>
      <c r="C2" s="295"/>
      <c r="D2" s="295"/>
      <c r="E2" s="295"/>
      <c r="F2" s="295"/>
      <c r="G2" s="295"/>
      <c r="H2" s="295"/>
      <c r="I2" s="295"/>
      <c r="J2" s="295"/>
      <c r="K2" s="295"/>
      <c r="L2" s="295"/>
    </row>
    <row r="4" spans="2:12" ht="15" thickBot="1" x14ac:dyDescent="0.35"/>
    <row r="5" spans="2:12" ht="15.75" customHeight="1" thickBot="1" x14ac:dyDescent="0.35">
      <c r="B5" s="296" t="s">
        <v>70</v>
      </c>
      <c r="C5" s="298" t="s">
        <v>71</v>
      </c>
      <c r="D5" s="299"/>
      <c r="E5" s="300" t="s">
        <v>72</v>
      </c>
      <c r="F5" s="302" t="s">
        <v>73</v>
      </c>
      <c r="G5" s="303"/>
      <c r="H5" s="304" t="s">
        <v>74</v>
      </c>
      <c r="I5" s="305"/>
      <c r="J5" s="306"/>
      <c r="K5" s="305" t="s">
        <v>75</v>
      </c>
      <c r="L5" s="306"/>
    </row>
    <row r="6" spans="2:12" ht="43.8" thickBot="1" x14ac:dyDescent="0.35">
      <c r="B6" s="297"/>
      <c r="C6" s="96"/>
      <c r="D6" s="97" t="s">
        <v>76</v>
      </c>
      <c r="E6" s="301"/>
      <c r="F6" s="97" t="s">
        <v>9</v>
      </c>
      <c r="G6" s="98" t="s">
        <v>77</v>
      </c>
      <c r="H6" s="94" t="s">
        <v>40</v>
      </c>
      <c r="I6" s="94" t="s">
        <v>41</v>
      </c>
      <c r="J6" s="94" t="s">
        <v>45</v>
      </c>
      <c r="K6" s="94" t="s">
        <v>40</v>
      </c>
      <c r="L6" s="95" t="s">
        <v>41</v>
      </c>
    </row>
    <row r="7" spans="2:12" x14ac:dyDescent="0.3">
      <c r="B7" s="86"/>
      <c r="C7" s="87"/>
      <c r="D7" s="18"/>
      <c r="E7" s="88" t="s">
        <v>35</v>
      </c>
      <c r="F7" s="86"/>
      <c r="G7" s="89" t="s">
        <v>35</v>
      </c>
      <c r="H7" s="89" t="s">
        <v>10</v>
      </c>
      <c r="I7" s="89" t="s">
        <v>10</v>
      </c>
      <c r="J7" s="89" t="s">
        <v>10</v>
      </c>
      <c r="K7" s="87"/>
      <c r="L7" s="90"/>
    </row>
    <row r="8" spans="2:12" ht="15" thickBot="1" x14ac:dyDescent="0.35">
      <c r="B8" s="99" t="s">
        <v>16</v>
      </c>
      <c r="C8" s="100" t="s">
        <v>69</v>
      </c>
      <c r="D8" s="101">
        <f>'Non-RRRP Rate Design'!D7</f>
        <v>2960.1858518389645</v>
      </c>
      <c r="E8" s="101">
        <f>'Non-RRRP Rate Design'!E7</f>
        <v>5874372.3645382812</v>
      </c>
      <c r="F8" s="102">
        <f>'Non-RRRP Rate Design'!H7</f>
        <v>65.459999999999994</v>
      </c>
      <c r="G8" s="103">
        <f>'Non-RRRP Rate Design'!I7</f>
        <v>0.106</v>
      </c>
      <c r="H8" s="101">
        <f>D8*F8*12</f>
        <v>2325285.1903365431</v>
      </c>
      <c r="I8" s="101">
        <f>E8*G8</f>
        <v>622683.47064105782</v>
      </c>
      <c r="J8" s="101">
        <f>H8+I8</f>
        <v>2947968.6609776011</v>
      </c>
      <c r="K8" s="79">
        <f>H8/J8</f>
        <v>0.78877541037543986</v>
      </c>
      <c r="L8" s="80">
        <f>I8/J8</f>
        <v>0.21122458962456014</v>
      </c>
    </row>
    <row r="10" spans="2:12" x14ac:dyDescent="0.3">
      <c r="B10" s="307" t="s">
        <v>87</v>
      </c>
      <c r="C10" s="307"/>
      <c r="D10" s="307"/>
      <c r="E10" s="307"/>
    </row>
    <row r="11" spans="2:12" x14ac:dyDescent="0.3">
      <c r="F11" s="81">
        <v>2022</v>
      </c>
      <c r="G11" s="82">
        <v>2023</v>
      </c>
      <c r="H11" s="81">
        <v>2024</v>
      </c>
      <c r="I11" s="82">
        <v>2025</v>
      </c>
      <c r="J11" s="81">
        <v>2026</v>
      </c>
      <c r="K11" s="82"/>
    </row>
    <row r="12" spans="2:12" x14ac:dyDescent="0.3">
      <c r="B12" s="308" t="s">
        <v>122</v>
      </c>
      <c r="C12" s="308"/>
      <c r="D12" s="308"/>
      <c r="E12" s="308"/>
      <c r="F12" s="91">
        <f>F8</f>
        <v>65.459999999999994</v>
      </c>
      <c r="G12" s="91">
        <f>F15</f>
        <v>69.459999999999994</v>
      </c>
      <c r="H12" s="91">
        <f>G15</f>
        <v>73.459999999999994</v>
      </c>
      <c r="I12" s="91">
        <f t="shared" ref="I12:J12" si="0">H15</f>
        <v>77.459999999999994</v>
      </c>
      <c r="J12" s="91">
        <f t="shared" si="0"/>
        <v>81.459999999999994</v>
      </c>
      <c r="K12" s="91"/>
    </row>
    <row r="13" spans="2:12" x14ac:dyDescent="0.3">
      <c r="B13" s="308" t="s">
        <v>79</v>
      </c>
      <c r="C13" s="308"/>
      <c r="D13" s="308"/>
      <c r="E13" s="308"/>
      <c r="F13" s="83">
        <f>J8/D8/12</f>
        <v>82.98940248256784</v>
      </c>
      <c r="G13" s="91"/>
    </row>
    <row r="14" spans="2:12" x14ac:dyDescent="0.3">
      <c r="B14" s="92" t="s">
        <v>80</v>
      </c>
      <c r="C14" s="92"/>
      <c r="D14" s="92"/>
      <c r="E14" s="92"/>
      <c r="F14" s="83">
        <f>IF(($F$13-F12)&gt;4,4,$F$13-F12)</f>
        <v>4</v>
      </c>
      <c r="G14" s="83">
        <f>IF(($F$13-G12)&gt;4,4,$F$13-G12)</f>
        <v>4</v>
      </c>
      <c r="H14" s="83">
        <f>IF(($F$13-H12)&gt;4,4,$F$13-H12)</f>
        <v>4</v>
      </c>
      <c r="I14" s="83">
        <f t="shared" ref="I14:J14" si="1">IF(($F$13-I12)&gt;4,4,$F$13-I12)</f>
        <v>4</v>
      </c>
      <c r="J14" s="83">
        <f t="shared" si="1"/>
        <v>1.5294024825678463</v>
      </c>
      <c r="K14" s="83"/>
    </row>
    <row r="15" spans="2:12" x14ac:dyDescent="0.3">
      <c r="B15" s="308" t="s">
        <v>81</v>
      </c>
      <c r="C15" s="308"/>
      <c r="D15" s="308"/>
      <c r="E15" s="308"/>
      <c r="F15" s="83">
        <f>F12+F14</f>
        <v>69.459999999999994</v>
      </c>
      <c r="G15" s="83">
        <f>G12+G14</f>
        <v>73.459999999999994</v>
      </c>
      <c r="H15" s="83">
        <f>H12+H14</f>
        <v>77.459999999999994</v>
      </c>
      <c r="I15" s="83">
        <f t="shared" ref="I15:J15" si="2">I12+I14</f>
        <v>81.459999999999994</v>
      </c>
      <c r="J15" s="83">
        <f t="shared" si="2"/>
        <v>82.98940248256784</v>
      </c>
      <c r="K15" s="83"/>
    </row>
    <row r="17" spans="2:12" x14ac:dyDescent="0.3">
      <c r="B17" s="1" t="s">
        <v>123</v>
      </c>
    </row>
    <row r="18" spans="2:12" ht="15" thickBot="1" x14ac:dyDescent="0.35"/>
    <row r="19" spans="2:12" ht="15" thickBot="1" x14ac:dyDescent="0.35">
      <c r="B19" s="104" t="s">
        <v>70</v>
      </c>
      <c r="C19" s="309" t="s">
        <v>71</v>
      </c>
      <c r="D19" s="299"/>
      <c r="E19" s="300" t="s">
        <v>72</v>
      </c>
      <c r="F19" s="302" t="s">
        <v>73</v>
      </c>
      <c r="G19" s="303"/>
      <c r="H19" s="304" t="s">
        <v>74</v>
      </c>
      <c r="I19" s="305"/>
      <c r="J19" s="306"/>
      <c r="K19" s="305" t="s">
        <v>32</v>
      </c>
      <c r="L19" s="306"/>
    </row>
    <row r="20" spans="2:12" ht="43.8" thickBot="1" x14ac:dyDescent="0.35">
      <c r="B20" s="105"/>
      <c r="C20" s="106"/>
      <c r="D20" s="97" t="s">
        <v>76</v>
      </c>
      <c r="E20" s="301"/>
      <c r="F20" s="97" t="s">
        <v>9</v>
      </c>
      <c r="G20" s="98" t="s">
        <v>77</v>
      </c>
      <c r="H20" s="94" t="s">
        <v>40</v>
      </c>
      <c r="I20" s="94" t="s">
        <v>41</v>
      </c>
      <c r="J20" s="94" t="s">
        <v>45</v>
      </c>
      <c r="K20" s="94" t="s">
        <v>40</v>
      </c>
      <c r="L20" s="95" t="s">
        <v>41</v>
      </c>
    </row>
    <row r="21" spans="2:12" x14ac:dyDescent="0.3">
      <c r="B21" s="86"/>
      <c r="C21" s="86"/>
      <c r="D21" s="86"/>
      <c r="E21" s="88" t="s">
        <v>35</v>
      </c>
      <c r="F21" s="86"/>
      <c r="G21" s="89" t="s">
        <v>35</v>
      </c>
      <c r="H21" s="89" t="s">
        <v>10</v>
      </c>
      <c r="I21" s="89" t="s">
        <v>10</v>
      </c>
      <c r="J21" s="89" t="s">
        <v>10</v>
      </c>
      <c r="K21" s="87"/>
      <c r="L21" s="90"/>
    </row>
    <row r="22" spans="2:12" ht="15" thickBot="1" x14ac:dyDescent="0.35">
      <c r="B22" s="99" t="s">
        <v>16</v>
      </c>
      <c r="C22" s="99" t="s">
        <v>69</v>
      </c>
      <c r="D22" s="107">
        <f>D8</f>
        <v>2960.1858518389645</v>
      </c>
      <c r="E22" s="107">
        <f>E8</f>
        <v>5874372.3645382812</v>
      </c>
      <c r="F22" s="102">
        <f>F15</f>
        <v>69.459999999999994</v>
      </c>
      <c r="G22" s="103">
        <f>I22/E22</f>
        <v>8.1812067728968693E-2</v>
      </c>
      <c r="H22" s="84">
        <f>F22*D22*12</f>
        <v>2467374.1112248134</v>
      </c>
      <c r="I22" s="84">
        <f>L22*J8</f>
        <v>480594.54975278786</v>
      </c>
      <c r="J22" s="85">
        <f>H22+I22</f>
        <v>2947968.6609776011</v>
      </c>
      <c r="K22" s="79">
        <f>H22/J8</f>
        <v>0.8369743355435082</v>
      </c>
      <c r="L22" s="80">
        <f>1-K22</f>
        <v>0.1630256644564918</v>
      </c>
    </row>
    <row r="24" spans="2:12" x14ac:dyDescent="0.3">
      <c r="B24" s="1" t="s">
        <v>85</v>
      </c>
      <c r="H24" s="314"/>
      <c r="I24" s="314"/>
      <c r="J24" s="93"/>
    </row>
    <row r="25" spans="2:12" ht="15" thickBot="1" x14ac:dyDescent="0.35"/>
    <row r="26" spans="2:12" ht="15" thickBot="1" x14ac:dyDescent="0.35">
      <c r="B26" s="104" t="s">
        <v>70</v>
      </c>
      <c r="C26" s="309" t="s">
        <v>71</v>
      </c>
      <c r="D26" s="299"/>
      <c r="E26" s="300" t="s">
        <v>72</v>
      </c>
      <c r="F26" s="302" t="s">
        <v>73</v>
      </c>
      <c r="G26" s="303"/>
      <c r="H26" s="304" t="s">
        <v>74</v>
      </c>
      <c r="I26" s="305"/>
      <c r="J26" s="306"/>
    </row>
    <row r="27" spans="2:12" ht="43.8" thickBot="1" x14ac:dyDescent="0.35">
      <c r="B27" s="105"/>
      <c r="C27" s="106"/>
      <c r="D27" s="97" t="s">
        <v>76</v>
      </c>
      <c r="E27" s="301"/>
      <c r="F27" s="97" t="s">
        <v>9</v>
      </c>
      <c r="G27" s="98" t="s">
        <v>77</v>
      </c>
      <c r="H27" s="94" t="s">
        <v>40</v>
      </c>
      <c r="I27" s="94" t="s">
        <v>41</v>
      </c>
      <c r="J27" s="94" t="s">
        <v>45</v>
      </c>
    </row>
    <row r="28" spans="2:12" x14ac:dyDescent="0.3">
      <c r="B28" s="86"/>
      <c r="C28" s="86"/>
      <c r="D28" s="86"/>
      <c r="E28" s="88" t="s">
        <v>35</v>
      </c>
      <c r="F28" s="86"/>
      <c r="G28" s="89" t="s">
        <v>35</v>
      </c>
      <c r="H28" s="89" t="s">
        <v>10</v>
      </c>
      <c r="I28" s="89" t="s">
        <v>10</v>
      </c>
      <c r="J28" s="89" t="s">
        <v>10</v>
      </c>
    </row>
    <row r="29" spans="2:12" ht="15" thickBot="1" x14ac:dyDescent="0.35">
      <c r="B29" s="99" t="s">
        <v>16</v>
      </c>
      <c r="C29" s="99" t="s">
        <v>69</v>
      </c>
      <c r="D29" s="107">
        <f>D22</f>
        <v>2960.1858518389645</v>
      </c>
      <c r="E29" s="107">
        <f>E22</f>
        <v>5874372.3645382812</v>
      </c>
      <c r="F29" s="102">
        <f>F22</f>
        <v>69.459999999999994</v>
      </c>
      <c r="G29" s="103">
        <f>ROUND(G22,4)</f>
        <v>8.1799999999999998E-2</v>
      </c>
      <c r="H29" s="84">
        <f>F29*D29*12</f>
        <v>2467374.1112248134</v>
      </c>
      <c r="I29" s="84">
        <f>E29*G29</f>
        <v>480523.65941923141</v>
      </c>
      <c r="J29" s="85">
        <f>H29+I29</f>
        <v>2947897.770644045</v>
      </c>
    </row>
    <row r="30" spans="2:12" ht="15" thickBot="1" x14ac:dyDescent="0.35">
      <c r="B30" s="108"/>
      <c r="C30" s="108"/>
      <c r="D30" s="109"/>
      <c r="E30" s="109"/>
      <c r="F30" s="110"/>
      <c r="G30" s="110"/>
      <c r="H30" s="111"/>
      <c r="I30" s="111"/>
      <c r="J30" s="112"/>
    </row>
    <row r="31" spans="2:12" x14ac:dyDescent="0.3">
      <c r="B31" s="310" t="s">
        <v>84</v>
      </c>
      <c r="C31" s="311"/>
      <c r="D31" s="311"/>
      <c r="E31" s="311"/>
      <c r="F31" s="311"/>
      <c r="G31" s="26" t="s">
        <v>10</v>
      </c>
      <c r="H31" s="113">
        <f>H29-H22</f>
        <v>0</v>
      </c>
      <c r="I31" s="113">
        <f>I29-I22</f>
        <v>-70.890333556453697</v>
      </c>
      <c r="J31" s="114">
        <f>J29-J22</f>
        <v>-70.890333556104451</v>
      </c>
    </row>
    <row r="32" spans="2:12" ht="15" thickBot="1" x14ac:dyDescent="0.35">
      <c r="B32" s="312"/>
      <c r="C32" s="313"/>
      <c r="D32" s="313"/>
      <c r="E32" s="313"/>
      <c r="F32" s="313"/>
      <c r="G32" s="116" t="s">
        <v>83</v>
      </c>
      <c r="H32" s="115">
        <f>H31/H22</f>
        <v>0</v>
      </c>
      <c r="I32" s="115">
        <f t="shared" ref="I32:J32" si="3">I31/I22</f>
        <v>-1.4750548792723272E-4</v>
      </c>
      <c r="J32" s="117">
        <f t="shared" si="3"/>
        <v>-2.4047180180197675E-5</v>
      </c>
    </row>
  </sheetData>
  <mergeCells count="22">
    <mergeCell ref="B31:F32"/>
    <mergeCell ref="F19:G19"/>
    <mergeCell ref="H19:J19"/>
    <mergeCell ref="K19:L19"/>
    <mergeCell ref="H24:I24"/>
    <mergeCell ref="C26:D26"/>
    <mergeCell ref="E26:E27"/>
    <mergeCell ref="F26:G26"/>
    <mergeCell ref="H26:J26"/>
    <mergeCell ref="B10:E10"/>
    <mergeCell ref="B12:E12"/>
    <mergeCell ref="B13:E13"/>
    <mergeCell ref="B15:E15"/>
    <mergeCell ref="C19:D19"/>
    <mergeCell ref="E19:E20"/>
    <mergeCell ref="B2:L2"/>
    <mergeCell ref="B5:B6"/>
    <mergeCell ref="C5:D5"/>
    <mergeCell ref="E5:E6"/>
    <mergeCell ref="F5:G5"/>
    <mergeCell ref="H5:J5"/>
    <mergeCell ref="K5:L5"/>
  </mergeCells>
  <pageMargins left="0.7" right="0.7" top="0.75" bottom="0.75" header="0.3" footer="0.3"/>
  <pageSetup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0746-760F-4A40-AF18-6199DD84677D}">
  <sheetPr codeName="Sheet2">
    <tabColor theme="9" tint="0.79998168889431442"/>
    <pageSetUpPr fitToPage="1"/>
  </sheetPr>
  <dimension ref="B2:M28"/>
  <sheetViews>
    <sheetView showGridLines="0" workbookViewId="0">
      <selection activeCell="J13" sqref="J13"/>
    </sheetView>
  </sheetViews>
  <sheetFormatPr defaultColWidth="9.109375" defaultRowHeight="14.4" x14ac:dyDescent="0.3"/>
  <cols>
    <col min="1" max="1" width="2.77734375" style="5" customWidth="1"/>
    <col min="2" max="2" width="39.6640625" style="5" customWidth="1"/>
    <col min="3" max="3" width="6.6640625" style="5" bestFit="1" customWidth="1"/>
    <col min="4" max="4" width="2.77734375" style="5" customWidth="1"/>
    <col min="5" max="5" width="5.6640625" style="5" customWidth="1"/>
    <col min="6" max="6" width="11.6640625" style="5" bestFit="1" customWidth="1"/>
    <col min="7" max="7" width="7" style="5" customWidth="1"/>
    <col min="8" max="8" width="1.77734375" style="5" customWidth="1"/>
    <col min="9" max="9" width="6.109375" style="5" customWidth="1"/>
    <col min="10" max="10" width="12.109375" style="5" bestFit="1" customWidth="1"/>
    <col min="11" max="11" width="8.77734375" style="5" customWidth="1"/>
    <col min="12" max="12" width="3" style="5" customWidth="1"/>
    <col min="13" max="13" width="9.109375" style="6"/>
    <col min="14" max="14" width="9.109375" style="5"/>
    <col min="15" max="15" width="16.33203125" style="5" bestFit="1" customWidth="1"/>
    <col min="16" max="16384" width="9.109375" style="5"/>
  </cols>
  <sheetData>
    <row r="2" spans="2:13" ht="15.6" x14ac:dyDescent="0.3">
      <c r="B2" s="210" t="s">
        <v>99</v>
      </c>
      <c r="C2" s="210"/>
      <c r="D2" s="210"/>
      <c r="E2" s="210"/>
      <c r="F2" s="210"/>
      <c r="G2" s="210"/>
      <c r="H2" s="210"/>
      <c r="I2" s="210"/>
      <c r="J2" s="210"/>
      <c r="K2" s="210"/>
    </row>
    <row r="3" spans="2:13" ht="15" thickBot="1" x14ac:dyDescent="0.35">
      <c r="C3" s="6"/>
    </row>
    <row r="4" spans="2:13" ht="16.2" thickBot="1" x14ac:dyDescent="0.35">
      <c r="B4" s="211"/>
      <c r="C4" s="212"/>
      <c r="D4" s="212"/>
      <c r="E4" s="213" t="s">
        <v>112</v>
      </c>
      <c r="F4" s="214"/>
      <c r="G4" s="215"/>
      <c r="H4" s="158"/>
      <c r="I4" s="216" t="s">
        <v>113</v>
      </c>
      <c r="J4" s="217"/>
      <c r="K4" s="218"/>
      <c r="M4" s="219" t="s">
        <v>4</v>
      </c>
    </row>
    <row r="5" spans="2:13" ht="16.2" thickBot="1" x14ac:dyDescent="0.35">
      <c r="B5" s="220" t="s">
        <v>5</v>
      </c>
      <c r="C5" s="221"/>
      <c r="D5" s="221"/>
      <c r="E5" s="222" t="s">
        <v>3</v>
      </c>
      <c r="F5" s="223"/>
      <c r="G5" s="224"/>
      <c r="H5" s="159"/>
      <c r="I5" s="222" t="s">
        <v>97</v>
      </c>
      <c r="J5" s="223"/>
      <c r="K5" s="224"/>
      <c r="M5" s="219"/>
    </row>
    <row r="6" spans="2:13" ht="16.2" thickBot="1" x14ac:dyDescent="0.35">
      <c r="B6" s="220"/>
      <c r="C6" s="221"/>
      <c r="D6" s="221"/>
      <c r="E6" s="225"/>
      <c r="F6" s="226"/>
      <c r="G6" s="227"/>
      <c r="H6" s="159"/>
      <c r="I6" s="228"/>
      <c r="J6" s="229"/>
      <c r="K6" s="230"/>
      <c r="M6" s="8"/>
    </row>
    <row r="7" spans="2:13" ht="43.5" customHeight="1" x14ac:dyDescent="0.3">
      <c r="B7" s="9" t="s">
        <v>6</v>
      </c>
      <c r="C7" s="10" t="s">
        <v>7</v>
      </c>
      <c r="D7" s="11"/>
      <c r="E7" s="231" t="s">
        <v>19</v>
      </c>
      <c r="F7" s="232"/>
      <c r="G7" s="233"/>
      <c r="H7" s="159"/>
      <c r="I7" s="234" t="s">
        <v>114</v>
      </c>
      <c r="J7" s="235"/>
      <c r="K7" s="236"/>
      <c r="M7" s="8"/>
    </row>
    <row r="8" spans="2:13" x14ac:dyDescent="0.3">
      <c r="B8" s="12" t="s">
        <v>8</v>
      </c>
      <c r="C8" s="8"/>
      <c r="D8" s="13"/>
      <c r="E8" s="165"/>
      <c r="F8" s="166"/>
      <c r="G8" s="167"/>
      <c r="H8" s="7"/>
      <c r="I8" s="14"/>
      <c r="J8" s="16"/>
      <c r="K8" s="15"/>
      <c r="M8" s="8"/>
    </row>
    <row r="9" spans="2:13" x14ac:dyDescent="0.3">
      <c r="B9" s="17" t="s">
        <v>9</v>
      </c>
      <c r="C9" s="8" t="s">
        <v>10</v>
      </c>
      <c r="D9" s="2"/>
      <c r="E9" s="168"/>
      <c r="F9" s="161">
        <v>51.09</v>
      </c>
      <c r="G9" s="167"/>
      <c r="H9" s="130"/>
      <c r="I9" s="131"/>
      <c r="J9" s="172">
        <f>'R1(i) Decoupling'!F29</f>
        <v>56.77</v>
      </c>
      <c r="K9" s="18"/>
      <c r="M9" s="3">
        <f>(J9-F9)/F9</f>
        <v>0.1111763554511646</v>
      </c>
    </row>
    <row r="10" spans="2:13" x14ac:dyDescent="0.3">
      <c r="B10" s="17" t="s">
        <v>11</v>
      </c>
      <c r="C10" s="8" t="s">
        <v>12</v>
      </c>
      <c r="D10" s="4"/>
      <c r="E10" s="168"/>
      <c r="F10" s="162">
        <v>8.3000000000000001E-3</v>
      </c>
      <c r="G10" s="167"/>
      <c r="H10" s="130"/>
      <c r="I10" s="132"/>
      <c r="J10" s="173">
        <f>'R1(i) Decoupling'!G29</f>
        <v>4.0000000000000001E-3</v>
      </c>
      <c r="K10" s="15"/>
      <c r="M10" s="3">
        <f>(J10-F10)/F10</f>
        <v>-0.51807228915662651</v>
      </c>
    </row>
    <row r="11" spans="2:13" x14ac:dyDescent="0.3">
      <c r="B11" s="17"/>
      <c r="C11" s="8"/>
      <c r="D11" s="4"/>
      <c r="E11" s="168"/>
      <c r="F11" s="163"/>
      <c r="G11" s="167"/>
      <c r="H11" s="130"/>
      <c r="I11" s="132"/>
      <c r="J11" s="173"/>
      <c r="K11" s="15"/>
      <c r="M11" s="3"/>
    </row>
    <row r="12" spans="2:13" x14ac:dyDescent="0.3">
      <c r="B12" s="12" t="s">
        <v>13</v>
      </c>
      <c r="C12" s="8"/>
      <c r="D12" s="4"/>
      <c r="E12" s="168"/>
      <c r="F12" s="163"/>
      <c r="G12" s="167"/>
      <c r="H12" s="130"/>
      <c r="I12" s="132"/>
      <c r="J12" s="172"/>
      <c r="K12" s="15"/>
      <c r="M12" s="3"/>
    </row>
    <row r="13" spans="2:13" x14ac:dyDescent="0.3">
      <c r="B13" s="17" t="s">
        <v>9</v>
      </c>
      <c r="C13" s="8" t="s">
        <v>10</v>
      </c>
      <c r="D13" s="4"/>
      <c r="E13" s="168"/>
      <c r="F13" s="161">
        <v>26.15</v>
      </c>
      <c r="G13" s="167"/>
      <c r="H13" s="130"/>
      <c r="I13" s="132"/>
      <c r="J13" s="172">
        <f>'RRRP Rate Design'!I15</f>
        <v>27.01</v>
      </c>
      <c r="K13" s="15"/>
      <c r="M13" s="3">
        <f>(J13-F13)/F13</f>
        <v>3.288718929254314E-2</v>
      </c>
    </row>
    <row r="14" spans="2:13" x14ac:dyDescent="0.3">
      <c r="B14" s="17" t="s">
        <v>11</v>
      </c>
      <c r="C14" s="8" t="s">
        <v>12</v>
      </c>
      <c r="D14" s="4"/>
      <c r="E14" s="168"/>
      <c r="F14" s="162">
        <v>3.6799999999999999E-2</v>
      </c>
      <c r="G14" s="167"/>
      <c r="H14" s="130"/>
      <c r="I14" s="132"/>
      <c r="J14" s="173">
        <f>'RRRP Rate Design'!J15</f>
        <v>3.7999999999999999E-2</v>
      </c>
      <c r="K14" s="15"/>
      <c r="M14" s="3">
        <f>(J14-F14)/F14</f>
        <v>3.2608695652173905E-2</v>
      </c>
    </row>
    <row r="15" spans="2:13" x14ac:dyDescent="0.3">
      <c r="B15" s="17"/>
      <c r="C15" s="8"/>
      <c r="D15" s="13"/>
      <c r="E15" s="165"/>
      <c r="F15" s="169"/>
      <c r="G15" s="167"/>
      <c r="H15" s="130"/>
      <c r="I15" s="132"/>
      <c r="J15" s="166"/>
      <c r="K15" s="15"/>
      <c r="M15" s="19"/>
    </row>
    <row r="16" spans="2:13" x14ac:dyDescent="0.3">
      <c r="B16" s="12" t="s">
        <v>14</v>
      </c>
      <c r="C16" s="8"/>
      <c r="D16" s="13"/>
      <c r="E16" s="165"/>
      <c r="F16" s="169"/>
      <c r="G16" s="167"/>
      <c r="H16" s="130"/>
      <c r="I16" s="132"/>
      <c r="J16" s="166"/>
      <c r="K16" s="15"/>
      <c r="M16" s="19"/>
    </row>
    <row r="17" spans="2:13" x14ac:dyDescent="0.3">
      <c r="B17" s="17" t="s">
        <v>9</v>
      </c>
      <c r="C17" s="8" t="s">
        <v>10</v>
      </c>
      <c r="D17" s="2"/>
      <c r="E17" s="168"/>
      <c r="F17" s="164">
        <v>673</v>
      </c>
      <c r="G17" s="167"/>
      <c r="H17" s="130"/>
      <c r="I17" s="132"/>
      <c r="J17" s="174">
        <f>'RRRP Rate Design'!I16</f>
        <v>695.07</v>
      </c>
      <c r="K17" s="15"/>
      <c r="M17" s="3">
        <f t="shared" ref="M17:M18" si="0">(J17-F17)/F17</f>
        <v>3.2793462109955498E-2</v>
      </c>
    </row>
    <row r="18" spans="2:13" x14ac:dyDescent="0.3">
      <c r="B18" s="17" t="s">
        <v>11</v>
      </c>
      <c r="C18" s="8" t="s">
        <v>15</v>
      </c>
      <c r="D18" s="4"/>
      <c r="E18" s="168"/>
      <c r="F18" s="162">
        <v>3.4870999999999999</v>
      </c>
      <c r="G18" s="167"/>
      <c r="H18" s="130"/>
      <c r="I18" s="132"/>
      <c r="J18" s="173">
        <f>'RRRP Rate Design'!J16</f>
        <v>3.6015000000000001</v>
      </c>
      <c r="K18" s="15"/>
      <c r="M18" s="3">
        <f t="shared" si="0"/>
        <v>3.2806630151128523E-2</v>
      </c>
    </row>
    <row r="19" spans="2:13" x14ac:dyDescent="0.3">
      <c r="B19" s="17"/>
      <c r="C19" s="8"/>
      <c r="D19" s="13"/>
      <c r="E19" s="165"/>
      <c r="F19" s="169"/>
      <c r="G19" s="167"/>
      <c r="H19" s="130"/>
      <c r="I19" s="132"/>
      <c r="J19" s="166"/>
      <c r="K19" s="15"/>
      <c r="M19" s="19"/>
    </row>
    <row r="20" spans="2:13" x14ac:dyDescent="0.3">
      <c r="B20" s="12" t="s">
        <v>16</v>
      </c>
      <c r="C20" s="8"/>
      <c r="D20" s="13"/>
      <c r="E20" s="165"/>
      <c r="F20" s="169"/>
      <c r="G20" s="167"/>
      <c r="H20" s="130"/>
      <c r="I20" s="132"/>
      <c r="J20" s="166"/>
      <c r="K20" s="15"/>
      <c r="M20" s="19"/>
    </row>
    <row r="21" spans="2:13" x14ac:dyDescent="0.3">
      <c r="B21" s="17" t="s">
        <v>9</v>
      </c>
      <c r="C21" s="8" t="s">
        <v>10</v>
      </c>
      <c r="D21" s="2"/>
      <c r="E21" s="168"/>
      <c r="F21" s="164">
        <v>63.74</v>
      </c>
      <c r="G21" s="167"/>
      <c r="H21" s="130"/>
      <c r="I21" s="132"/>
      <c r="J21" s="175">
        <f>'Seasonal Decoupling'!F29</f>
        <v>69.459999999999994</v>
      </c>
      <c r="K21" s="15"/>
      <c r="M21" s="3">
        <f t="shared" ref="M21:M22" si="1">(J21-F21)/F21</f>
        <v>8.9739566990900396E-2</v>
      </c>
    </row>
    <row r="22" spans="2:13" x14ac:dyDescent="0.3">
      <c r="B22" s="17" t="s">
        <v>11</v>
      </c>
      <c r="C22" s="8" t="s">
        <v>12</v>
      </c>
      <c r="D22" s="4"/>
      <c r="E22" s="168"/>
      <c r="F22" s="162">
        <v>0.1032</v>
      </c>
      <c r="G22" s="167"/>
      <c r="H22" s="130"/>
      <c r="I22" s="132"/>
      <c r="J22" s="173">
        <f>'Seasonal Decoupling'!G29</f>
        <v>8.1799999999999998E-2</v>
      </c>
      <c r="K22" s="15"/>
      <c r="M22" s="3">
        <f t="shared" si="1"/>
        <v>-0.20736434108527135</v>
      </c>
    </row>
    <row r="23" spans="2:13" x14ac:dyDescent="0.3">
      <c r="B23" s="17"/>
      <c r="C23" s="8"/>
      <c r="D23" s="13"/>
      <c r="E23" s="165"/>
      <c r="F23" s="169"/>
      <c r="G23" s="167"/>
      <c r="H23" s="130"/>
      <c r="I23" s="132"/>
      <c r="J23" s="166"/>
      <c r="K23" s="15"/>
      <c r="M23" s="19"/>
    </row>
    <row r="24" spans="2:13" x14ac:dyDescent="0.3">
      <c r="B24" s="12" t="s">
        <v>17</v>
      </c>
      <c r="C24" s="8"/>
      <c r="D24" s="13"/>
      <c r="E24" s="165"/>
      <c r="F24" s="169"/>
      <c r="G24" s="167"/>
      <c r="H24" s="130"/>
      <c r="I24" s="132"/>
      <c r="J24" s="166"/>
      <c r="K24" s="15"/>
      <c r="M24" s="19"/>
    </row>
    <row r="25" spans="2:13" x14ac:dyDescent="0.3">
      <c r="B25" s="20" t="s">
        <v>9</v>
      </c>
      <c r="C25" s="8" t="s">
        <v>10</v>
      </c>
      <c r="D25" s="2"/>
      <c r="E25" s="168"/>
      <c r="F25" s="164">
        <v>1.89</v>
      </c>
      <c r="G25" s="167"/>
      <c r="H25" s="130"/>
      <c r="I25" s="132"/>
      <c r="J25" s="175">
        <f>'Non-RRRP Rate Design'!H8</f>
        <v>1.94</v>
      </c>
      <c r="K25" s="15"/>
      <c r="M25" s="3">
        <f t="shared" ref="M25:M26" si="2">(J25-F25)/F25</f>
        <v>2.6455026455026481E-2</v>
      </c>
    </row>
    <row r="26" spans="2:13" x14ac:dyDescent="0.3">
      <c r="B26" s="17" t="s">
        <v>11</v>
      </c>
      <c r="C26" s="8" t="s">
        <v>12</v>
      </c>
      <c r="D26" s="4"/>
      <c r="E26" s="168"/>
      <c r="F26" s="162">
        <v>0.30470000000000003</v>
      </c>
      <c r="G26" s="167"/>
      <c r="H26" s="130"/>
      <c r="I26" s="132"/>
      <c r="J26" s="173">
        <f>'Non-RRRP Rate Design'!I8</f>
        <v>0.31290000000000001</v>
      </c>
      <c r="K26" s="15"/>
      <c r="M26" s="3">
        <f t="shared" si="2"/>
        <v>2.6911716442402311E-2</v>
      </c>
    </row>
    <row r="27" spans="2:13" x14ac:dyDescent="0.3">
      <c r="B27" s="17"/>
      <c r="C27" s="8"/>
      <c r="D27" s="13"/>
      <c r="E27" s="165"/>
      <c r="F27" s="169"/>
      <c r="G27" s="167"/>
      <c r="H27" s="130"/>
      <c r="I27" s="132"/>
      <c r="J27" s="166"/>
      <c r="K27" s="15"/>
      <c r="M27" s="19"/>
    </row>
    <row r="28" spans="2:13" ht="15" thickBot="1" x14ac:dyDescent="0.35">
      <c r="B28" s="21" t="s">
        <v>18</v>
      </c>
      <c r="C28" s="22" t="s">
        <v>10</v>
      </c>
      <c r="D28" s="23"/>
      <c r="E28" s="170"/>
      <c r="F28" s="160">
        <v>14253193</v>
      </c>
      <c r="G28" s="171"/>
      <c r="H28" s="133"/>
      <c r="I28" s="134"/>
      <c r="J28" s="176">
        <f>'RRRP Rate Design'!M19</f>
        <v>15547625.005889641</v>
      </c>
      <c r="K28" s="24"/>
      <c r="M28" s="3">
        <f>(J28-F28)/F28</f>
        <v>9.0816984369021109E-2</v>
      </c>
    </row>
  </sheetData>
  <mergeCells count="13">
    <mergeCell ref="B6:D6"/>
    <mergeCell ref="E6:G6"/>
    <mergeCell ref="I6:K6"/>
    <mergeCell ref="E7:G7"/>
    <mergeCell ref="I7:K7"/>
    <mergeCell ref="B2:K2"/>
    <mergeCell ref="B4:D4"/>
    <mergeCell ref="E4:G4"/>
    <mergeCell ref="I4:K4"/>
    <mergeCell ref="M4:M5"/>
    <mergeCell ref="B5:D5"/>
    <mergeCell ref="E5:G5"/>
    <mergeCell ref="I5:K5"/>
  </mergeCells>
  <pageMargins left="0.7" right="0.7" top="0.75" bottom="0.75" header="0.3" footer="0.3"/>
  <pageSetup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4982-61F9-4BF2-A139-8D79528AD383}">
  <sheetPr codeName="Sheet3">
    <tabColor theme="8" tint="0.79998168889431442"/>
    <pageSetUpPr fitToPage="1"/>
  </sheetPr>
  <dimension ref="B2:F12"/>
  <sheetViews>
    <sheetView showGridLines="0" workbookViewId="0">
      <selection activeCell="H20" sqref="H20"/>
    </sheetView>
  </sheetViews>
  <sheetFormatPr defaultRowHeight="14.4" x14ac:dyDescent="0.3"/>
  <cols>
    <col min="1" max="1" width="2.77734375" customWidth="1"/>
    <col min="2" max="2" width="15" customWidth="1"/>
    <col min="3" max="3" width="14.109375" customWidth="1"/>
    <col min="4" max="4" width="10.33203125" bestFit="1" customWidth="1"/>
    <col min="5" max="5" width="12.109375" customWidth="1"/>
    <col min="6" max="6" width="11.6640625" customWidth="1"/>
  </cols>
  <sheetData>
    <row r="2" spans="2:6" ht="15" thickBot="1" x14ac:dyDescent="0.35"/>
    <row r="3" spans="2:6" x14ac:dyDescent="0.3">
      <c r="B3" s="237" t="s">
        <v>91</v>
      </c>
      <c r="C3" s="238"/>
      <c r="D3" s="238"/>
      <c r="E3" s="238"/>
      <c r="F3" s="239"/>
    </row>
    <row r="4" spans="2:6" ht="15" thickBot="1" x14ac:dyDescent="0.35">
      <c r="B4" s="240"/>
      <c r="C4" s="241"/>
      <c r="D4" s="241"/>
      <c r="E4" s="241"/>
      <c r="F4" s="242"/>
    </row>
    <row r="5" spans="2:6" ht="52.8" x14ac:dyDescent="0.3">
      <c r="B5" s="121"/>
      <c r="C5" s="122" t="s">
        <v>95</v>
      </c>
      <c r="D5" s="122" t="s">
        <v>90</v>
      </c>
      <c r="E5" s="122" t="s">
        <v>93</v>
      </c>
      <c r="F5" s="123" t="s">
        <v>92</v>
      </c>
    </row>
    <row r="6" spans="2:6" x14ac:dyDescent="0.3">
      <c r="B6" s="124" t="s">
        <v>43</v>
      </c>
      <c r="C6" s="127">
        <v>16904988.472834036</v>
      </c>
      <c r="D6" s="127">
        <v>328511.99052853708</v>
      </c>
      <c r="E6" s="127">
        <v>17362030.650583163</v>
      </c>
      <c r="F6" s="126">
        <f>(D6+E6)/C6</f>
        <v>1.046468778700443</v>
      </c>
    </row>
    <row r="7" spans="2:6" x14ac:dyDescent="0.3">
      <c r="B7" s="124" t="s">
        <v>14</v>
      </c>
      <c r="C7" s="127">
        <v>5043434.3676901637</v>
      </c>
      <c r="D7" s="127">
        <v>83044.070069468231</v>
      </c>
      <c r="E7" s="127">
        <v>4634806.1194622787</v>
      </c>
      <c r="F7" s="126">
        <f t="shared" ref="F7:F9" si="0">(D7+E7)/C7</f>
        <v>0.93544395457107332</v>
      </c>
    </row>
    <row r="8" spans="2:6" x14ac:dyDescent="0.3">
      <c r="B8" s="124" t="s">
        <v>16</v>
      </c>
      <c r="C8" s="127">
        <v>3391922.3985712621</v>
      </c>
      <c r="D8" s="127">
        <v>72715.982014777779</v>
      </c>
      <c r="E8" s="127">
        <v>2825242.8631995791</v>
      </c>
      <c r="F8" s="126">
        <f t="shared" si="0"/>
        <v>0.8543706207533015</v>
      </c>
    </row>
    <row r="9" spans="2:6" x14ac:dyDescent="0.3">
      <c r="B9" s="124" t="s">
        <v>17</v>
      </c>
      <c r="C9" s="127">
        <v>169967.81619938929</v>
      </c>
      <c r="D9" s="127">
        <v>4518.7973872169614</v>
      </c>
      <c r="E9" s="127">
        <v>199442.58204983751</v>
      </c>
      <c r="F9" s="126">
        <f t="shared" si="0"/>
        <v>1.1999999999869819</v>
      </c>
    </row>
    <row r="10" spans="2:6" ht="15" thickBot="1" x14ac:dyDescent="0.35">
      <c r="B10" s="38" t="s">
        <v>45</v>
      </c>
      <c r="C10" s="40">
        <f>SUM(C6:C9)</f>
        <v>25510313.055294853</v>
      </c>
      <c r="D10" s="40">
        <f>SUM(D6:D9)</f>
        <v>488790.84</v>
      </c>
      <c r="E10" s="40">
        <f>SUM(E6:E9)</f>
        <v>25021522.21529486</v>
      </c>
      <c r="F10" s="128"/>
    </row>
    <row r="12" spans="2:6" x14ac:dyDescent="0.3">
      <c r="F12" s="125"/>
    </row>
  </sheetData>
  <mergeCells count="1">
    <mergeCell ref="B3:F4"/>
  </mergeCells>
  <pageMargins left="0.7" right="0.7" top="0.75" bottom="0.75" header="0.3" footer="0.3"/>
  <pageSetup scale="9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051E-3CEA-4204-B586-D4F1E2FC840E}">
  <sheetPr codeName="Sheet4">
    <tabColor theme="8" tint="0.79998168889431442"/>
    <pageSetUpPr fitToPage="1"/>
  </sheetPr>
  <dimension ref="B2:N26"/>
  <sheetViews>
    <sheetView showGridLines="0" workbookViewId="0">
      <selection activeCell="E23" sqref="E23"/>
    </sheetView>
  </sheetViews>
  <sheetFormatPr defaultColWidth="9.109375" defaultRowHeight="14.4" x14ac:dyDescent="0.3"/>
  <cols>
    <col min="1" max="1" width="2.77734375" style="5" customWidth="1"/>
    <col min="2" max="2" width="16.33203125" style="5" customWidth="1"/>
    <col min="3" max="3" width="6.33203125" style="5" customWidth="1"/>
    <col min="4" max="4" width="10.109375" style="5" customWidth="1"/>
    <col min="5" max="5" width="12.77734375" style="5" bestFit="1" customWidth="1"/>
    <col min="6" max="6" width="9.21875" style="5" bestFit="1" customWidth="1"/>
    <col min="7" max="8" width="10.21875" style="5" bestFit="1" customWidth="1"/>
    <col min="9" max="9" width="9.6640625" style="5" bestFit="1" customWidth="1"/>
    <col min="10" max="10" width="9.109375" style="5" bestFit="1" customWidth="1"/>
    <col min="11" max="12" width="11.77734375" style="5" bestFit="1" customWidth="1"/>
    <col min="13" max="13" width="11.6640625" style="5" customWidth="1"/>
    <col min="14" max="14" width="11.77734375" style="5" bestFit="1" customWidth="1"/>
    <col min="15" max="16384" width="9.109375" style="5"/>
  </cols>
  <sheetData>
    <row r="2" spans="2:14" ht="15" thickBot="1" x14ac:dyDescent="0.35"/>
    <row r="3" spans="2:14" ht="31.5" customHeight="1" x14ac:dyDescent="0.3">
      <c r="B3" s="243" t="s">
        <v>46</v>
      </c>
      <c r="C3" s="244"/>
      <c r="D3" s="244"/>
      <c r="E3" s="244"/>
      <c r="F3" s="244"/>
      <c r="G3" s="244"/>
      <c r="H3" s="244"/>
      <c r="I3" s="244"/>
      <c r="J3" s="244"/>
      <c r="K3" s="244"/>
      <c r="L3" s="244"/>
      <c r="M3" s="244"/>
      <c r="N3" s="245"/>
    </row>
    <row r="4" spans="2:14" x14ac:dyDescent="0.3">
      <c r="B4" s="246" t="s">
        <v>44</v>
      </c>
      <c r="C4" s="247"/>
      <c r="D4" s="247"/>
      <c r="E4" s="247"/>
      <c r="F4" s="247"/>
      <c r="G4" s="247"/>
      <c r="H4" s="247"/>
      <c r="I4" s="247"/>
      <c r="J4" s="247"/>
      <c r="K4" s="247"/>
      <c r="L4" s="247"/>
      <c r="M4" s="247"/>
      <c r="N4" s="248"/>
    </row>
    <row r="5" spans="2:14" ht="15" customHeight="1" x14ac:dyDescent="0.3">
      <c r="B5" s="249" t="s">
        <v>29</v>
      </c>
      <c r="C5" s="251" t="s">
        <v>7</v>
      </c>
      <c r="D5" s="253" t="s">
        <v>30</v>
      </c>
      <c r="E5" s="255" t="s">
        <v>31</v>
      </c>
      <c r="F5" s="256"/>
      <c r="G5" s="255" t="s">
        <v>32</v>
      </c>
      <c r="H5" s="256"/>
      <c r="I5" s="255" t="s">
        <v>33</v>
      </c>
      <c r="J5" s="256"/>
      <c r="K5" s="255" t="s">
        <v>34</v>
      </c>
      <c r="L5" s="247"/>
      <c r="M5" s="247"/>
      <c r="N5" s="248"/>
    </row>
    <row r="6" spans="2:14" ht="57.6" x14ac:dyDescent="0.3">
      <c r="B6" s="250"/>
      <c r="C6" s="252"/>
      <c r="D6" s="254"/>
      <c r="E6" s="50" t="s">
        <v>35</v>
      </c>
      <c r="F6" s="50" t="s">
        <v>36</v>
      </c>
      <c r="G6" s="51" t="s">
        <v>37</v>
      </c>
      <c r="H6" s="51" t="s">
        <v>38</v>
      </c>
      <c r="I6" s="51" t="s">
        <v>9</v>
      </c>
      <c r="J6" s="51" t="s">
        <v>39</v>
      </c>
      <c r="K6" s="51" t="s">
        <v>40</v>
      </c>
      <c r="L6" s="51" t="s">
        <v>41</v>
      </c>
      <c r="M6" s="51" t="s">
        <v>47</v>
      </c>
      <c r="N6" s="52" t="s">
        <v>48</v>
      </c>
    </row>
    <row r="7" spans="2:14" x14ac:dyDescent="0.3">
      <c r="B7" s="53" t="s">
        <v>43</v>
      </c>
      <c r="C7" s="8" t="s">
        <v>35</v>
      </c>
      <c r="D7" s="45">
        <v>9112.8451064303372</v>
      </c>
      <c r="E7" s="42">
        <v>113337066.328181</v>
      </c>
      <c r="F7" s="41"/>
      <c r="G7" s="56">
        <v>0.64118373052413569</v>
      </c>
      <c r="H7" s="57">
        <f>1-G7</f>
        <v>0.35881626947586431</v>
      </c>
      <c r="I7" s="43">
        <v>101.8</v>
      </c>
      <c r="J7" s="44">
        <v>5.5E-2</v>
      </c>
      <c r="K7" s="32">
        <f>D7*I7*12</f>
        <v>11132251.582015298</v>
      </c>
      <c r="L7" s="32">
        <f>E7*J7</f>
        <v>6233538.6480499553</v>
      </c>
      <c r="M7" s="41"/>
      <c r="N7" s="33">
        <f>SUM(K7:M7)</f>
        <v>17365790.230065253</v>
      </c>
    </row>
    <row r="8" spans="2:14" x14ac:dyDescent="0.3">
      <c r="B8" s="53" t="s">
        <v>14</v>
      </c>
      <c r="C8" s="8" t="s">
        <v>36</v>
      </c>
      <c r="D8" s="45">
        <v>37.282220262380214</v>
      </c>
      <c r="E8" s="41"/>
      <c r="F8" s="42">
        <v>248604.90668572392</v>
      </c>
      <c r="G8" s="56">
        <v>0.12009672583040554</v>
      </c>
      <c r="H8" s="57">
        <f t="shared" ref="H8:H10" si="0">1-G8</f>
        <v>0.87990327416959446</v>
      </c>
      <c r="I8" s="43">
        <v>1244.17</v>
      </c>
      <c r="J8" s="44">
        <v>16.8475</v>
      </c>
      <c r="K8" s="32">
        <f t="shared" ref="K8:K10" si="1">D8*I8*12</f>
        <v>556625.03980614711</v>
      </c>
      <c r="L8" s="32">
        <f>F8*J8</f>
        <v>4188371.1653877338</v>
      </c>
      <c r="M8" s="42">
        <v>-110187.67683102925</v>
      </c>
      <c r="N8" s="33">
        <f t="shared" ref="N8:N10" si="2">SUM(K8:M8)</f>
        <v>4634808.5283628516</v>
      </c>
    </row>
    <row r="9" spans="2:14" x14ac:dyDescent="0.3">
      <c r="B9" s="53" t="s">
        <v>16</v>
      </c>
      <c r="C9" s="8" t="s">
        <v>35</v>
      </c>
      <c r="D9" s="45">
        <v>2960.1858518389645</v>
      </c>
      <c r="E9" s="42">
        <v>5874372.3645382812</v>
      </c>
      <c r="F9" s="41"/>
      <c r="G9" s="56">
        <v>0.68900916148665659</v>
      </c>
      <c r="H9" s="57">
        <f t="shared" si="0"/>
        <v>0.31099083851334341</v>
      </c>
      <c r="I9" s="43">
        <v>54.8</v>
      </c>
      <c r="J9" s="44">
        <v>0.14960000000000001</v>
      </c>
      <c r="K9" s="32">
        <f t="shared" si="1"/>
        <v>1946618.2161693028</v>
      </c>
      <c r="L9" s="32">
        <f t="shared" ref="L9:L10" si="3">E9*J9</f>
        <v>878806.10573492688</v>
      </c>
      <c r="M9" s="41"/>
      <c r="N9" s="33">
        <f t="shared" si="2"/>
        <v>2825424.3219042299</v>
      </c>
    </row>
    <row r="10" spans="2:14" x14ac:dyDescent="0.3">
      <c r="B10" s="53" t="s">
        <v>17</v>
      </c>
      <c r="C10" s="8" t="s">
        <v>35</v>
      </c>
      <c r="D10" s="45">
        <v>1127.6033016645551</v>
      </c>
      <c r="E10" s="42">
        <v>581104.4520676051</v>
      </c>
      <c r="F10" s="41"/>
      <c r="G10" s="56">
        <v>0.12619223755769352</v>
      </c>
      <c r="H10" s="57">
        <f t="shared" si="0"/>
        <v>0.87380776244230651</v>
      </c>
      <c r="I10" s="43">
        <v>1.86</v>
      </c>
      <c r="J10" s="44">
        <v>0.2999</v>
      </c>
      <c r="K10" s="32">
        <f t="shared" si="1"/>
        <v>25168.105693152873</v>
      </c>
      <c r="L10" s="32">
        <f t="shared" si="3"/>
        <v>174273.22517507477</v>
      </c>
      <c r="M10" s="41"/>
      <c r="N10" s="33">
        <f t="shared" si="2"/>
        <v>199441.33086822764</v>
      </c>
    </row>
    <row r="11" spans="2:14" s="1" customFormat="1" ht="15" thickBot="1" x14ac:dyDescent="0.35">
      <c r="B11" s="38" t="s">
        <v>45</v>
      </c>
      <c r="C11" s="39"/>
      <c r="D11" s="40">
        <f>SUM(D7:D10)</f>
        <v>13237.91648019624</v>
      </c>
      <c r="E11" s="39"/>
      <c r="F11" s="39"/>
      <c r="G11" s="39"/>
      <c r="H11" s="39"/>
      <c r="I11" s="39"/>
      <c r="J11" s="39"/>
      <c r="K11" s="58">
        <f>SUM(K7:K10)</f>
        <v>13660662.9436839</v>
      </c>
      <c r="L11" s="58">
        <f>SUM(L7:L10)</f>
        <v>11474989.144347692</v>
      </c>
      <c r="M11" s="58">
        <f>SUM(M7:M10)</f>
        <v>-110187.67683102925</v>
      </c>
      <c r="N11" s="59">
        <f>SUM(N7:N10)</f>
        <v>25025464.411200564</v>
      </c>
    </row>
    <row r="13" spans="2:14" x14ac:dyDescent="0.3">
      <c r="K13" s="5" t="s">
        <v>49</v>
      </c>
      <c r="L13" s="36"/>
      <c r="M13" s="36"/>
      <c r="N13" s="47">
        <v>25021522.215294853</v>
      </c>
    </row>
    <row r="15" spans="2:14" x14ac:dyDescent="0.3">
      <c r="K15" s="5" t="s">
        <v>50</v>
      </c>
      <c r="N15" s="48">
        <f>N11-N13</f>
        <v>3942.1959057115018</v>
      </c>
    </row>
    <row r="16" spans="2:14" x14ac:dyDescent="0.3">
      <c r="K16" s="5" t="s">
        <v>51</v>
      </c>
      <c r="N16" s="49">
        <f>N15/N13</f>
        <v>1.5755220133256977E-4</v>
      </c>
    </row>
    <row r="17" s="5" customFormat="1" x14ac:dyDescent="0.3"/>
    <row r="18" s="5" customFormat="1" x14ac:dyDescent="0.3"/>
    <row r="19" s="5" customFormat="1" x14ac:dyDescent="0.3"/>
    <row r="20" s="5" customFormat="1" x14ac:dyDescent="0.3"/>
    <row r="21" s="5" customFormat="1" x14ac:dyDescent="0.3"/>
    <row r="22" s="5" customFormat="1" x14ac:dyDescent="0.3"/>
    <row r="23" s="5" customFormat="1" x14ac:dyDescent="0.3"/>
    <row r="24" s="5" customFormat="1" x14ac:dyDescent="0.3"/>
    <row r="25" s="5" customFormat="1" x14ac:dyDescent="0.3"/>
    <row r="26" s="5" customFormat="1" x14ac:dyDescent="0.3"/>
  </sheetData>
  <mergeCells count="9">
    <mergeCell ref="B3:N3"/>
    <mergeCell ref="B4:N4"/>
    <mergeCell ref="B5:B6"/>
    <mergeCell ref="C5:C6"/>
    <mergeCell ref="D5:D6"/>
    <mergeCell ref="E5:F5"/>
    <mergeCell ref="G5:H5"/>
    <mergeCell ref="I5:J5"/>
    <mergeCell ref="K5:N5"/>
  </mergeCells>
  <pageMargins left="0.7" right="0.7" top="0.75" bottom="0.75" header="0.3" footer="0.3"/>
  <pageSetup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A42D4-51B4-48E3-8F1C-FF7356E430DE}">
  <sheetPr codeName="Sheet5">
    <tabColor theme="9" tint="0.79998168889431442"/>
    <pageSetUpPr fitToPage="1"/>
  </sheetPr>
  <dimension ref="A2:O26"/>
  <sheetViews>
    <sheetView showGridLines="0" tabSelected="1" workbookViewId="0">
      <selection activeCell="I15" sqref="I15"/>
    </sheetView>
  </sheetViews>
  <sheetFormatPr defaultColWidth="9.109375" defaultRowHeight="14.4" x14ac:dyDescent="0.3"/>
  <cols>
    <col min="1" max="1" width="2.77734375" style="5" customWidth="1"/>
    <col min="2" max="2" width="19.77734375" style="5" customWidth="1"/>
    <col min="3" max="3" width="6.33203125" style="5" customWidth="1"/>
    <col min="4" max="4" width="10.109375" style="5" customWidth="1"/>
    <col min="5" max="5" width="12.6640625" style="5" bestFit="1" customWidth="1"/>
    <col min="6" max="6" width="9" style="5" bestFit="1" customWidth="1"/>
    <col min="7" max="8" width="8.77734375" style="5" bestFit="1" customWidth="1"/>
    <col min="9" max="9" width="9.109375" style="5" bestFit="1" customWidth="1"/>
    <col min="10" max="10" width="11.109375" style="5" bestFit="1" customWidth="1"/>
    <col min="11" max="11" width="11.6640625" style="5" bestFit="1" customWidth="1"/>
    <col min="12" max="12" width="12.109375" style="5" bestFit="1" customWidth="1"/>
    <col min="13" max="13" width="14.109375" style="5" bestFit="1" customWidth="1"/>
    <col min="14" max="14" width="3.77734375" style="5" customWidth="1"/>
    <col min="15" max="15" width="8.6640625" style="118" customWidth="1"/>
    <col min="16" max="16384" width="9.109375" style="5"/>
  </cols>
  <sheetData>
    <row r="2" spans="2:15" ht="15.6" x14ac:dyDescent="0.3">
      <c r="B2" s="210" t="s">
        <v>106</v>
      </c>
      <c r="C2" s="210"/>
      <c r="D2" s="210"/>
      <c r="E2" s="210"/>
      <c r="F2" s="210"/>
      <c r="G2" s="210"/>
      <c r="H2" s="210"/>
      <c r="I2" s="210"/>
      <c r="J2" s="210"/>
      <c r="K2" s="210"/>
      <c r="L2" s="210"/>
      <c r="M2" s="210"/>
    </row>
    <row r="3" spans="2:15" ht="16.2" thickBot="1" x14ac:dyDescent="0.35">
      <c r="B3" s="65"/>
      <c r="C3" s="65"/>
      <c r="D3" s="65"/>
      <c r="E3" s="65"/>
      <c r="F3" s="65"/>
      <c r="G3" s="65"/>
      <c r="H3" s="65"/>
      <c r="I3" s="65"/>
      <c r="J3" s="65"/>
      <c r="K3" s="65"/>
      <c r="L3" s="65"/>
      <c r="M3" s="66"/>
    </row>
    <row r="4" spans="2:15" x14ac:dyDescent="0.3">
      <c r="B4" s="262" t="s">
        <v>67</v>
      </c>
      <c r="C4" s="263"/>
      <c r="D4" s="263"/>
      <c r="E4" s="263"/>
      <c r="F4" s="263"/>
      <c r="G4" s="263"/>
      <c r="H4" s="263"/>
      <c r="I4" s="263"/>
      <c r="J4" s="263"/>
      <c r="K4" s="72" t="s">
        <v>64</v>
      </c>
      <c r="L4" s="72" t="s">
        <v>65</v>
      </c>
      <c r="M4" s="73" t="s">
        <v>66</v>
      </c>
      <c r="O4" s="119" t="s">
        <v>88</v>
      </c>
    </row>
    <row r="5" spans="2:15" x14ac:dyDescent="0.3">
      <c r="B5" s="264" t="s">
        <v>109</v>
      </c>
      <c r="C5" s="265"/>
      <c r="D5" s="265"/>
      <c r="E5" s="265"/>
      <c r="F5" s="265"/>
      <c r="G5" s="265"/>
      <c r="H5" s="265"/>
      <c r="I5" s="265"/>
      <c r="J5" s="265"/>
      <c r="K5" s="150">
        <f>'Indexed Revenue'!J5</f>
        <v>18120021.231337447</v>
      </c>
      <c r="L5" s="150">
        <f>'Indexed Revenue'!J6</f>
        <v>4836107.5323667061</v>
      </c>
      <c r="M5" s="148">
        <f>SUM(K5:L5)</f>
        <v>22956128.763704151</v>
      </c>
    </row>
    <row r="6" spans="2:15" x14ac:dyDescent="0.3">
      <c r="B6" s="264" t="s">
        <v>115</v>
      </c>
      <c r="C6" s="265"/>
      <c r="D6" s="265"/>
      <c r="E6" s="265"/>
      <c r="F6" s="265"/>
      <c r="G6" s="265"/>
      <c r="H6" s="265"/>
      <c r="I6" s="265"/>
      <c r="J6" s="265"/>
      <c r="K6" s="178">
        <v>759331</v>
      </c>
      <c r="L6" s="178">
        <v>202632</v>
      </c>
      <c r="M6" s="148">
        <f>SUM(K6:L6)</f>
        <v>961963</v>
      </c>
      <c r="O6" s="118">
        <v>1</v>
      </c>
    </row>
    <row r="7" spans="2:15" ht="15" thickBot="1" x14ac:dyDescent="0.35">
      <c r="B7" s="266" t="s">
        <v>45</v>
      </c>
      <c r="C7" s="267"/>
      <c r="D7" s="267"/>
      <c r="E7" s="267"/>
      <c r="F7" s="267"/>
      <c r="G7" s="267"/>
      <c r="H7" s="267"/>
      <c r="I7" s="267"/>
      <c r="J7" s="268"/>
      <c r="K7" s="149">
        <f>SUM(K5:K6)</f>
        <v>18879352.231337447</v>
      </c>
      <c r="L7" s="149">
        <f>SUM(L5:L6)</f>
        <v>5038739.5323667061</v>
      </c>
      <c r="M7" s="149">
        <f>SUM(M5:M6)</f>
        <v>23918091.763704151</v>
      </c>
    </row>
    <row r="8" spans="2:15" ht="15" thickBot="1" x14ac:dyDescent="0.35">
      <c r="B8" s="62"/>
      <c r="C8" s="62"/>
      <c r="D8" s="62"/>
      <c r="E8" s="62"/>
      <c r="F8" s="62"/>
      <c r="G8" s="62"/>
      <c r="H8" s="62"/>
      <c r="I8" s="62"/>
      <c r="J8" s="62"/>
      <c r="K8" s="62"/>
      <c r="L8" s="62"/>
      <c r="M8" s="62"/>
    </row>
    <row r="9" spans="2:15" x14ac:dyDescent="0.3">
      <c r="B9" s="269" t="s">
        <v>107</v>
      </c>
      <c r="C9" s="270"/>
      <c r="D9" s="270"/>
      <c r="E9" s="270"/>
      <c r="F9" s="270"/>
      <c r="G9" s="270"/>
      <c r="H9" s="270"/>
      <c r="I9" s="270"/>
      <c r="J9" s="270"/>
      <c r="K9" s="270"/>
      <c r="L9" s="270"/>
      <c r="M9" s="271"/>
    </row>
    <row r="10" spans="2:15" x14ac:dyDescent="0.3">
      <c r="B10" s="272" t="s">
        <v>57</v>
      </c>
      <c r="C10" s="273"/>
      <c r="D10" s="273"/>
      <c r="E10" s="273"/>
      <c r="F10" s="273"/>
      <c r="G10" s="273"/>
      <c r="H10" s="273"/>
      <c r="I10" s="273"/>
      <c r="J10" s="273"/>
      <c r="K10" s="273"/>
      <c r="L10" s="273"/>
      <c r="M10" s="274"/>
    </row>
    <row r="11" spans="2:15" x14ac:dyDescent="0.3">
      <c r="B11" s="275" t="s">
        <v>110</v>
      </c>
      <c r="C11" s="276"/>
      <c r="D11" s="276"/>
      <c r="E11" s="276"/>
      <c r="F11" s="276"/>
      <c r="G11" s="276"/>
      <c r="H11" s="276"/>
      <c r="I11" s="276"/>
      <c r="J11" s="276"/>
      <c r="K11" s="276"/>
      <c r="L11" s="277"/>
      <c r="M11" s="196">
        <v>3.2800000000000003E-2</v>
      </c>
      <c r="O11" s="118">
        <v>2</v>
      </c>
    </row>
    <row r="12" spans="2:15" x14ac:dyDescent="0.3">
      <c r="B12" s="278" t="s">
        <v>29</v>
      </c>
      <c r="C12" s="279" t="s">
        <v>7</v>
      </c>
      <c r="D12" s="280" t="s">
        <v>30</v>
      </c>
      <c r="E12" s="273" t="s">
        <v>31</v>
      </c>
      <c r="F12" s="273"/>
      <c r="G12" s="273" t="s">
        <v>32</v>
      </c>
      <c r="H12" s="273"/>
      <c r="I12" s="273" t="s">
        <v>33</v>
      </c>
      <c r="J12" s="273"/>
      <c r="K12" s="273" t="s">
        <v>62</v>
      </c>
      <c r="L12" s="273"/>
      <c r="M12" s="274"/>
    </row>
    <row r="13" spans="2:15" ht="41.4" x14ac:dyDescent="0.3">
      <c r="B13" s="278"/>
      <c r="C13" s="279"/>
      <c r="D13" s="281"/>
      <c r="E13" s="129" t="s">
        <v>35</v>
      </c>
      <c r="F13" s="129" t="s">
        <v>36</v>
      </c>
      <c r="G13" s="31" t="s">
        <v>37</v>
      </c>
      <c r="H13" s="31" t="s">
        <v>38</v>
      </c>
      <c r="I13" s="31" t="s">
        <v>9</v>
      </c>
      <c r="J13" s="31" t="s">
        <v>39</v>
      </c>
      <c r="K13" s="31" t="s">
        <v>40</v>
      </c>
      <c r="L13" s="31" t="s">
        <v>41</v>
      </c>
      <c r="M13" s="46" t="s">
        <v>42</v>
      </c>
    </row>
    <row r="14" spans="2:15" x14ac:dyDescent="0.3">
      <c r="B14" s="12" t="s">
        <v>58</v>
      </c>
      <c r="C14" s="153" t="s">
        <v>35</v>
      </c>
      <c r="D14" s="177">
        <v>8115.5292008802571</v>
      </c>
      <c r="E14" s="178">
        <v>84857055.570733279</v>
      </c>
      <c r="F14" s="179"/>
      <c r="G14" s="155">
        <f>K14/M14</f>
        <v>0.87565351334225117</v>
      </c>
      <c r="H14" s="155">
        <f>L14/M14</f>
        <v>0.12434648665774886</v>
      </c>
      <c r="I14" s="181">
        <f>ROUND('Rate Summary'!F9*(1+M11),2)</f>
        <v>52.77</v>
      </c>
      <c r="J14" s="182">
        <f>ROUND('Rate Summary'!F10*(1+M11),4)</f>
        <v>8.6E-3</v>
      </c>
      <c r="K14" s="150">
        <f>D14*I14*12</f>
        <v>5139077.7111654142</v>
      </c>
      <c r="L14" s="150">
        <f>E14*J14</f>
        <v>729770.67790830624</v>
      </c>
      <c r="M14" s="157">
        <f>SUM(K14:L14)</f>
        <v>5868848.3890737202</v>
      </c>
      <c r="O14" s="118" t="s">
        <v>89</v>
      </c>
    </row>
    <row r="15" spans="2:15" x14ac:dyDescent="0.3">
      <c r="B15" s="12" t="s">
        <v>59</v>
      </c>
      <c r="C15" s="153" t="s">
        <v>35</v>
      </c>
      <c r="D15" s="177">
        <v>997.31590555008074</v>
      </c>
      <c r="E15" s="178">
        <v>28480010.757447898</v>
      </c>
      <c r="F15" s="179"/>
      <c r="G15" s="155">
        <f t="shared" ref="G15:G16" si="0">K15/M15</f>
        <v>0.22999091426492602</v>
      </c>
      <c r="H15" s="155">
        <f t="shared" ref="H15:H16" si="1">L15/M15</f>
        <v>0.77000908573507398</v>
      </c>
      <c r="I15" s="183">
        <f>ROUND('Rate Summary'!F13*(1+M11),2)</f>
        <v>27.01</v>
      </c>
      <c r="J15" s="182">
        <f>ROUND('Rate Summary'!F14*(1+M11),4)</f>
        <v>3.7999999999999999E-2</v>
      </c>
      <c r="K15" s="150">
        <f>D15*I15*12</f>
        <v>323250.03130689217</v>
      </c>
      <c r="L15" s="150">
        <f>E15*J15</f>
        <v>1082240.4087830202</v>
      </c>
      <c r="M15" s="157">
        <f t="shared" ref="M15:M16" si="2">SUM(K15:L15)</f>
        <v>1405490.4400899124</v>
      </c>
      <c r="O15" s="118">
        <v>3</v>
      </c>
    </row>
    <row r="16" spans="2:15" x14ac:dyDescent="0.3">
      <c r="B16" s="68" t="s">
        <v>14</v>
      </c>
      <c r="C16" s="154" t="s">
        <v>36</v>
      </c>
      <c r="D16" s="180">
        <f>'2020 COS Eq Rates and Revenue'!D8</f>
        <v>37.282220262380214</v>
      </c>
      <c r="E16" s="179"/>
      <c r="F16" s="156">
        <f>'2020 COS Eq Rates and Revenue'!F8</f>
        <v>248604.90668572392</v>
      </c>
      <c r="G16" s="155">
        <f t="shared" si="0"/>
        <v>0.25778082670914737</v>
      </c>
      <c r="H16" s="155">
        <f t="shared" si="1"/>
        <v>0.74221917329085263</v>
      </c>
      <c r="I16" s="184">
        <f>ROUND('Rate Summary'!F17*(1+M11),2)</f>
        <v>695.07</v>
      </c>
      <c r="J16" s="185">
        <f>ROUND('Rate Summary'!F18*(1+M11),4)</f>
        <v>3.6015000000000001</v>
      </c>
      <c r="K16" s="150">
        <f>D16*I16*12</f>
        <v>310965.0340532714</v>
      </c>
      <c r="L16" s="156">
        <f>F16*J16</f>
        <v>895350.57142863469</v>
      </c>
      <c r="M16" s="157">
        <f t="shared" si="2"/>
        <v>1206315.6054819061</v>
      </c>
    </row>
    <row r="17" spans="1:15" x14ac:dyDescent="0.3">
      <c r="B17" s="259" t="s">
        <v>63</v>
      </c>
      <c r="C17" s="260"/>
      <c r="D17" s="260"/>
      <c r="E17" s="260"/>
      <c r="F17" s="260"/>
      <c r="G17" s="260"/>
      <c r="H17" s="260"/>
      <c r="I17" s="260"/>
      <c r="J17" s="260"/>
      <c r="K17" s="260"/>
      <c r="L17" s="261"/>
      <c r="M17" s="157">
        <f>'2020 COS Eq Rates and Revenue'!M8</f>
        <v>-110187.67683102925</v>
      </c>
    </row>
    <row r="18" spans="1:15" x14ac:dyDescent="0.3">
      <c r="B18" s="135"/>
      <c r="C18" s="136"/>
      <c r="D18" s="136"/>
      <c r="E18" s="136"/>
      <c r="F18" s="136"/>
      <c r="G18" s="136"/>
      <c r="H18" s="136"/>
      <c r="I18" s="136"/>
      <c r="J18" s="136"/>
      <c r="K18" s="136"/>
      <c r="L18" s="136"/>
      <c r="M18" s="137"/>
    </row>
    <row r="19" spans="1:15" ht="15" thickBot="1" x14ac:dyDescent="0.35">
      <c r="B19" s="257" t="s">
        <v>108</v>
      </c>
      <c r="C19" s="258"/>
      <c r="D19" s="258"/>
      <c r="E19" s="258"/>
      <c r="F19" s="258"/>
      <c r="G19" s="258"/>
      <c r="H19" s="258"/>
      <c r="I19" s="258"/>
      <c r="J19" s="258"/>
      <c r="K19" s="258"/>
      <c r="L19" s="258"/>
      <c r="M19" s="70">
        <f>M7-SUM(M14:M17)</f>
        <v>15547625.005889641</v>
      </c>
      <c r="O19" s="120"/>
    </row>
    <row r="20" spans="1:15" x14ac:dyDescent="0.3">
      <c r="B20" s="62"/>
      <c r="C20" s="62"/>
      <c r="D20" s="62"/>
      <c r="E20" s="62"/>
      <c r="F20" s="62"/>
      <c r="G20" s="62"/>
      <c r="H20" s="62"/>
      <c r="I20" s="62"/>
      <c r="J20" s="62"/>
      <c r="K20" s="62"/>
      <c r="L20" s="138"/>
      <c r="M20" s="139"/>
    </row>
    <row r="21" spans="1:15" x14ac:dyDescent="0.3">
      <c r="B21" s="151" t="s">
        <v>60</v>
      </c>
      <c r="C21" s="62"/>
      <c r="D21" s="62"/>
      <c r="E21" s="62"/>
      <c r="F21" s="62"/>
      <c r="G21" s="62"/>
      <c r="H21" s="62"/>
      <c r="I21" s="62"/>
      <c r="J21" s="62"/>
      <c r="K21" s="62"/>
      <c r="L21" s="62"/>
      <c r="M21" s="62"/>
    </row>
    <row r="22" spans="1:15" x14ac:dyDescent="0.3">
      <c r="A22" s="6">
        <v>1</v>
      </c>
      <c r="B22" s="186" t="s">
        <v>132</v>
      </c>
      <c r="C22" s="62"/>
      <c r="D22" s="62"/>
      <c r="E22" s="62"/>
      <c r="F22" s="62"/>
      <c r="G22" s="62"/>
      <c r="H22" s="62"/>
      <c r="I22" s="62"/>
      <c r="J22" s="62"/>
      <c r="K22" s="62"/>
      <c r="L22" s="62"/>
      <c r="M22" s="204">
        <f>M19/M7</f>
        <v>0.65003618012216413</v>
      </c>
    </row>
    <row r="23" spans="1:15" x14ac:dyDescent="0.3">
      <c r="A23" s="6">
        <v>2</v>
      </c>
      <c r="B23" s="152" t="s">
        <v>111</v>
      </c>
      <c r="C23" s="62"/>
      <c r="D23" s="62"/>
      <c r="E23" s="62"/>
      <c r="F23" s="62"/>
      <c r="G23" s="62"/>
      <c r="H23" s="62"/>
      <c r="I23" s="62"/>
      <c r="J23" s="62"/>
      <c r="K23" s="62"/>
      <c r="L23" s="62"/>
      <c r="M23" s="140"/>
    </row>
    <row r="24" spans="1:15" x14ac:dyDescent="0.3">
      <c r="A24" s="6">
        <v>3</v>
      </c>
      <c r="B24" s="186" t="s">
        <v>61</v>
      </c>
      <c r="C24" s="62"/>
      <c r="D24" s="62"/>
      <c r="E24" s="62"/>
      <c r="F24" s="62"/>
      <c r="G24" s="62"/>
      <c r="H24" s="62"/>
      <c r="I24" s="62"/>
      <c r="J24" s="62"/>
      <c r="K24" s="62"/>
      <c r="L24" s="62"/>
      <c r="M24" s="62"/>
    </row>
    <row r="25" spans="1:15" x14ac:dyDescent="0.3">
      <c r="A25" s="6">
        <v>4</v>
      </c>
      <c r="B25" s="152" t="s">
        <v>127</v>
      </c>
      <c r="C25" s="62"/>
      <c r="D25" s="62"/>
      <c r="E25" s="62"/>
      <c r="F25" s="62"/>
      <c r="G25" s="62"/>
      <c r="H25" s="62"/>
      <c r="I25" s="62"/>
      <c r="J25" s="62"/>
      <c r="K25" s="62"/>
      <c r="L25" s="62"/>
      <c r="M25" s="140"/>
    </row>
    <row r="26" spans="1:15" x14ac:dyDescent="0.3">
      <c r="M26" s="71"/>
    </row>
  </sheetData>
  <mergeCells count="17">
    <mergeCell ref="B2:M2"/>
    <mergeCell ref="B9:M9"/>
    <mergeCell ref="B10:M10"/>
    <mergeCell ref="B11:L11"/>
    <mergeCell ref="B12:B13"/>
    <mergeCell ref="C12:C13"/>
    <mergeCell ref="D12:D13"/>
    <mergeCell ref="E12:F12"/>
    <mergeCell ref="G12:H12"/>
    <mergeCell ref="I12:J12"/>
    <mergeCell ref="K12:M12"/>
    <mergeCell ref="B19:L19"/>
    <mergeCell ref="B17:L17"/>
    <mergeCell ref="B4:J4"/>
    <mergeCell ref="B5:J5"/>
    <mergeCell ref="B6:J6"/>
    <mergeCell ref="B7:J7"/>
  </mergeCells>
  <pageMargins left="0.7" right="0.7" top="0.75" bottom="0.75" header="0.3" footer="0.3"/>
  <pageSetup scale="6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EFDCB-1D57-4877-A04B-86BB3C798B19}">
  <sheetPr codeName="Sheet6">
    <tabColor theme="9" tint="0.79998168889431442"/>
    <pageSetUpPr fitToPage="1"/>
  </sheetPr>
  <dimension ref="B3:P20"/>
  <sheetViews>
    <sheetView showGridLines="0" workbookViewId="0">
      <selection activeCell="B12" sqref="B12:N12"/>
    </sheetView>
  </sheetViews>
  <sheetFormatPr defaultColWidth="9.109375" defaultRowHeight="14.4" x14ac:dyDescent="0.3"/>
  <cols>
    <col min="1" max="1" width="2.77734375" style="5" customWidth="1"/>
    <col min="2" max="2" width="16.33203125" style="5" customWidth="1"/>
    <col min="3" max="3" width="6.33203125" style="5" customWidth="1"/>
    <col min="4" max="4" width="10.109375" style="5" customWidth="1"/>
    <col min="5" max="5" width="12.77734375" style="5" bestFit="1" customWidth="1"/>
    <col min="6" max="6" width="9.21875" style="5" bestFit="1" customWidth="1"/>
    <col min="7" max="8" width="10.21875" style="5" bestFit="1" customWidth="1"/>
    <col min="9" max="9" width="9.6640625" style="5" bestFit="1" customWidth="1"/>
    <col min="10" max="10" width="9.109375" style="5" bestFit="1" customWidth="1"/>
    <col min="11" max="12" width="11.77734375" style="5" bestFit="1" customWidth="1"/>
    <col min="13" max="13" width="11.6640625" style="5" customWidth="1"/>
    <col min="14" max="14" width="11.77734375" style="5" bestFit="1" customWidth="1"/>
    <col min="15" max="15" width="10.21875" style="5" customWidth="1"/>
    <col min="16" max="16" width="12.77734375" style="5" customWidth="1"/>
    <col min="17" max="16384" width="9.109375" style="5"/>
  </cols>
  <sheetData>
    <row r="3" spans="2:14" x14ac:dyDescent="0.3">
      <c r="B3" s="246" t="s">
        <v>44</v>
      </c>
      <c r="C3" s="247"/>
      <c r="D3" s="247"/>
      <c r="E3" s="247"/>
      <c r="F3" s="247"/>
      <c r="G3" s="247"/>
      <c r="H3" s="247"/>
      <c r="I3" s="247"/>
      <c r="J3" s="247"/>
      <c r="K3" s="247"/>
      <c r="L3" s="247"/>
      <c r="M3" s="247"/>
      <c r="N3" s="248"/>
    </row>
    <row r="4" spans="2:14" ht="15" customHeight="1" x14ac:dyDescent="0.3">
      <c r="B4" s="249" t="s">
        <v>29</v>
      </c>
      <c r="C4" s="251" t="s">
        <v>7</v>
      </c>
      <c r="D4" s="253" t="s">
        <v>30</v>
      </c>
      <c r="E4" s="255" t="s">
        <v>31</v>
      </c>
      <c r="F4" s="256"/>
      <c r="G4" s="255" t="s">
        <v>32</v>
      </c>
      <c r="H4" s="256"/>
      <c r="I4" s="255" t="s">
        <v>33</v>
      </c>
      <c r="J4" s="256"/>
      <c r="K4" s="255" t="s">
        <v>34</v>
      </c>
      <c r="L4" s="247"/>
      <c r="M4" s="247"/>
      <c r="N4" s="248"/>
    </row>
    <row r="5" spans="2:14" ht="57.6" x14ac:dyDescent="0.3">
      <c r="B5" s="250"/>
      <c r="C5" s="252"/>
      <c r="D5" s="254"/>
      <c r="E5" s="199" t="s">
        <v>35</v>
      </c>
      <c r="F5" s="199" t="s">
        <v>36</v>
      </c>
      <c r="G5" s="51" t="s">
        <v>37</v>
      </c>
      <c r="H5" s="51" t="s">
        <v>38</v>
      </c>
      <c r="I5" s="51" t="s">
        <v>9</v>
      </c>
      <c r="J5" s="51" t="s">
        <v>39</v>
      </c>
      <c r="K5" s="51" t="s">
        <v>40</v>
      </c>
      <c r="L5" s="51" t="s">
        <v>41</v>
      </c>
      <c r="M5" s="51" t="s">
        <v>47</v>
      </c>
      <c r="N5" s="52" t="s">
        <v>48</v>
      </c>
    </row>
    <row r="6" spans="2:14" x14ac:dyDescent="0.3">
      <c r="B6" s="53" t="s">
        <v>43</v>
      </c>
      <c r="C6" s="8" t="s">
        <v>35</v>
      </c>
      <c r="D6" s="45">
        <v>9112.8451064303372</v>
      </c>
      <c r="E6" s="42">
        <v>113337066.328181</v>
      </c>
      <c r="F6" s="41"/>
      <c r="G6" s="56">
        <v>0.64118373052413569</v>
      </c>
      <c r="H6" s="57">
        <f>1-G6</f>
        <v>0.35881626947586431</v>
      </c>
      <c r="I6" s="43">
        <v>101.8</v>
      </c>
      <c r="J6" s="44">
        <v>5.5E-2</v>
      </c>
      <c r="K6" s="32">
        <f>D6*I6*12</f>
        <v>11132251.582015298</v>
      </c>
      <c r="L6" s="32">
        <f>E6*J6</f>
        <v>6233538.6480499553</v>
      </c>
      <c r="M6" s="41"/>
      <c r="N6" s="33">
        <f>SUM(K6:M6)</f>
        <v>17365790.230065253</v>
      </c>
    </row>
    <row r="7" spans="2:14" x14ac:dyDescent="0.3">
      <c r="B7" s="53" t="s">
        <v>14</v>
      </c>
      <c r="C7" s="8" t="s">
        <v>36</v>
      </c>
      <c r="D7" s="45">
        <v>37.282220262380214</v>
      </c>
      <c r="E7" s="41"/>
      <c r="F7" s="42">
        <v>248604.90668572392</v>
      </c>
      <c r="G7" s="56">
        <v>0.12009672583040554</v>
      </c>
      <c r="H7" s="57">
        <f t="shared" ref="H7:H9" si="0">1-G7</f>
        <v>0.87990327416959446</v>
      </c>
      <c r="I7" s="43">
        <v>1244.17</v>
      </c>
      <c r="J7" s="44">
        <v>16.8475</v>
      </c>
      <c r="K7" s="32">
        <f t="shared" ref="K7:K9" si="1">D7*I7*12</f>
        <v>556625.03980614711</v>
      </c>
      <c r="L7" s="32">
        <f>F7*J7</f>
        <v>4188371.1653877338</v>
      </c>
      <c r="M7" s="42">
        <v>-110187.67683102925</v>
      </c>
      <c r="N7" s="33">
        <f t="shared" ref="N7:N9" si="2">SUM(K7:M7)</f>
        <v>4634808.5283628516</v>
      </c>
    </row>
    <row r="8" spans="2:14" x14ac:dyDescent="0.3">
      <c r="B8" s="53" t="s">
        <v>16</v>
      </c>
      <c r="C8" s="8" t="s">
        <v>35</v>
      </c>
      <c r="D8" s="45">
        <v>2960.1858518389645</v>
      </c>
      <c r="E8" s="42">
        <v>5874372.3645382812</v>
      </c>
      <c r="F8" s="41"/>
      <c r="G8" s="56">
        <v>0.68900916148665659</v>
      </c>
      <c r="H8" s="57">
        <f t="shared" si="0"/>
        <v>0.31099083851334341</v>
      </c>
      <c r="I8" s="43">
        <v>54.8</v>
      </c>
      <c r="J8" s="44">
        <v>0.14960000000000001</v>
      </c>
      <c r="K8" s="32">
        <f t="shared" si="1"/>
        <v>1946618.2161693028</v>
      </c>
      <c r="L8" s="32">
        <f t="shared" ref="L8:L9" si="3">E8*J8</f>
        <v>878806.10573492688</v>
      </c>
      <c r="M8" s="41"/>
      <c r="N8" s="33">
        <f t="shared" si="2"/>
        <v>2825424.3219042299</v>
      </c>
    </row>
    <row r="9" spans="2:14" x14ac:dyDescent="0.3">
      <c r="B9" s="53" t="s">
        <v>17</v>
      </c>
      <c r="C9" s="8" t="s">
        <v>35</v>
      </c>
      <c r="D9" s="45">
        <v>1127.6033016645551</v>
      </c>
      <c r="E9" s="42">
        <v>581104.4520676051</v>
      </c>
      <c r="F9" s="41"/>
      <c r="G9" s="56">
        <v>0.12619223755769352</v>
      </c>
      <c r="H9" s="57">
        <f t="shared" si="0"/>
        <v>0.87380776244230651</v>
      </c>
      <c r="I9" s="43">
        <v>1.86</v>
      </c>
      <c r="J9" s="44">
        <v>0.2999</v>
      </c>
      <c r="K9" s="32">
        <f t="shared" si="1"/>
        <v>25168.105693152873</v>
      </c>
      <c r="L9" s="32">
        <f t="shared" si="3"/>
        <v>174273.22517507477</v>
      </c>
      <c r="M9" s="41"/>
      <c r="N9" s="33">
        <f t="shared" si="2"/>
        <v>199441.33086822764</v>
      </c>
    </row>
    <row r="10" spans="2:14" s="1" customFormat="1" ht="15" thickBot="1" x14ac:dyDescent="0.35">
      <c r="B10" s="38" t="s">
        <v>45</v>
      </c>
      <c r="C10" s="39"/>
      <c r="D10" s="40">
        <f>SUM(D6:D9)</f>
        <v>13237.91648019624</v>
      </c>
      <c r="E10" s="39"/>
      <c r="F10" s="39"/>
      <c r="G10" s="39"/>
      <c r="H10" s="39"/>
      <c r="I10" s="39"/>
      <c r="J10" s="39"/>
      <c r="K10" s="58">
        <f>SUM(K6:K9)</f>
        <v>13660662.9436839</v>
      </c>
      <c r="L10" s="58">
        <f>SUM(L6:L9)</f>
        <v>11474989.144347692</v>
      </c>
      <c r="M10" s="58">
        <f>SUM(M6:M9)</f>
        <v>-110187.67683102925</v>
      </c>
      <c r="N10" s="59">
        <f>SUM(N6:N9)</f>
        <v>25025464.411200564</v>
      </c>
    </row>
    <row r="12" spans="2:14" x14ac:dyDescent="0.3">
      <c r="B12" s="246" t="s">
        <v>129</v>
      </c>
      <c r="C12" s="247"/>
      <c r="D12" s="247"/>
      <c r="E12" s="247"/>
      <c r="F12" s="247"/>
      <c r="G12" s="247"/>
      <c r="H12" s="247"/>
      <c r="I12" s="247"/>
      <c r="J12" s="247"/>
      <c r="K12" s="247"/>
      <c r="L12" s="247"/>
      <c r="M12" s="247"/>
      <c r="N12" s="248"/>
    </row>
    <row r="13" spans="2:14" x14ac:dyDescent="0.3">
      <c r="B13" s="249" t="s">
        <v>29</v>
      </c>
      <c r="C13" s="251" t="s">
        <v>7</v>
      </c>
      <c r="D13" s="253" t="s">
        <v>30</v>
      </c>
      <c r="E13" s="255" t="s">
        <v>31</v>
      </c>
      <c r="F13" s="256"/>
      <c r="G13" s="255" t="s">
        <v>32</v>
      </c>
      <c r="H13" s="256"/>
      <c r="I13" s="255" t="s">
        <v>33</v>
      </c>
      <c r="J13" s="256"/>
      <c r="K13" s="255" t="s">
        <v>34</v>
      </c>
      <c r="L13" s="247"/>
      <c r="M13" s="247"/>
      <c r="N13" s="248"/>
    </row>
    <row r="14" spans="2:14" ht="57.6" x14ac:dyDescent="0.3">
      <c r="B14" s="250"/>
      <c r="C14" s="252"/>
      <c r="D14" s="254"/>
      <c r="E14" s="199" t="s">
        <v>35</v>
      </c>
      <c r="F14" s="199" t="s">
        <v>36</v>
      </c>
      <c r="G14" s="51" t="s">
        <v>37</v>
      </c>
      <c r="H14" s="51" t="s">
        <v>38</v>
      </c>
      <c r="I14" s="51" t="s">
        <v>9</v>
      </c>
      <c r="J14" s="51" t="s">
        <v>39</v>
      </c>
      <c r="K14" s="51" t="s">
        <v>40</v>
      </c>
      <c r="L14" s="51" t="s">
        <v>41</v>
      </c>
      <c r="M14" s="51" t="s">
        <v>47</v>
      </c>
      <c r="N14" s="52" t="s">
        <v>48</v>
      </c>
    </row>
    <row r="15" spans="2:14" x14ac:dyDescent="0.3">
      <c r="B15" s="53" t="s">
        <v>43</v>
      </c>
      <c r="C15" s="8" t="s">
        <v>35</v>
      </c>
      <c r="D15" s="45">
        <v>9112.8451064303372</v>
      </c>
      <c r="E15" s="42">
        <v>113337066.328181</v>
      </c>
      <c r="F15" s="41"/>
      <c r="G15" s="56">
        <f>K15/$N15</f>
        <v>0.64104491845940414</v>
      </c>
      <c r="H15" s="57">
        <f>1-G15</f>
        <v>0.35895508154059586</v>
      </c>
      <c r="I15" s="43">
        <f>(K15/12)/D15</f>
        <v>103.42879999999998</v>
      </c>
      <c r="J15" s="203">
        <f>(L15)/E15</f>
        <v>5.5880000000000006E-2</v>
      </c>
      <c r="K15" s="32">
        <f>'Indexed Revenue'!C5</f>
        <v>11310367.607327543</v>
      </c>
      <c r="L15" s="32">
        <f>'Indexed Revenue'!D5</f>
        <v>6333275.2664187551</v>
      </c>
      <c r="M15" s="41"/>
      <c r="N15" s="33">
        <f>SUM(K15:M15)</f>
        <v>17643642.873746298</v>
      </c>
    </row>
    <row r="16" spans="2:14" x14ac:dyDescent="0.3">
      <c r="B16" s="53" t="s">
        <v>14</v>
      </c>
      <c r="C16" s="8" t="s">
        <v>36</v>
      </c>
      <c r="D16" s="45">
        <v>37.282220262380214</v>
      </c>
      <c r="E16" s="41"/>
      <c r="F16" s="42">
        <v>248604.90668572392</v>
      </c>
      <c r="G16" s="56">
        <f t="shared" ref="G16:G17" si="4">K16/$N16</f>
        <v>0.12297420456376547</v>
      </c>
      <c r="H16" s="57">
        <f t="shared" ref="H16:H18" si="5">1-G16</f>
        <v>0.87702579543623449</v>
      </c>
      <c r="I16" s="43">
        <f t="shared" ref="I16:I17" si="6">(K16/12)/D16</f>
        <v>1264.07672</v>
      </c>
      <c r="J16" s="203">
        <f>(L16)/F16</f>
        <v>16.666744351959114</v>
      </c>
      <c r="K16" s="32">
        <f>'Indexed Revenue'!C6</f>
        <v>565531.04044304544</v>
      </c>
      <c r="L16" s="32">
        <f>'Indexed Revenue'!D6</f>
        <v>4143434.4243736118</v>
      </c>
      <c r="M16" s="42">
        <v>-110187.67683102925</v>
      </c>
      <c r="N16" s="33">
        <f t="shared" ref="N16:N18" si="7">SUM(K16:M16)</f>
        <v>4598777.7879856275</v>
      </c>
    </row>
    <row r="17" spans="2:16" x14ac:dyDescent="0.3">
      <c r="B17" s="53" t="s">
        <v>16</v>
      </c>
      <c r="C17" s="8" t="s">
        <v>35</v>
      </c>
      <c r="D17" s="45">
        <v>2960.1858518389645</v>
      </c>
      <c r="E17" s="42">
        <v>5874372.3645382812</v>
      </c>
      <c r="F17" s="41"/>
      <c r="G17" s="56">
        <f t="shared" si="4"/>
        <v>0.68896491089074918</v>
      </c>
      <c r="H17" s="57">
        <f t="shared" si="5"/>
        <v>0.31103508910925082</v>
      </c>
      <c r="I17" s="43">
        <f t="shared" si="6"/>
        <v>55.676799999999993</v>
      </c>
      <c r="J17" s="203">
        <f t="shared" ref="J17:J18" si="8">(L17)/E17</f>
        <v>0.15199360000000001</v>
      </c>
      <c r="K17" s="32">
        <f>'Indexed Revenue'!C7</f>
        <v>1977764.1076280116</v>
      </c>
      <c r="L17" s="32">
        <f>'Indexed Revenue'!D7</f>
        <v>892867.0034266857</v>
      </c>
      <c r="M17" s="41"/>
      <c r="N17" s="33">
        <f t="shared" si="7"/>
        <v>2870631.1110546971</v>
      </c>
    </row>
    <row r="18" spans="2:16" x14ac:dyDescent="0.3">
      <c r="B18" s="53" t="s">
        <v>17</v>
      </c>
      <c r="C18" s="8" t="s">
        <v>35</v>
      </c>
      <c r="D18" s="45">
        <v>1127.6033016645551</v>
      </c>
      <c r="E18" s="42">
        <v>581104.4520676051</v>
      </c>
      <c r="F18" s="41"/>
      <c r="G18" s="56">
        <f>K18/$N18</f>
        <v>0.12619302921610381</v>
      </c>
      <c r="H18" s="57">
        <f t="shared" si="5"/>
        <v>0.87380697078389624</v>
      </c>
      <c r="I18" s="43">
        <f>(K18/12)/D18</f>
        <v>1.8897600000000003</v>
      </c>
      <c r="J18" s="203">
        <f t="shared" si="8"/>
        <v>0.30469839999999998</v>
      </c>
      <c r="K18" s="32">
        <f>'Indexed Revenue'!C8</f>
        <v>25570.79538424332</v>
      </c>
      <c r="L18" s="32">
        <f>'Indexed Revenue'!D8</f>
        <v>177061.59677787597</v>
      </c>
      <c r="M18" s="41"/>
      <c r="N18" s="33">
        <f t="shared" si="7"/>
        <v>202632.39216211927</v>
      </c>
      <c r="O18" s="200" t="s">
        <v>52</v>
      </c>
      <c r="P18" s="200"/>
    </row>
    <row r="19" spans="2:16" ht="15" thickBot="1" x14ac:dyDescent="0.35">
      <c r="B19" s="38" t="s">
        <v>45</v>
      </c>
      <c r="C19" s="39"/>
      <c r="D19" s="40">
        <f>SUM(D15:D18)</f>
        <v>13237.91648019624</v>
      </c>
      <c r="E19" s="39"/>
      <c r="F19" s="39"/>
      <c r="G19" s="39"/>
      <c r="H19" s="39"/>
      <c r="I19" s="39"/>
      <c r="J19" s="39"/>
      <c r="K19" s="58">
        <f>SUM(K15:K18)</f>
        <v>13879233.550782844</v>
      </c>
      <c r="L19" s="58">
        <f>SUM(L15:L18)</f>
        <v>11546638.29099693</v>
      </c>
      <c r="M19" s="58">
        <f>SUM(M15:M18)</f>
        <v>-110187.67683102925</v>
      </c>
      <c r="N19" s="59">
        <f>SUM(N15:N18)</f>
        <v>25315684.164948739</v>
      </c>
      <c r="O19" s="200" t="s">
        <v>130</v>
      </c>
      <c r="P19" s="202">
        <f>N19+ABS(M16)</f>
        <v>25425871.841779768</v>
      </c>
    </row>
    <row r="20" spans="2:16" x14ac:dyDescent="0.3">
      <c r="O20" s="200" t="s">
        <v>131</v>
      </c>
      <c r="P20" s="201" t="str">
        <f>IF(P19='Indexed Revenue'!E9,"True","No")</f>
        <v>True</v>
      </c>
    </row>
  </sheetData>
  <mergeCells count="16">
    <mergeCell ref="B12:N12"/>
    <mergeCell ref="K4:N4"/>
    <mergeCell ref="B3:N3"/>
    <mergeCell ref="B4:B5"/>
    <mergeCell ref="C4:C5"/>
    <mergeCell ref="D4:D5"/>
    <mergeCell ref="E4:F4"/>
    <mergeCell ref="G4:H4"/>
    <mergeCell ref="I4:J4"/>
    <mergeCell ref="K13:N13"/>
    <mergeCell ref="B13:B14"/>
    <mergeCell ref="C13:C14"/>
    <mergeCell ref="D13:D14"/>
    <mergeCell ref="E13:F13"/>
    <mergeCell ref="G13:H13"/>
    <mergeCell ref="I13:J13"/>
  </mergeCells>
  <pageMargins left="0.7" right="0.7" top="0.75" bottom="0.75" header="0.3" footer="0.3"/>
  <pageSetup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BE060-AD1F-4276-964B-024741D9AAFA}">
  <sheetPr codeName="Sheet7">
    <tabColor theme="9" tint="0.79998168889431442"/>
  </sheetPr>
  <dimension ref="B1:H9"/>
  <sheetViews>
    <sheetView showGridLines="0" workbookViewId="0">
      <selection activeCell="C26" sqref="C26"/>
    </sheetView>
  </sheetViews>
  <sheetFormatPr defaultColWidth="9.109375" defaultRowHeight="14.4" x14ac:dyDescent="0.3"/>
  <cols>
    <col min="1" max="1" width="2.77734375" style="5" customWidth="1"/>
    <col min="2" max="2" width="18.6640625" style="5" customWidth="1"/>
    <col min="3" max="3" width="11.6640625" style="5" bestFit="1" customWidth="1"/>
    <col min="4" max="4" width="8.6640625" style="5" customWidth="1"/>
    <col min="5" max="5" width="9.109375" style="5"/>
    <col min="6" max="6" width="18.6640625" style="5" customWidth="1"/>
    <col min="7" max="7" width="11.6640625" style="5" bestFit="1" customWidth="1"/>
    <col min="8" max="8" width="8.6640625" style="5" customWidth="1"/>
    <col min="9" max="16384" width="9.109375" style="5"/>
  </cols>
  <sheetData>
    <row r="1" spans="2:8" ht="15" thickBot="1" x14ac:dyDescent="0.35"/>
    <row r="2" spans="2:8" ht="30.75" customHeight="1" thickBot="1" x14ac:dyDescent="0.35">
      <c r="B2" s="282" t="s">
        <v>27</v>
      </c>
      <c r="C2" s="283"/>
      <c r="D2" s="284"/>
      <c r="F2" s="282" t="s">
        <v>101</v>
      </c>
      <c r="G2" s="283"/>
      <c r="H2" s="284"/>
    </row>
    <row r="3" spans="2:8" x14ac:dyDescent="0.3">
      <c r="B3" s="25" t="s">
        <v>20</v>
      </c>
      <c r="C3" s="26" t="s">
        <v>21</v>
      </c>
      <c r="D3" s="27" t="s">
        <v>22</v>
      </c>
      <c r="F3" s="25" t="s">
        <v>20</v>
      </c>
      <c r="G3" s="26" t="s">
        <v>21</v>
      </c>
      <c r="H3" s="27" t="s">
        <v>22</v>
      </c>
    </row>
    <row r="4" spans="2:8" x14ac:dyDescent="0.3">
      <c r="B4" s="17" t="s">
        <v>23</v>
      </c>
      <c r="C4" s="154" t="s">
        <v>125</v>
      </c>
      <c r="D4" s="197">
        <v>2.1999999999999999E-2</v>
      </c>
      <c r="F4" s="17" t="s">
        <v>23</v>
      </c>
      <c r="G4" s="37" t="s">
        <v>28</v>
      </c>
      <c r="H4" s="29">
        <v>3.3000000000000002E-2</v>
      </c>
    </row>
    <row r="5" spans="2:8" x14ac:dyDescent="0.3">
      <c r="B5" s="17" t="s">
        <v>24</v>
      </c>
      <c r="C5" s="154" t="s">
        <v>125</v>
      </c>
      <c r="D5" s="197">
        <v>0</v>
      </c>
      <c r="F5" s="17" t="s">
        <v>24</v>
      </c>
      <c r="G5" s="37" t="s">
        <v>28</v>
      </c>
      <c r="H5" s="29">
        <v>0</v>
      </c>
    </row>
    <row r="6" spans="2:8" x14ac:dyDescent="0.3">
      <c r="B6" s="17" t="s">
        <v>25</v>
      </c>
      <c r="C6" s="154" t="s">
        <v>126</v>
      </c>
      <c r="D6" s="198">
        <v>6.0000000000000001E-3</v>
      </c>
      <c r="F6" s="17" t="s">
        <v>25</v>
      </c>
      <c r="G6" s="37" t="s">
        <v>28</v>
      </c>
      <c r="H6" s="30">
        <v>6.0000000000000001E-3</v>
      </c>
    </row>
    <row r="7" spans="2:8" ht="15" thickBot="1" x14ac:dyDescent="0.35">
      <c r="B7" s="34" t="s">
        <v>94</v>
      </c>
      <c r="C7" s="141" t="s">
        <v>26</v>
      </c>
      <c r="D7" s="142">
        <f>D4-D5-D6</f>
        <v>1.6E-2</v>
      </c>
      <c r="F7" s="34" t="s">
        <v>94</v>
      </c>
      <c r="G7" s="22" t="s">
        <v>26</v>
      </c>
      <c r="H7" s="28">
        <f>H4-H5-H6</f>
        <v>2.7000000000000003E-2</v>
      </c>
    </row>
    <row r="9" spans="2:8" x14ac:dyDescent="0.3">
      <c r="F9" s="62" t="s">
        <v>124</v>
      </c>
    </row>
  </sheetData>
  <mergeCells count="2">
    <mergeCell ref="B2:D2"/>
    <mergeCell ref="F2:H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A11CC-CA96-4E43-81B5-813207B4E22B}">
  <sheetPr codeName="Sheet8">
    <tabColor theme="9" tint="0.79998168889431442"/>
    <pageSetUpPr fitToPage="1"/>
  </sheetPr>
  <dimension ref="B1:N21"/>
  <sheetViews>
    <sheetView showGridLines="0" workbookViewId="0">
      <selection activeCell="E14" sqref="E14"/>
    </sheetView>
  </sheetViews>
  <sheetFormatPr defaultColWidth="9.109375" defaultRowHeight="14.4" x14ac:dyDescent="0.3"/>
  <cols>
    <col min="1" max="1" width="2.77734375" style="5" customWidth="1"/>
    <col min="2" max="2" width="24.77734375" style="5" customWidth="1"/>
    <col min="3" max="5" width="12.77734375" style="5" customWidth="1"/>
    <col min="6" max="6" width="10.21875" style="5" customWidth="1"/>
    <col min="7" max="7" width="24.77734375" style="5" customWidth="1"/>
    <col min="8" max="10" width="12.77734375" style="5" customWidth="1"/>
    <col min="11" max="13" width="9.109375" style="5"/>
    <col min="14" max="14" width="11.21875" style="5" bestFit="1" customWidth="1"/>
    <col min="15" max="16384" width="9.109375" style="5"/>
  </cols>
  <sheetData>
    <row r="1" spans="2:14" ht="15" thickBot="1" x14ac:dyDescent="0.35"/>
    <row r="2" spans="2:14" ht="33.75" customHeight="1" x14ac:dyDescent="0.3">
      <c r="B2" s="228" t="s">
        <v>56</v>
      </c>
      <c r="C2" s="229"/>
      <c r="D2" s="229"/>
      <c r="E2" s="230"/>
      <c r="G2" s="228" t="s">
        <v>100</v>
      </c>
      <c r="H2" s="229"/>
      <c r="I2" s="229"/>
      <c r="J2" s="230"/>
    </row>
    <row r="3" spans="2:14" ht="15" customHeight="1" x14ac:dyDescent="0.3">
      <c r="B3" s="249" t="s">
        <v>29</v>
      </c>
      <c r="C3" s="255" t="s">
        <v>34</v>
      </c>
      <c r="D3" s="247"/>
      <c r="E3" s="248"/>
      <c r="G3" s="249" t="s">
        <v>29</v>
      </c>
      <c r="H3" s="255" t="s">
        <v>34</v>
      </c>
      <c r="I3" s="247"/>
      <c r="J3" s="248"/>
    </row>
    <row r="4" spans="2:14" ht="14.7" customHeight="1" x14ac:dyDescent="0.3">
      <c r="B4" s="250"/>
      <c r="C4" s="51" t="s">
        <v>40</v>
      </c>
      <c r="D4" s="51" t="s">
        <v>41</v>
      </c>
      <c r="E4" s="52" t="s">
        <v>42</v>
      </c>
      <c r="G4" s="250"/>
      <c r="H4" s="51" t="s">
        <v>40</v>
      </c>
      <c r="I4" s="51" t="s">
        <v>41</v>
      </c>
      <c r="J4" s="52" t="s">
        <v>42</v>
      </c>
    </row>
    <row r="5" spans="2:14" x14ac:dyDescent="0.3">
      <c r="B5" s="53" t="s">
        <v>43</v>
      </c>
      <c r="C5" s="150">
        <f>'2020 COS Eq Rates and Revenue'!K7*(1+'IRM Adjustment Factor'!$D$7)</f>
        <v>11310367.607327543</v>
      </c>
      <c r="D5" s="150">
        <f>SUM('2020 COS Eq Rates and Revenue'!L7:M7)*(1+'IRM Adjustment Factor'!$D$7)</f>
        <v>6333275.2664187551</v>
      </c>
      <c r="E5" s="157">
        <f>C5+D5</f>
        <v>17643642.873746298</v>
      </c>
      <c r="G5" s="53" t="s">
        <v>43</v>
      </c>
      <c r="H5" s="143">
        <f>C5*(1+'IRM Adjustment Factor'!$H$7)</f>
        <v>11615747.532725386</v>
      </c>
      <c r="I5" s="143">
        <f>D5*(1+'IRM Adjustment Factor'!$H$7)</f>
        <v>6504273.6986120613</v>
      </c>
      <c r="J5" s="144">
        <f>H5+I5</f>
        <v>18120021.231337447</v>
      </c>
    </row>
    <row r="6" spans="2:14" x14ac:dyDescent="0.3">
      <c r="B6" s="53" t="s">
        <v>14</v>
      </c>
      <c r="C6" s="150">
        <f>'2020 COS Eq Rates and Revenue'!K8*(1+'IRM Adjustment Factor'!$D$7)</f>
        <v>565531.04044304544</v>
      </c>
      <c r="D6" s="150">
        <f>SUM('2020 COS Eq Rates and Revenue'!L8:M8)*(1+'IRM Adjustment Factor'!$D$7)</f>
        <v>4143434.4243736118</v>
      </c>
      <c r="E6" s="157">
        <f t="shared" ref="E6:E8" si="0">C6+D6</f>
        <v>4708965.4648166569</v>
      </c>
      <c r="G6" s="53" t="s">
        <v>14</v>
      </c>
      <c r="H6" s="143">
        <f>C6*(1+'IRM Adjustment Factor'!$H$7)</f>
        <v>580800.37853500759</v>
      </c>
      <c r="I6" s="143">
        <f>D6*(1+'IRM Adjustment Factor'!$H$7)</f>
        <v>4255307.1538316989</v>
      </c>
      <c r="J6" s="144">
        <f t="shared" ref="J6:J8" si="1">H6+I6</f>
        <v>4836107.5323667061</v>
      </c>
    </row>
    <row r="7" spans="2:14" x14ac:dyDescent="0.3">
      <c r="B7" s="53" t="s">
        <v>16</v>
      </c>
      <c r="C7" s="150">
        <f>'2020 COS Eq Rates and Revenue'!K9*(1+'IRM Adjustment Factor'!$D$7)</f>
        <v>1977764.1076280116</v>
      </c>
      <c r="D7" s="150">
        <f>SUM('2020 COS Eq Rates and Revenue'!L9:M9)*(1+'IRM Adjustment Factor'!$D$7)</f>
        <v>892867.0034266857</v>
      </c>
      <c r="E7" s="157">
        <f t="shared" si="0"/>
        <v>2870631.1110546971</v>
      </c>
      <c r="G7" s="53" t="s">
        <v>16</v>
      </c>
      <c r="H7" s="143">
        <f>C7*(1+'IRM Adjustment Factor'!$H$7)</f>
        <v>2031163.7385339676</v>
      </c>
      <c r="I7" s="143">
        <f>D7*(1+'IRM Adjustment Factor'!$H$7)</f>
        <v>916974.41251920618</v>
      </c>
      <c r="J7" s="144">
        <f t="shared" si="1"/>
        <v>2948138.1510531739</v>
      </c>
    </row>
    <row r="8" spans="2:14" x14ac:dyDescent="0.3">
      <c r="B8" s="53" t="s">
        <v>17</v>
      </c>
      <c r="C8" s="150">
        <f>'2020 COS Eq Rates and Revenue'!K10*(1+'IRM Adjustment Factor'!$D$7)</f>
        <v>25570.79538424332</v>
      </c>
      <c r="D8" s="150">
        <f>SUM('2020 COS Eq Rates and Revenue'!L10:M10)*(1+'IRM Adjustment Factor'!$D$7)</f>
        <v>177061.59677787597</v>
      </c>
      <c r="E8" s="157">
        <f t="shared" si="0"/>
        <v>202632.39216211927</v>
      </c>
      <c r="G8" s="53" t="s">
        <v>17</v>
      </c>
      <c r="H8" s="143">
        <f>C8*(1+'IRM Adjustment Factor'!$H$7)</f>
        <v>26261.206859617887</v>
      </c>
      <c r="I8" s="143">
        <f>D8*(1+'IRM Adjustment Factor'!$H$7)</f>
        <v>181842.2598908786</v>
      </c>
      <c r="J8" s="144">
        <f t="shared" si="1"/>
        <v>208103.46675049647</v>
      </c>
    </row>
    <row r="9" spans="2:14" ht="15" thickBot="1" x14ac:dyDescent="0.35">
      <c r="B9" s="38" t="s">
        <v>45</v>
      </c>
      <c r="C9" s="54">
        <f>SUM(C5:C8)</f>
        <v>13879233.550782844</v>
      </c>
      <c r="D9" s="54">
        <f>SUM(D5:D8)</f>
        <v>11546638.29099693</v>
      </c>
      <c r="E9" s="55">
        <f>SUM(E5:E8)</f>
        <v>25425871.841779768</v>
      </c>
      <c r="G9" s="38" t="s">
        <v>45</v>
      </c>
      <c r="H9" s="145">
        <f>SUM(H5:H8)</f>
        <v>14253972.856653981</v>
      </c>
      <c r="I9" s="145">
        <f>SUM(I5:I8)</f>
        <v>11858397.524853844</v>
      </c>
      <c r="J9" s="146">
        <f>SUM(J5:J8)</f>
        <v>26112370.381507821</v>
      </c>
    </row>
    <row r="10" spans="2:14" x14ac:dyDescent="0.3">
      <c r="B10" s="7"/>
      <c r="C10" s="60"/>
      <c r="D10" s="60"/>
      <c r="E10" s="60"/>
    </row>
    <row r="11" spans="2:14" x14ac:dyDescent="0.3">
      <c r="H11" s="286"/>
      <c r="I11" s="286"/>
      <c r="J11" s="147"/>
    </row>
    <row r="12" spans="2:14" ht="33.75" customHeight="1" x14ac:dyDescent="0.3">
      <c r="B12" s="285" t="s">
        <v>128</v>
      </c>
      <c r="C12" s="285"/>
      <c r="D12" s="285"/>
      <c r="E12" s="285"/>
      <c r="F12" s="285"/>
      <c r="G12" s="285"/>
      <c r="H12" s="285"/>
      <c r="I12" s="285"/>
      <c r="J12" s="285"/>
    </row>
    <row r="14" spans="2:14" x14ac:dyDescent="0.3">
      <c r="B14" s="61" t="s">
        <v>52</v>
      </c>
    </row>
    <row r="16" spans="2:14" x14ac:dyDescent="0.3">
      <c r="B16" s="5" t="s">
        <v>53</v>
      </c>
      <c r="G16" s="63">
        <f>'2020 COS Eq Rates and Revenue'!N11</f>
        <v>25025464.411200564</v>
      </c>
      <c r="H16" s="5" t="s">
        <v>102</v>
      </c>
      <c r="N16" s="63">
        <f>E9</f>
        <v>25425871.841779768</v>
      </c>
    </row>
    <row r="17" spans="2:14" x14ac:dyDescent="0.3">
      <c r="B17" s="5" t="s">
        <v>55</v>
      </c>
      <c r="G17" s="64">
        <f>'IRM Adjustment Factor'!D7</f>
        <v>1.6E-2</v>
      </c>
      <c r="H17" s="5" t="s">
        <v>103</v>
      </c>
      <c r="N17" s="64">
        <f>'IRM Adjustment Factor'!D7</f>
        <v>1.6E-2</v>
      </c>
    </row>
    <row r="18" spans="2:14" x14ac:dyDescent="0.3">
      <c r="B18" s="5" t="s">
        <v>54</v>
      </c>
      <c r="G18" s="63">
        <f>G16*(1+G17)</f>
        <v>25425871.841779772</v>
      </c>
      <c r="H18" s="5" t="s">
        <v>104</v>
      </c>
      <c r="N18" s="63">
        <f>N16*(1+N17)</f>
        <v>25832685.791248243</v>
      </c>
    </row>
    <row r="20" spans="2:14" x14ac:dyDescent="0.3">
      <c r="B20" s="62" t="str">
        <f>IF(E9=G18,"Total of Indexed Class Revenue Equals Indexed Total Revenue","Total of Indexed Class Revenue DOES NOT EQUAL Indexed Total Revenue")</f>
        <v>Total of Indexed Class Revenue Equals Indexed Total Revenue</v>
      </c>
      <c r="H20" s="62" t="str">
        <f>IF(J9=N18,"Total of Indexed Class Revenue Equals Indexed Total Revenue","Total of Indexed Class Revenue DOES NOT EQUAL Indexed Total Revenue")</f>
        <v>Total of Indexed Class Revenue DOES NOT EQUAL Indexed Total Revenue</v>
      </c>
    </row>
    <row r="21" spans="2:14" ht="60.75" customHeight="1" x14ac:dyDescent="0.3"/>
  </sheetData>
  <mergeCells count="8">
    <mergeCell ref="B12:J12"/>
    <mergeCell ref="B2:E2"/>
    <mergeCell ref="B3:B4"/>
    <mergeCell ref="C3:E3"/>
    <mergeCell ref="G2:J2"/>
    <mergeCell ref="G3:G4"/>
    <mergeCell ref="H3:J3"/>
    <mergeCell ref="H11:I11"/>
  </mergeCells>
  <pageMargins left="0.7" right="0.7" top="0.75" bottom="0.75" header="0.3" footer="0.3"/>
  <pageSetup scale="7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D64E9-2019-4699-98F5-96F159A60E67}">
  <sheetPr codeName="Sheet9">
    <tabColor theme="9" tint="0.79998168889431442"/>
    <pageSetUpPr fitToPage="1"/>
  </sheetPr>
  <dimension ref="B2:M9"/>
  <sheetViews>
    <sheetView showGridLines="0" workbookViewId="0">
      <selection activeCell="E14" sqref="E14"/>
    </sheetView>
  </sheetViews>
  <sheetFormatPr defaultColWidth="9.109375" defaultRowHeight="14.4" x14ac:dyDescent="0.3"/>
  <cols>
    <col min="1" max="1" width="2.77734375" style="5" customWidth="1"/>
    <col min="2" max="2" width="29.109375" style="5" bestFit="1" customWidth="1"/>
    <col min="3" max="3" width="7.21875" style="5" customWidth="1"/>
    <col min="4" max="4" width="10.109375" style="5" customWidth="1"/>
    <col min="5" max="5" width="12.109375" style="5" customWidth="1"/>
    <col min="6" max="6" width="10.6640625" style="5" customWidth="1"/>
    <col min="7" max="7" width="11" style="5" customWidth="1"/>
    <col min="8" max="9" width="12.77734375" style="5" customWidth="1"/>
    <col min="10" max="12" width="10.6640625" style="5" customWidth="1"/>
    <col min="13" max="13" width="10.6640625" style="5" bestFit="1" customWidth="1"/>
    <col min="14" max="16384" width="9.109375" style="5"/>
  </cols>
  <sheetData>
    <row r="2" spans="2:13" ht="15.6" x14ac:dyDescent="0.3">
      <c r="B2" s="210" t="s">
        <v>68</v>
      </c>
      <c r="C2" s="210"/>
      <c r="D2" s="210"/>
      <c r="E2" s="210"/>
      <c r="F2" s="210"/>
      <c r="G2" s="210"/>
      <c r="H2" s="210"/>
      <c r="I2" s="210"/>
      <c r="J2" s="210"/>
      <c r="K2" s="210"/>
      <c r="L2" s="210"/>
      <c r="M2" s="67"/>
    </row>
    <row r="3" spans="2:13" ht="15" thickBot="1" x14ac:dyDescent="0.35"/>
    <row r="4" spans="2:13" x14ac:dyDescent="0.3">
      <c r="B4" s="287" t="s">
        <v>105</v>
      </c>
      <c r="C4" s="288"/>
      <c r="D4" s="288"/>
      <c r="E4" s="288"/>
      <c r="F4" s="288"/>
      <c r="G4" s="288"/>
      <c r="H4" s="288"/>
      <c r="I4" s="288"/>
      <c r="J4" s="288"/>
      <c r="K4" s="288"/>
      <c r="L4" s="289"/>
      <c r="M4" s="74"/>
    </row>
    <row r="5" spans="2:13" x14ac:dyDescent="0.3">
      <c r="B5" s="290" t="s">
        <v>29</v>
      </c>
      <c r="C5" s="291" t="s">
        <v>7</v>
      </c>
      <c r="D5" s="292" t="s">
        <v>30</v>
      </c>
      <c r="E5" s="293" t="s">
        <v>35</v>
      </c>
      <c r="F5" s="255" t="s">
        <v>116</v>
      </c>
      <c r="G5" s="256"/>
      <c r="H5" s="255" t="s">
        <v>117</v>
      </c>
      <c r="I5" s="256"/>
      <c r="J5" s="255" t="s">
        <v>34</v>
      </c>
      <c r="K5" s="247"/>
      <c r="L5" s="248"/>
      <c r="M5" s="74"/>
    </row>
    <row r="6" spans="2:13" ht="43.2" x14ac:dyDescent="0.3">
      <c r="B6" s="290"/>
      <c r="C6" s="291"/>
      <c r="D6" s="292"/>
      <c r="E6" s="294"/>
      <c r="F6" s="51" t="s">
        <v>9</v>
      </c>
      <c r="G6" s="51" t="s">
        <v>39</v>
      </c>
      <c r="H6" s="51" t="s">
        <v>9</v>
      </c>
      <c r="I6" s="51" t="s">
        <v>39</v>
      </c>
      <c r="J6" s="51" t="s">
        <v>40</v>
      </c>
      <c r="K6" s="51" t="s">
        <v>41</v>
      </c>
      <c r="L6" s="52" t="s">
        <v>42</v>
      </c>
    </row>
    <row r="7" spans="2:13" x14ac:dyDescent="0.3">
      <c r="B7" s="76" t="s">
        <v>16</v>
      </c>
      <c r="C7" s="69" t="s">
        <v>35</v>
      </c>
      <c r="D7" s="77">
        <f>'2020 COS Eq Rates and Revenue'!D9</f>
        <v>2960.1858518389645</v>
      </c>
      <c r="E7" s="77">
        <f>'2020 COS Eq Rates and Revenue'!E9</f>
        <v>5874372.3645382812</v>
      </c>
      <c r="F7" s="189">
        <f>'Rate Summary'!F21</f>
        <v>63.74</v>
      </c>
      <c r="G7" s="190">
        <f>'Rate Summary'!F22</f>
        <v>0.1032</v>
      </c>
      <c r="H7" s="191">
        <f>ROUND(F7*(1+'IRM Adjustment Factor'!H7),2)</f>
        <v>65.459999999999994</v>
      </c>
      <c r="I7" s="192">
        <f>ROUND(G7*(1+'IRM Adjustment Factor'!H7),4)</f>
        <v>0.106</v>
      </c>
      <c r="J7" s="187">
        <f>D7*H7*12</f>
        <v>2325285.1903365431</v>
      </c>
      <c r="K7" s="187">
        <f>E7*I7</f>
        <v>622683.47064105782</v>
      </c>
      <c r="L7" s="188">
        <f>SUM(J7:K7)</f>
        <v>2947968.6609776011</v>
      </c>
    </row>
    <row r="8" spans="2:13" x14ac:dyDescent="0.3">
      <c r="B8" s="76" t="s">
        <v>17</v>
      </c>
      <c r="C8" s="69" t="s">
        <v>35</v>
      </c>
      <c r="D8" s="77">
        <f>'2020 COS Eq Rates and Revenue'!D10</f>
        <v>1127.6033016645551</v>
      </c>
      <c r="E8" s="77">
        <f>'2020 COS Eq Rates and Revenue'!E10</f>
        <v>581104.4520676051</v>
      </c>
      <c r="F8" s="189">
        <f>'Rate Summary'!F25</f>
        <v>1.89</v>
      </c>
      <c r="G8" s="190">
        <f>'Rate Summary'!F26</f>
        <v>0.30470000000000003</v>
      </c>
      <c r="H8" s="191">
        <f>ROUND(F8*(1+'IRM Adjustment Factor'!H7),2)</f>
        <v>1.94</v>
      </c>
      <c r="I8" s="192">
        <f>ROUND(G8*(1+'IRM Adjustment Factor'!H7),4)</f>
        <v>0.31290000000000001</v>
      </c>
      <c r="J8" s="187">
        <f>D8*H8*12</f>
        <v>26250.604862750843</v>
      </c>
      <c r="K8" s="187">
        <f>E8*I8</f>
        <v>181827.58305195364</v>
      </c>
      <c r="L8" s="188">
        <f>SUM(J8:K8)</f>
        <v>208078.1879147045</v>
      </c>
    </row>
    <row r="9" spans="2:13" ht="15" hidden="1" thickBot="1" x14ac:dyDescent="0.35">
      <c r="B9" s="38" t="s">
        <v>45</v>
      </c>
      <c r="C9" s="35"/>
      <c r="D9" s="75">
        <f>SUM(D7:D8)</f>
        <v>4087.7891535035196</v>
      </c>
      <c r="E9" s="75">
        <f>SUM(E7:E8)</f>
        <v>6455476.8166058864</v>
      </c>
      <c r="F9" s="78"/>
      <c r="G9" s="78"/>
      <c r="H9" s="78"/>
      <c r="I9" s="78"/>
      <c r="J9" s="54">
        <f>J7+J8</f>
        <v>2351535.7951992941</v>
      </c>
      <c r="K9" s="54">
        <f>K7+K8</f>
        <v>804511.0536930114</v>
      </c>
      <c r="L9" s="55">
        <f>L7+L8</f>
        <v>3156046.8488923055</v>
      </c>
    </row>
  </sheetData>
  <mergeCells count="9">
    <mergeCell ref="B2:L2"/>
    <mergeCell ref="B4:L4"/>
    <mergeCell ref="B5:B6"/>
    <mergeCell ref="C5:C6"/>
    <mergeCell ref="D5:D6"/>
    <mergeCell ref="E5:E6"/>
    <mergeCell ref="F5:G5"/>
    <mergeCell ref="H5:I5"/>
    <mergeCell ref="J5:L5"/>
  </mergeCells>
  <pageMargins left="0.7" right="0.7" top="0.75" bottom="0.75" header="0.3" footer="0.3"/>
  <pageSetup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Sheet</vt:lpstr>
      <vt:lpstr>Rate Summary</vt:lpstr>
      <vt:lpstr>2020 COS Cost Allocation</vt:lpstr>
      <vt:lpstr>2020 COS Eq Rates and Revenue</vt:lpstr>
      <vt:lpstr>RRRP Rate Design</vt:lpstr>
      <vt:lpstr>Equiv Rates for ACM Model</vt:lpstr>
      <vt:lpstr>IRM Adjustment Factor</vt:lpstr>
      <vt:lpstr>Indexed Revenue</vt:lpstr>
      <vt:lpstr>Non-RRRP Rate Design</vt:lpstr>
      <vt:lpstr>R1(i) Decoupling</vt:lpstr>
      <vt:lpstr>Seasonal Decoupling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Marc Abramovitz</cp:lastModifiedBy>
  <dcterms:created xsi:type="dcterms:W3CDTF">2020-05-21T17:58:27Z</dcterms:created>
  <dcterms:modified xsi:type="dcterms:W3CDTF">2021-11-24T19:16:37Z</dcterms:modified>
</cp:coreProperties>
</file>