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PC2\Reference Documents and Files\ORPC Files\Front Office\Finance\F05-Rates\2022 Rates\Interrogatories\Responses\"/>
    </mc:Choice>
  </mc:AlternateContent>
  <bookViews>
    <workbookView xWindow="0" yWindow="0" windowWidth="23040" windowHeight="8808"/>
  </bookViews>
  <sheets>
    <sheet name="2-Staff-10" sheetId="1" r:id="rId1"/>
    <sheet name="2-Staff-12" sheetId="2" r:id="rId2"/>
    <sheet name="2-Staff-15" sheetId="7" r:id="rId3"/>
    <sheet name="2-Staff-20" sheetId="8" r:id="rId4"/>
    <sheet name="3-Staff-26" sheetId="11" r:id="rId5"/>
    <sheet name="4-Staff-30" sheetId="6" r:id="rId6"/>
    <sheet name="8-Staff-56" sheetId="19" r:id="rId7"/>
    <sheet name="8-Staff-57-1" sheetId="4" r:id="rId8"/>
    <sheet name="8-Staff-57-2" sheetId="5" r:id="rId9"/>
    <sheet name="1-SEC-5-1" sheetId="14" r:id="rId10"/>
    <sheet name="1-SEC-5-2" sheetId="13" r:id="rId11"/>
    <sheet name="2-SEC-16" sheetId="15" r:id="rId12"/>
    <sheet name="2-SEC-17" sheetId="12" r:id="rId13"/>
    <sheet name="3-SEC-20" sheetId="10" r:id="rId14"/>
    <sheet name="9-SEC-30" sheetId="9" r:id="rId15"/>
    <sheet name="2-VECC-6" sheetId="16" r:id="rId16"/>
    <sheet name="3-VECC-12-1" sheetId="17" r:id="rId17"/>
    <sheet name="3-VECC-12-2" sheetId="18" r:id="rId18"/>
    <sheet name="4-VECC-23" sheetId="20" r:id="rId19"/>
    <sheet name="7-VECC-28" sheetId="22" r:id="rId20"/>
    <sheet name="7-VECC-29" sheetId="23" r:id="rId21"/>
    <sheet name="8-VECC-31" sheetId="21" r:id="rId22"/>
  </sheets>
  <externalReferences>
    <externalReference r:id="rId23"/>
    <externalReference r:id="rId24"/>
  </externalReferences>
  <definedNames>
    <definedName name="BridgeYear">'[1]LDC Info'!$E$26</definedName>
    <definedName name="_xlnm.Print_Titles" localSheetId="8">'8-Staff-57-2'!$1:$9</definedName>
    <definedName name="RebaseYear">'[2]LDC Info'!$E$28</definedName>
    <definedName name="TestYear">'[1]LDC Info'!$E$24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0" l="1"/>
  <c r="F22" i="20"/>
  <c r="H22" i="20" l="1"/>
  <c r="C23" i="20" l="1"/>
  <c r="D23" i="20"/>
  <c r="E23" i="20"/>
  <c r="F23" i="20"/>
  <c r="G23" i="20"/>
  <c r="H23" i="20"/>
  <c r="I23" i="20"/>
  <c r="I22" i="20"/>
  <c r="E7" i="22" l="1"/>
  <c r="E8" i="22"/>
  <c r="E9" i="22"/>
  <c r="E10" i="22"/>
  <c r="E11" i="22"/>
  <c r="E12" i="22"/>
  <c r="E13" i="22"/>
  <c r="E6" i="22"/>
  <c r="G23" i="21" l="1"/>
  <c r="E23" i="21"/>
  <c r="G22" i="21"/>
  <c r="E22" i="21"/>
  <c r="G21" i="21"/>
  <c r="E21" i="21"/>
  <c r="G20" i="21"/>
  <c r="E20" i="21"/>
  <c r="G19" i="21"/>
  <c r="E19" i="21"/>
  <c r="G18" i="21"/>
  <c r="E18" i="21"/>
  <c r="E25" i="21" s="1"/>
  <c r="E13" i="21"/>
  <c r="G13" i="21"/>
  <c r="E6" i="21"/>
  <c r="E7" i="21"/>
  <c r="E8" i="21"/>
  <c r="E9" i="21"/>
  <c r="E10" i="21"/>
  <c r="E11" i="21"/>
  <c r="G6" i="21"/>
  <c r="G7" i="21"/>
  <c r="G8" i="21"/>
  <c r="G9" i="21"/>
  <c r="G10" i="21"/>
  <c r="G11" i="21"/>
  <c r="G25" i="21" l="1"/>
  <c r="I19" i="20"/>
  <c r="H19" i="20"/>
  <c r="G19" i="20"/>
  <c r="F19" i="20"/>
  <c r="E19" i="20"/>
  <c r="D19" i="20"/>
  <c r="C19" i="20"/>
  <c r="B19" i="20"/>
  <c r="I18" i="20"/>
  <c r="H18" i="20"/>
  <c r="G18" i="20"/>
  <c r="F18" i="20"/>
  <c r="E18" i="20"/>
  <c r="D18" i="20"/>
  <c r="C18" i="20"/>
  <c r="B18" i="20"/>
  <c r="I16" i="20"/>
  <c r="H16" i="20"/>
  <c r="G16" i="20"/>
  <c r="F16" i="20"/>
  <c r="E16" i="20"/>
  <c r="D16" i="20"/>
  <c r="C16" i="20"/>
  <c r="C20" i="20" s="1"/>
  <c r="B16" i="20"/>
  <c r="I12" i="20"/>
  <c r="I20" i="20" s="1"/>
  <c r="H12" i="20"/>
  <c r="H20" i="20" s="1"/>
  <c r="G12" i="20"/>
  <c r="G20" i="20" s="1"/>
  <c r="F12" i="20"/>
  <c r="F20" i="20" s="1"/>
  <c r="E12" i="20"/>
  <c r="E20" i="20" s="1"/>
  <c r="D12" i="20"/>
  <c r="D20" i="20" s="1"/>
  <c r="C12" i="20"/>
  <c r="B12" i="20"/>
  <c r="B20" i="20" s="1"/>
  <c r="I8" i="20"/>
  <c r="H8" i="20"/>
  <c r="G8" i="20"/>
  <c r="F8" i="20"/>
  <c r="E8" i="20"/>
  <c r="D8" i="20"/>
  <c r="C8" i="20"/>
  <c r="B8" i="20"/>
  <c r="E89" i="19" l="1"/>
  <c r="D89" i="19"/>
  <c r="E87" i="19"/>
  <c r="D87" i="19"/>
  <c r="C87" i="19"/>
  <c r="E86" i="19"/>
  <c r="D86" i="19"/>
  <c r="D73" i="19"/>
  <c r="E73" i="19"/>
  <c r="D74" i="19"/>
  <c r="E74" i="19"/>
  <c r="E77" i="19" s="1"/>
  <c r="D75" i="19"/>
  <c r="E75" i="19"/>
  <c r="C75" i="19"/>
  <c r="C74" i="19"/>
  <c r="C73" i="19"/>
  <c r="F72" i="19"/>
  <c r="E72" i="19"/>
  <c r="D72" i="19"/>
  <c r="C72" i="19"/>
  <c r="F71" i="19"/>
  <c r="E71" i="19"/>
  <c r="D71" i="19"/>
  <c r="C71" i="19"/>
  <c r="C86" i="19"/>
  <c r="F6" i="19"/>
  <c r="F7" i="19"/>
  <c r="F8" i="19"/>
  <c r="F9" i="19"/>
  <c r="F10" i="19"/>
  <c r="F11" i="19"/>
  <c r="F12" i="19"/>
  <c r="F13" i="19"/>
  <c r="F14" i="19"/>
  <c r="F15" i="19"/>
  <c r="F16" i="19"/>
  <c r="F17" i="19"/>
  <c r="F18" i="19"/>
  <c r="F19" i="19"/>
  <c r="F20" i="19"/>
  <c r="F21" i="19"/>
  <c r="F22" i="19"/>
  <c r="F23" i="19"/>
  <c r="F24" i="19"/>
  <c r="F25" i="19"/>
  <c r="F26" i="19"/>
  <c r="F27" i="19"/>
  <c r="F28"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C67" i="19"/>
  <c r="D67" i="19"/>
  <c r="E67" i="19"/>
  <c r="F75" i="19" l="1"/>
  <c r="F74" i="19"/>
  <c r="D77" i="19"/>
  <c r="C89" i="19" s="1"/>
  <c r="C91" i="19" s="1"/>
  <c r="C77" i="19"/>
  <c r="F67" i="19"/>
  <c r="B5" i="18"/>
  <c r="C5" i="18"/>
  <c r="D5" i="18"/>
  <c r="E5" i="18"/>
  <c r="F5" i="18"/>
  <c r="G5" i="18"/>
  <c r="B6" i="18"/>
  <c r="C6" i="18"/>
  <c r="D6" i="18"/>
  <c r="E6" i="18"/>
  <c r="F6" i="18"/>
  <c r="G6" i="18"/>
  <c r="B7" i="18"/>
  <c r="C7" i="18"/>
  <c r="D7" i="18"/>
  <c r="E7" i="18"/>
  <c r="F7" i="18"/>
  <c r="G7" i="18"/>
  <c r="B8" i="18"/>
  <c r="C8" i="18"/>
  <c r="D8" i="18"/>
  <c r="E8" i="18"/>
  <c r="F8" i="18"/>
  <c r="G8" i="18"/>
  <c r="B9" i="18"/>
  <c r="C9" i="18"/>
  <c r="D9" i="18"/>
  <c r="E9" i="18"/>
  <c r="F9" i="18"/>
  <c r="G9" i="18"/>
  <c r="B10" i="18"/>
  <c r="C10" i="18"/>
  <c r="D10" i="18"/>
  <c r="E10" i="18"/>
  <c r="F10" i="18"/>
  <c r="G10" i="18"/>
  <c r="B11" i="18"/>
  <c r="C11" i="18"/>
  <c r="D11" i="18"/>
  <c r="E11" i="18"/>
  <c r="F11" i="18"/>
  <c r="G11" i="18"/>
  <c r="C12" i="18"/>
  <c r="D12" i="18"/>
  <c r="E12" i="18"/>
  <c r="F12" i="18"/>
  <c r="G12" i="18"/>
  <c r="C13" i="18"/>
  <c r="D13" i="18"/>
  <c r="E13" i="18"/>
  <c r="F13" i="18"/>
  <c r="G13" i="18"/>
  <c r="F5" i="17"/>
  <c r="J5" i="17" s="1"/>
  <c r="L5" i="17" s="1"/>
  <c r="G5" i="17"/>
  <c r="K5" i="17" s="1"/>
  <c r="M5" i="17" s="1"/>
  <c r="F6" i="17"/>
  <c r="J6" i="17" s="1"/>
  <c r="L6" i="17" s="1"/>
  <c r="G6" i="17"/>
  <c r="K6" i="17" s="1"/>
  <c r="M6" i="17" s="1"/>
  <c r="F7" i="17"/>
  <c r="J7" i="17" s="1"/>
  <c r="L7" i="17" s="1"/>
  <c r="G7" i="17"/>
  <c r="K7" i="17"/>
  <c r="M7" i="17" s="1"/>
  <c r="F8" i="17"/>
  <c r="G8" i="17"/>
  <c r="J8" i="17"/>
  <c r="K8" i="17"/>
  <c r="L8" i="17"/>
  <c r="M8" i="17"/>
  <c r="F9" i="17"/>
  <c r="J9" i="17" s="1"/>
  <c r="L9" i="17" s="1"/>
  <c r="G9" i="17"/>
  <c r="K9" i="17" s="1"/>
  <c r="M9" i="17" s="1"/>
  <c r="F10" i="17"/>
  <c r="J10" i="17" s="1"/>
  <c r="L10" i="17" s="1"/>
  <c r="G10" i="17"/>
  <c r="K10" i="17" s="1"/>
  <c r="M10" i="17" s="1"/>
  <c r="F11" i="17"/>
  <c r="G11" i="17"/>
  <c r="J11" i="17"/>
  <c r="L11" i="17" s="1"/>
  <c r="K11" i="17"/>
  <c r="M11" i="17" s="1"/>
  <c r="F12" i="17"/>
  <c r="G12" i="17"/>
  <c r="J12" i="17"/>
  <c r="K12" i="17"/>
  <c r="L12" i="17"/>
  <c r="M12" i="17"/>
  <c r="F13" i="17"/>
  <c r="J13" i="17" s="1"/>
  <c r="L13" i="17" s="1"/>
  <c r="G13" i="17"/>
  <c r="K13" i="17"/>
  <c r="M13" i="17"/>
  <c r="F14" i="17"/>
  <c r="J14" i="17" s="1"/>
  <c r="L14" i="17" s="1"/>
  <c r="G14" i="17"/>
  <c r="K14" i="17" s="1"/>
  <c r="M14" i="17" s="1"/>
  <c r="F15" i="17"/>
  <c r="G15" i="17"/>
  <c r="J15" i="17"/>
  <c r="L15" i="17" s="1"/>
  <c r="K15" i="17"/>
  <c r="M15" i="17" s="1"/>
  <c r="F16" i="17"/>
  <c r="G16" i="17"/>
  <c r="J16" i="17"/>
  <c r="K16" i="17"/>
  <c r="L16" i="17"/>
  <c r="M16" i="17"/>
  <c r="F17" i="17"/>
  <c r="G17" i="17"/>
  <c r="J17" i="17"/>
  <c r="K17" i="17"/>
  <c r="L17" i="17"/>
  <c r="N28" i="17" s="1"/>
  <c r="M17" i="17"/>
  <c r="F18" i="17"/>
  <c r="J18" i="17" s="1"/>
  <c r="L18" i="17" s="1"/>
  <c r="G18" i="17"/>
  <c r="K18" i="17" s="1"/>
  <c r="M18" i="17" s="1"/>
  <c r="F19" i="17"/>
  <c r="J19" i="17" s="1"/>
  <c r="L19" i="17" s="1"/>
  <c r="G19" i="17"/>
  <c r="K19" i="17" s="1"/>
  <c r="M19" i="17" s="1"/>
  <c r="F20" i="17"/>
  <c r="G20" i="17"/>
  <c r="J20" i="17"/>
  <c r="L20" i="17" s="1"/>
  <c r="K20" i="17"/>
  <c r="M20" i="17" s="1"/>
  <c r="F21" i="17"/>
  <c r="G21" i="17"/>
  <c r="J21" i="17"/>
  <c r="K21" i="17"/>
  <c r="L21" i="17"/>
  <c r="M21" i="17"/>
  <c r="F22" i="17"/>
  <c r="J22" i="17" s="1"/>
  <c r="L22" i="17" s="1"/>
  <c r="G22" i="17"/>
  <c r="K22" i="17"/>
  <c r="M22" i="17"/>
  <c r="F23" i="17"/>
  <c r="J23" i="17" s="1"/>
  <c r="L23" i="17" s="1"/>
  <c r="G23" i="17"/>
  <c r="K23" i="17" s="1"/>
  <c r="M23" i="17" s="1"/>
  <c r="F24" i="17"/>
  <c r="G24" i="17"/>
  <c r="J24" i="17"/>
  <c r="L24" i="17" s="1"/>
  <c r="K24" i="17"/>
  <c r="M24" i="17" s="1"/>
  <c r="F25" i="17"/>
  <c r="G25" i="17"/>
  <c r="J25" i="17"/>
  <c r="K25" i="17"/>
  <c r="L25" i="17"/>
  <c r="M25" i="17"/>
  <c r="F26" i="17"/>
  <c r="J26" i="17" s="1"/>
  <c r="L26" i="17" s="1"/>
  <c r="G26" i="17"/>
  <c r="K26" i="17"/>
  <c r="M26" i="17"/>
  <c r="F27" i="17"/>
  <c r="J27" i="17" s="1"/>
  <c r="L27" i="17" s="1"/>
  <c r="G27" i="17"/>
  <c r="K27" i="17" s="1"/>
  <c r="M27" i="17" s="1"/>
  <c r="F28" i="17"/>
  <c r="G28" i="17"/>
  <c r="J28" i="17"/>
  <c r="L28" i="17" s="1"/>
  <c r="K28" i="17"/>
  <c r="M28" i="17" s="1"/>
  <c r="F29" i="17"/>
  <c r="G29" i="17"/>
  <c r="J29" i="17"/>
  <c r="L29" i="17" s="1"/>
  <c r="K29" i="17"/>
  <c r="M29" i="17" s="1"/>
  <c r="F30" i="17"/>
  <c r="G30" i="17"/>
  <c r="J30" i="17"/>
  <c r="K30" i="17"/>
  <c r="L30" i="17"/>
  <c r="M30" i="17"/>
  <c r="F31" i="17"/>
  <c r="J31" i="17" s="1"/>
  <c r="L31" i="17" s="1"/>
  <c r="G31" i="17"/>
  <c r="K31" i="17"/>
  <c r="M31" i="17" s="1"/>
  <c r="F32" i="17"/>
  <c r="J32" i="17" s="1"/>
  <c r="L32" i="17" s="1"/>
  <c r="G32" i="17"/>
  <c r="K32" i="17" s="1"/>
  <c r="M32" i="17" s="1"/>
  <c r="F33" i="17"/>
  <c r="G33" i="17"/>
  <c r="J33" i="17"/>
  <c r="L33" i="17" s="1"/>
  <c r="K33" i="17"/>
  <c r="M33" i="17" s="1"/>
  <c r="F34" i="17"/>
  <c r="G34" i="17"/>
  <c r="K34" i="17" s="1"/>
  <c r="M34" i="17" s="1"/>
  <c r="J34" i="17"/>
  <c r="L34" i="17"/>
  <c r="F35" i="17"/>
  <c r="J35" i="17" s="1"/>
  <c r="L35" i="17" s="1"/>
  <c r="G35" i="17"/>
  <c r="K35" i="17"/>
  <c r="M35" i="17"/>
  <c r="F36" i="17"/>
  <c r="J36" i="17" s="1"/>
  <c r="L36" i="17" s="1"/>
  <c r="G36" i="17"/>
  <c r="K36" i="17" s="1"/>
  <c r="M36" i="17" s="1"/>
  <c r="F37" i="17"/>
  <c r="G37" i="17"/>
  <c r="J37" i="17"/>
  <c r="L37" i="17" s="1"/>
  <c r="K37" i="17"/>
  <c r="M37" i="17" s="1"/>
  <c r="F38" i="17"/>
  <c r="G38" i="17"/>
  <c r="J38" i="17"/>
  <c r="K38" i="17"/>
  <c r="L38" i="17"/>
  <c r="M38" i="17"/>
  <c r="F39" i="17"/>
  <c r="J39" i="17" s="1"/>
  <c r="L39" i="17" s="1"/>
  <c r="G39" i="17"/>
  <c r="K39" i="17" s="1"/>
  <c r="M39" i="17" s="1"/>
  <c r="F40" i="17"/>
  <c r="J40" i="17" s="1"/>
  <c r="L40" i="17" s="1"/>
  <c r="G40" i="17"/>
  <c r="K40" i="17" s="1"/>
  <c r="M40" i="17" s="1"/>
  <c r="F41" i="17"/>
  <c r="J41" i="17" s="1"/>
  <c r="L41" i="17" s="1"/>
  <c r="G41" i="17"/>
  <c r="K41" i="17" s="1"/>
  <c r="M41" i="17" s="1"/>
  <c r="F42" i="17"/>
  <c r="G42" i="17"/>
  <c r="J42" i="17"/>
  <c r="L42" i="17" s="1"/>
  <c r="K42" i="17"/>
  <c r="M42" i="17" s="1"/>
  <c r="F43" i="17"/>
  <c r="G43" i="17"/>
  <c r="J43" i="17"/>
  <c r="K43" i="17"/>
  <c r="L43" i="17"/>
  <c r="M43" i="17"/>
  <c r="F44" i="17"/>
  <c r="J44" i="17" s="1"/>
  <c r="L44" i="17" s="1"/>
  <c r="G44" i="17"/>
  <c r="K44" i="17" s="1"/>
  <c r="M44" i="17" s="1"/>
  <c r="F45" i="17"/>
  <c r="J45" i="17" s="1"/>
  <c r="L45" i="17" s="1"/>
  <c r="G45" i="17"/>
  <c r="K45" i="17" s="1"/>
  <c r="M45" i="17" s="1"/>
  <c r="F46" i="17"/>
  <c r="G46" i="17"/>
  <c r="J46" i="17"/>
  <c r="L46" i="17" s="1"/>
  <c r="K46" i="17"/>
  <c r="M46" i="17" s="1"/>
  <c r="F47" i="17"/>
  <c r="G47" i="17"/>
  <c r="K47" i="17" s="1"/>
  <c r="M47" i="17" s="1"/>
  <c r="J47" i="17"/>
  <c r="L47" i="17"/>
  <c r="F48" i="17"/>
  <c r="J48" i="17" s="1"/>
  <c r="L48" i="17" s="1"/>
  <c r="G48" i="17"/>
  <c r="K48" i="17" s="1"/>
  <c r="M48" i="17" s="1"/>
  <c r="F49" i="17"/>
  <c r="J49" i="17" s="1"/>
  <c r="L49" i="17" s="1"/>
  <c r="G49" i="17"/>
  <c r="K49" i="17" s="1"/>
  <c r="M49" i="17" s="1"/>
  <c r="F50" i="17"/>
  <c r="G50" i="17"/>
  <c r="J50" i="17"/>
  <c r="L50" i="17" s="1"/>
  <c r="K50" i="17"/>
  <c r="M50" i="17" s="1"/>
  <c r="F51" i="17"/>
  <c r="G51" i="17"/>
  <c r="J51" i="17"/>
  <c r="K51" i="17"/>
  <c r="L51" i="17"/>
  <c r="M51" i="17"/>
  <c r="F52" i="17"/>
  <c r="J52" i="17" s="1"/>
  <c r="L52" i="17" s="1"/>
  <c r="G52" i="17"/>
  <c r="K52" i="17" s="1"/>
  <c r="M52" i="17" s="1"/>
  <c r="F53" i="17"/>
  <c r="J53" i="17" s="1"/>
  <c r="L53" i="17" s="1"/>
  <c r="G53" i="17"/>
  <c r="K53" i="17" s="1"/>
  <c r="M53" i="17" s="1"/>
  <c r="F54" i="17"/>
  <c r="J54" i="17" s="1"/>
  <c r="L54" i="17" s="1"/>
  <c r="G54" i="17"/>
  <c r="K54" i="17" s="1"/>
  <c r="M54" i="17" s="1"/>
  <c r="F55" i="17"/>
  <c r="G55" i="17"/>
  <c r="J55" i="17"/>
  <c r="L55" i="17" s="1"/>
  <c r="K55" i="17"/>
  <c r="M55" i="17" s="1"/>
  <c r="F56" i="17"/>
  <c r="G56" i="17"/>
  <c r="K56" i="17" s="1"/>
  <c r="M56" i="17" s="1"/>
  <c r="J56" i="17"/>
  <c r="L56" i="17"/>
  <c r="F57" i="17"/>
  <c r="J57" i="17" s="1"/>
  <c r="L57" i="17" s="1"/>
  <c r="G57" i="17"/>
  <c r="K57" i="17" s="1"/>
  <c r="M57" i="17" s="1"/>
  <c r="F58" i="17"/>
  <c r="J58" i="17" s="1"/>
  <c r="L58" i="17" s="1"/>
  <c r="G58" i="17"/>
  <c r="K58" i="17" s="1"/>
  <c r="M58" i="17" s="1"/>
  <c r="F59" i="17"/>
  <c r="G59" i="17"/>
  <c r="J59" i="17"/>
  <c r="L59" i="17" s="1"/>
  <c r="K59" i="17"/>
  <c r="M59" i="17" s="1"/>
  <c r="F60" i="17"/>
  <c r="G60" i="17"/>
  <c r="J60" i="17"/>
  <c r="K60" i="17"/>
  <c r="L60" i="17"/>
  <c r="M60" i="17"/>
  <c r="F61" i="17"/>
  <c r="J61" i="17" s="1"/>
  <c r="L61" i="17" s="1"/>
  <c r="G61" i="17"/>
  <c r="K61" i="17" s="1"/>
  <c r="M61" i="17" s="1"/>
  <c r="F62" i="17"/>
  <c r="J62" i="17" s="1"/>
  <c r="L62" i="17" s="1"/>
  <c r="G62" i="17"/>
  <c r="K62" i="17" s="1"/>
  <c r="M62" i="17" s="1"/>
  <c r="F63" i="17"/>
  <c r="G63" i="17"/>
  <c r="J63" i="17"/>
  <c r="L63" i="17" s="1"/>
  <c r="K63" i="17"/>
  <c r="M63" i="17" s="1"/>
  <c r="F64" i="17"/>
  <c r="G64" i="17"/>
  <c r="J64" i="17"/>
  <c r="K64" i="17"/>
  <c r="L64" i="17"/>
  <c r="M64" i="17"/>
  <c r="F65" i="17"/>
  <c r="G65" i="17"/>
  <c r="J65" i="17"/>
  <c r="K65" i="17"/>
  <c r="L65" i="17"/>
  <c r="M65" i="17"/>
  <c r="F66" i="17"/>
  <c r="J66" i="17" s="1"/>
  <c r="L66" i="17" s="1"/>
  <c r="G66" i="17"/>
  <c r="K66" i="17" s="1"/>
  <c r="M66" i="17" s="1"/>
  <c r="F67" i="17"/>
  <c r="J67" i="17" s="1"/>
  <c r="L67" i="17" s="1"/>
  <c r="G67" i="17"/>
  <c r="K67" i="17" s="1"/>
  <c r="M67" i="17" s="1"/>
  <c r="F68" i="17"/>
  <c r="G68" i="17"/>
  <c r="J68" i="17"/>
  <c r="L68" i="17" s="1"/>
  <c r="K68" i="17"/>
  <c r="M68" i="17" s="1"/>
  <c r="F69" i="17"/>
  <c r="G69" i="17"/>
  <c r="J69" i="17"/>
  <c r="K69" i="17"/>
  <c r="L69" i="17"/>
  <c r="M69" i="17"/>
  <c r="F70" i="17"/>
  <c r="J70" i="17" s="1"/>
  <c r="L70" i="17" s="1"/>
  <c r="G70" i="17"/>
  <c r="K70" i="17"/>
  <c r="M70" i="17" s="1"/>
  <c r="F71" i="17"/>
  <c r="J71" i="17" s="1"/>
  <c r="L71" i="17" s="1"/>
  <c r="G71" i="17"/>
  <c r="K71" i="17" s="1"/>
  <c r="M71" i="17" s="1"/>
  <c r="F72" i="17"/>
  <c r="G72" i="17"/>
  <c r="J72" i="17"/>
  <c r="L72" i="17" s="1"/>
  <c r="K72" i="17"/>
  <c r="M72" i="17" s="1"/>
  <c r="F73" i="17"/>
  <c r="G73" i="17"/>
  <c r="K73" i="17" s="1"/>
  <c r="M73" i="17" s="1"/>
  <c r="J73" i="17"/>
  <c r="L73" i="17"/>
  <c r="F74" i="17"/>
  <c r="J74" i="17" s="1"/>
  <c r="L74" i="17" s="1"/>
  <c r="G74" i="17"/>
  <c r="K74" i="17"/>
  <c r="M74" i="17" s="1"/>
  <c r="F75" i="17"/>
  <c r="J75" i="17" s="1"/>
  <c r="L75" i="17" s="1"/>
  <c r="G75" i="17"/>
  <c r="K75" i="17" s="1"/>
  <c r="M75" i="17" s="1"/>
  <c r="F76" i="17"/>
  <c r="G76" i="17"/>
  <c r="J76" i="17"/>
  <c r="L76" i="17" s="1"/>
  <c r="K76" i="17"/>
  <c r="M76" i="17" s="1"/>
  <c r="F77" i="17"/>
  <c r="G77" i="17"/>
  <c r="J77" i="17"/>
  <c r="L77" i="17" s="1"/>
  <c r="K77" i="17"/>
  <c r="M77" i="17" s="1"/>
  <c r="F78" i="17"/>
  <c r="G78" i="17"/>
  <c r="K78" i="17" s="1"/>
  <c r="M78" i="17" s="1"/>
  <c r="J78" i="17"/>
  <c r="L78" i="17"/>
  <c r="F79" i="17"/>
  <c r="J79" i="17" s="1"/>
  <c r="L79" i="17" s="1"/>
  <c r="G79" i="17"/>
  <c r="K79" i="17"/>
  <c r="M79" i="17" s="1"/>
  <c r="F80" i="17"/>
  <c r="J80" i="17" s="1"/>
  <c r="L80" i="17" s="1"/>
  <c r="G80" i="17"/>
  <c r="K80" i="17" s="1"/>
  <c r="M80" i="17" s="1"/>
  <c r="F81" i="17"/>
  <c r="G81" i="17"/>
  <c r="J81" i="17"/>
  <c r="L81" i="17" s="1"/>
  <c r="K81" i="17"/>
  <c r="M81" i="17" s="1"/>
  <c r="F82" i="17"/>
  <c r="G82" i="17"/>
  <c r="K82" i="17" s="1"/>
  <c r="M82" i="17" s="1"/>
  <c r="J82" i="17"/>
  <c r="L82" i="17"/>
  <c r="F83" i="17"/>
  <c r="J83" i="17" s="1"/>
  <c r="L83" i="17" s="1"/>
  <c r="G83" i="17"/>
  <c r="K83" i="17"/>
  <c r="M83" i="17" s="1"/>
  <c r="F84" i="17"/>
  <c r="J84" i="17" s="1"/>
  <c r="L84" i="17" s="1"/>
  <c r="G84" i="17"/>
  <c r="K84" i="17" s="1"/>
  <c r="M84" i="17" s="1"/>
  <c r="F85" i="17"/>
  <c r="G85" i="17"/>
  <c r="J85" i="17"/>
  <c r="L85" i="17" s="1"/>
  <c r="K85" i="17"/>
  <c r="M85" i="17" s="1"/>
  <c r="F86" i="17"/>
  <c r="G86" i="17"/>
  <c r="K86" i="17" s="1"/>
  <c r="M86" i="17" s="1"/>
  <c r="J86" i="17"/>
  <c r="L86" i="17"/>
  <c r="F87" i="17"/>
  <c r="J87" i="17" s="1"/>
  <c r="L87" i="17" s="1"/>
  <c r="G87" i="17"/>
  <c r="K87" i="17"/>
  <c r="M87" i="17" s="1"/>
  <c r="F88" i="17"/>
  <c r="J88" i="17" s="1"/>
  <c r="L88" i="17" s="1"/>
  <c r="G88" i="17"/>
  <c r="K88" i="17" s="1"/>
  <c r="M88" i="17" s="1"/>
  <c r="F89" i="17"/>
  <c r="J89" i="17" s="1"/>
  <c r="L89" i="17" s="1"/>
  <c r="G89" i="17"/>
  <c r="K89" i="17" s="1"/>
  <c r="M89" i="17" s="1"/>
  <c r="F90" i="17"/>
  <c r="G90" i="17"/>
  <c r="J90" i="17"/>
  <c r="L90" i="17" s="1"/>
  <c r="K90" i="17"/>
  <c r="M90" i="17" s="1"/>
  <c r="F91" i="17"/>
  <c r="G91" i="17"/>
  <c r="J91" i="17"/>
  <c r="K91" i="17"/>
  <c r="L91" i="17"/>
  <c r="M91" i="17"/>
  <c r="F92" i="17"/>
  <c r="J92" i="17" s="1"/>
  <c r="L92" i="17" s="1"/>
  <c r="G92" i="17"/>
  <c r="K92" i="17" s="1"/>
  <c r="M92" i="17" s="1"/>
  <c r="F93" i="17"/>
  <c r="J93" i="17" s="1"/>
  <c r="L93" i="17" s="1"/>
  <c r="G93" i="17"/>
  <c r="K93" i="17" s="1"/>
  <c r="M93" i="17" s="1"/>
  <c r="F94" i="17"/>
  <c r="G94" i="17"/>
  <c r="J94" i="17"/>
  <c r="L94" i="17" s="1"/>
  <c r="K94" i="17"/>
  <c r="M94" i="17" s="1"/>
  <c r="F95" i="17"/>
  <c r="G95" i="17"/>
  <c r="J95" i="17"/>
  <c r="K95" i="17"/>
  <c r="L95" i="17"/>
  <c r="M95" i="17"/>
  <c r="F96" i="17"/>
  <c r="J96" i="17" s="1"/>
  <c r="L96" i="17" s="1"/>
  <c r="G96" i="17"/>
  <c r="K96" i="17" s="1"/>
  <c r="M96" i="17" s="1"/>
  <c r="F97" i="17"/>
  <c r="J97" i="17" s="1"/>
  <c r="L97" i="17" s="1"/>
  <c r="G97" i="17"/>
  <c r="K97" i="17" s="1"/>
  <c r="M97" i="17" s="1"/>
  <c r="F98" i="17"/>
  <c r="G98" i="17"/>
  <c r="J98" i="17"/>
  <c r="L98" i="17" s="1"/>
  <c r="K98" i="17"/>
  <c r="M98" i="17" s="1"/>
  <c r="F99" i="17"/>
  <c r="G99" i="17"/>
  <c r="J99" i="17"/>
  <c r="K99" i="17"/>
  <c r="L99" i="17"/>
  <c r="M99" i="17"/>
  <c r="F100" i="17"/>
  <c r="J100" i="17" s="1"/>
  <c r="L100" i="17" s="1"/>
  <c r="G100" i="17"/>
  <c r="K100" i="17" s="1"/>
  <c r="M100" i="17" s="1"/>
  <c r="F101" i="17"/>
  <c r="J101" i="17" s="1"/>
  <c r="L101" i="17" s="1"/>
  <c r="N112" i="17" s="1"/>
  <c r="G101" i="17"/>
  <c r="K101" i="17" s="1"/>
  <c r="M101" i="17" s="1"/>
  <c r="F102" i="17"/>
  <c r="J102" i="17" s="1"/>
  <c r="L102" i="17" s="1"/>
  <c r="G102" i="17"/>
  <c r="K102" i="17" s="1"/>
  <c r="M102" i="17" s="1"/>
  <c r="F103" i="17"/>
  <c r="G103" i="17"/>
  <c r="J103" i="17"/>
  <c r="L103" i="17" s="1"/>
  <c r="K103" i="17"/>
  <c r="M103" i="17" s="1"/>
  <c r="F104" i="17"/>
  <c r="G104" i="17"/>
  <c r="J104" i="17"/>
  <c r="K104" i="17"/>
  <c r="L104" i="17"/>
  <c r="M104" i="17"/>
  <c r="F105" i="17"/>
  <c r="J105" i="17" s="1"/>
  <c r="L105" i="17" s="1"/>
  <c r="G105" i="17"/>
  <c r="K105" i="17" s="1"/>
  <c r="M105" i="17" s="1"/>
  <c r="F106" i="17"/>
  <c r="J106" i="17" s="1"/>
  <c r="L106" i="17" s="1"/>
  <c r="G106" i="17"/>
  <c r="K106" i="17" s="1"/>
  <c r="M106" i="17" s="1"/>
  <c r="F107" i="17"/>
  <c r="G107" i="17"/>
  <c r="J107" i="17"/>
  <c r="L107" i="17" s="1"/>
  <c r="K107" i="17"/>
  <c r="M107" i="17" s="1"/>
  <c r="F108" i="17"/>
  <c r="G108" i="17"/>
  <c r="J108" i="17"/>
  <c r="K108" i="17"/>
  <c r="L108" i="17"/>
  <c r="M108" i="17"/>
  <c r="F109" i="17"/>
  <c r="J109" i="17" s="1"/>
  <c r="L109" i="17" s="1"/>
  <c r="G109" i="17"/>
  <c r="K109" i="17" s="1"/>
  <c r="M109" i="17" s="1"/>
  <c r="F110" i="17"/>
  <c r="J110" i="17" s="1"/>
  <c r="L110" i="17" s="1"/>
  <c r="G110" i="17"/>
  <c r="K110" i="17" s="1"/>
  <c r="M110" i="17" s="1"/>
  <c r="F111" i="17"/>
  <c r="G111" i="17"/>
  <c r="J111" i="17"/>
  <c r="L111" i="17" s="1"/>
  <c r="K111" i="17"/>
  <c r="M111" i="17" s="1"/>
  <c r="F112" i="17"/>
  <c r="G112" i="17"/>
  <c r="K112" i="17" s="1"/>
  <c r="M112" i="17" s="1"/>
  <c r="J112" i="17"/>
  <c r="L112" i="17"/>
  <c r="F73" i="19" l="1"/>
  <c r="F77" i="19" s="1"/>
  <c r="O100" i="17"/>
  <c r="N100" i="17"/>
  <c r="O64" i="17"/>
  <c r="O52" i="17"/>
  <c r="N64" i="17"/>
  <c r="N52" i="17"/>
  <c r="O40" i="17"/>
  <c r="N40" i="17"/>
  <c r="O88" i="17"/>
  <c r="O76" i="17"/>
  <c r="O16" i="17"/>
  <c r="O112" i="17"/>
  <c r="N88" i="17"/>
  <c r="N76" i="17"/>
  <c r="O28" i="17"/>
  <c r="N16" i="17"/>
  <c r="E21" i="1" l="1"/>
  <c r="D21" i="1"/>
  <c r="H6" i="16" l="1"/>
  <c r="H9" i="16"/>
  <c r="H11" i="16"/>
  <c r="H10" i="16"/>
  <c r="H13" i="16"/>
  <c r="H12" i="16"/>
  <c r="H16" i="16"/>
  <c r="H17" i="16"/>
  <c r="G6" i="16"/>
  <c r="G14" i="16"/>
  <c r="G15" i="16"/>
  <c r="G16" i="16"/>
  <c r="G12" i="16"/>
  <c r="G13" i="16"/>
  <c r="G9" i="16"/>
  <c r="G10" i="16"/>
  <c r="G8" i="16"/>
  <c r="F9" i="16"/>
  <c r="F6" i="16"/>
  <c r="F7" i="16"/>
  <c r="F10" i="16"/>
  <c r="F12" i="16"/>
  <c r="F13" i="16"/>
  <c r="F17" i="16"/>
  <c r="D17" i="16"/>
  <c r="D12" i="16"/>
  <c r="D9" i="16"/>
  <c r="E9" i="16"/>
  <c r="E17" i="16"/>
  <c r="E16" i="16"/>
  <c r="E15" i="16"/>
  <c r="E14" i="16"/>
  <c r="E13" i="16"/>
  <c r="E12" i="16"/>
  <c r="E6" i="16"/>
  <c r="E11" i="16"/>
  <c r="E10" i="16"/>
  <c r="D10" i="16"/>
  <c r="D11" i="16"/>
  <c r="C7" i="16"/>
  <c r="C10" i="16"/>
  <c r="C6" i="16"/>
  <c r="D18" i="16" l="1"/>
  <c r="E18" i="16"/>
  <c r="F18" i="16"/>
  <c r="G18" i="16"/>
  <c r="H18" i="16"/>
  <c r="C18" i="16"/>
  <c r="J9" i="14" l="1"/>
  <c r="H9" i="14"/>
  <c r="F9" i="14"/>
  <c r="J8" i="14"/>
  <c r="H8" i="14"/>
  <c r="F8" i="14"/>
  <c r="C21" i="14" l="1"/>
  <c r="C23" i="14" s="1"/>
  <c r="C25" i="14" s="1"/>
  <c r="C11" i="14" s="1"/>
  <c r="D21" i="14"/>
  <c r="D23" i="14" s="1"/>
  <c r="D25" i="14" s="1"/>
  <c r="D11" i="14" s="1"/>
  <c r="E21" i="14"/>
  <c r="E23" i="14" s="1"/>
  <c r="E25" i="14" s="1"/>
  <c r="E11" i="14" s="1"/>
  <c r="F21" i="14"/>
  <c r="F23" i="14" s="1"/>
  <c r="F25" i="14" s="1"/>
  <c r="F11" i="14" s="1"/>
  <c r="G21" i="14"/>
  <c r="G23" i="14" s="1"/>
  <c r="G25" i="14" s="1"/>
  <c r="G11" i="14" s="1"/>
  <c r="H21" i="14"/>
  <c r="H23" i="14" s="1"/>
  <c r="H25" i="14" s="1"/>
  <c r="H11" i="14" s="1"/>
  <c r="I21" i="14"/>
  <c r="I23" i="14" s="1"/>
  <c r="I25" i="14" s="1"/>
  <c r="I11" i="14" s="1"/>
  <c r="J21" i="14"/>
  <c r="J23" i="14" s="1"/>
  <c r="J25" i="14" s="1"/>
  <c r="J11" i="14" s="1"/>
  <c r="K21" i="14"/>
  <c r="K23" i="14" s="1"/>
  <c r="K25" i="14" s="1"/>
  <c r="K11" i="14" s="1"/>
  <c r="L21" i="14"/>
  <c r="L23" i="14" s="1"/>
  <c r="L25" i="14" s="1"/>
  <c r="L11" i="14" s="1"/>
  <c r="B21" i="14"/>
  <c r="B23" i="14" s="1"/>
  <c r="B25" i="14" s="1"/>
  <c r="B11" i="14" s="1"/>
  <c r="J10" i="14"/>
  <c r="H10" i="14"/>
  <c r="F10" i="14"/>
  <c r="L10" i="14"/>
  <c r="K10" i="14"/>
  <c r="I10" i="14"/>
  <c r="G10" i="14"/>
  <c r="E10" i="14"/>
  <c r="D10" i="14"/>
  <c r="D12" i="14" s="1"/>
  <c r="C10" i="14"/>
  <c r="B10" i="14"/>
  <c r="J10" i="13"/>
  <c r="H10" i="13"/>
  <c r="J16" i="13"/>
  <c r="H16" i="13"/>
  <c r="J19" i="13"/>
  <c r="H19" i="13"/>
  <c r="J14" i="13"/>
  <c r="H14" i="13"/>
  <c r="H15" i="13" s="1"/>
  <c r="H18" i="13" s="1"/>
  <c r="F14" i="13"/>
  <c r="J13" i="13"/>
  <c r="H13" i="13"/>
  <c r="F13" i="13"/>
  <c r="F15" i="13" s="1"/>
  <c r="F18" i="13" s="1"/>
  <c r="J12" i="13"/>
  <c r="H12" i="13"/>
  <c r="F12" i="13"/>
  <c r="H9" i="13"/>
  <c r="J8" i="13"/>
  <c r="J9" i="13" s="1"/>
  <c r="H8" i="13"/>
  <c r="F9" i="13"/>
  <c r="F8" i="13"/>
  <c r="J7" i="13"/>
  <c r="H7" i="13"/>
  <c r="F7" i="13"/>
  <c r="L19" i="13"/>
  <c r="K19" i="13"/>
  <c r="I19" i="13"/>
  <c r="G19" i="13"/>
  <c r="E19" i="13"/>
  <c r="D19" i="13"/>
  <c r="C19" i="13"/>
  <c r="C18" i="13"/>
  <c r="D18" i="13"/>
  <c r="E18" i="13"/>
  <c r="G18" i="13"/>
  <c r="I18" i="13"/>
  <c r="K18" i="13"/>
  <c r="L18" i="13"/>
  <c r="B18" i="13"/>
  <c r="L17" i="13"/>
  <c r="K17" i="13"/>
  <c r="L16" i="13"/>
  <c r="K16" i="13"/>
  <c r="I16" i="13"/>
  <c r="G16" i="13"/>
  <c r="E16" i="13"/>
  <c r="D16" i="13"/>
  <c r="C16" i="13"/>
  <c r="C15" i="13"/>
  <c r="D15" i="13"/>
  <c r="E15" i="13"/>
  <c r="G15" i="13"/>
  <c r="I15" i="13"/>
  <c r="K15" i="13"/>
  <c r="L15" i="13"/>
  <c r="B15" i="13"/>
  <c r="L11" i="13"/>
  <c r="K11" i="13"/>
  <c r="D10" i="13"/>
  <c r="E10" i="13"/>
  <c r="G10" i="13"/>
  <c r="I10" i="13"/>
  <c r="K10" i="13"/>
  <c r="L10" i="13"/>
  <c r="C10" i="13"/>
  <c r="C9" i="13"/>
  <c r="D9" i="13"/>
  <c r="E9" i="13"/>
  <c r="G9" i="13"/>
  <c r="I9" i="13"/>
  <c r="K9" i="13"/>
  <c r="L9" i="13"/>
  <c r="B9" i="13"/>
  <c r="I12" i="14" l="1"/>
  <c r="K12" i="14"/>
  <c r="L12" i="14"/>
  <c r="C12" i="14"/>
  <c r="J12" i="14"/>
  <c r="F12" i="14"/>
  <c r="H12" i="14"/>
  <c r="E12" i="14"/>
  <c r="G12" i="14"/>
  <c r="B12" i="14"/>
  <c r="J15" i="13"/>
  <c r="J18" i="13"/>
  <c r="Q28" i="11"/>
  <c r="Q27" i="11"/>
  <c r="K21" i="11" l="1"/>
  <c r="O19" i="11"/>
  <c r="O20" i="11"/>
  <c r="O21" i="11"/>
  <c r="O22" i="11"/>
  <c r="O28" i="11"/>
  <c r="O27" i="11"/>
  <c r="O26" i="11"/>
  <c r="O25" i="11"/>
  <c r="O24" i="11"/>
  <c r="O23" i="11"/>
  <c r="I28" i="11" l="1"/>
  <c r="F28" i="11"/>
  <c r="D28" i="11"/>
  <c r="I27" i="11"/>
  <c r="F27" i="11"/>
  <c r="D27" i="11"/>
  <c r="B124" i="1" l="1"/>
  <c r="B125" i="1"/>
  <c r="B123" i="1"/>
  <c r="B122" i="1"/>
  <c r="B108" i="1"/>
  <c r="B21" i="1"/>
  <c r="B9" i="1"/>
  <c r="B35" i="1"/>
  <c r="B97" i="1"/>
  <c r="B98" i="1"/>
  <c r="B20" i="1"/>
  <c r="B19" i="1"/>
  <c r="B18" i="1"/>
  <c r="B43" i="1"/>
  <c r="B17" i="1"/>
  <c r="B16" i="1"/>
  <c r="B36" i="1"/>
  <c r="B39" i="1"/>
  <c r="B38" i="1"/>
  <c r="B37" i="1"/>
  <c r="B42" i="1"/>
  <c r="B41" i="1"/>
  <c r="B40" i="1"/>
  <c r="C128" i="1"/>
  <c r="C127" i="1"/>
  <c r="C120" i="1"/>
  <c r="C125" i="1"/>
  <c r="C122" i="1"/>
  <c r="C108" i="1"/>
  <c r="C119" i="1"/>
  <c r="C97" i="1"/>
  <c r="C35" i="1"/>
  <c r="C14" i="1"/>
  <c r="C61" i="1"/>
  <c r="C60" i="1"/>
  <c r="C59" i="1"/>
  <c r="C58" i="1"/>
  <c r="C57" i="1"/>
  <c r="C56" i="1"/>
  <c r="C55" i="1"/>
  <c r="C47" i="1"/>
  <c r="C48" i="1"/>
  <c r="C49" i="1"/>
  <c r="C50" i="1"/>
  <c r="C9" i="1"/>
  <c r="C11" i="1"/>
  <c r="C13" i="1"/>
  <c r="C54" i="1"/>
  <c r="C53" i="1"/>
  <c r="C52" i="1" l="1"/>
  <c r="C12" i="1"/>
  <c r="C101" i="1"/>
  <c r="C103" i="1"/>
  <c r="C10" i="1"/>
  <c r="C102" i="1"/>
  <c r="C100" i="1"/>
  <c r="C46" i="1"/>
  <c r="C45" i="1"/>
  <c r="C73" i="1"/>
  <c r="E37" i="10" l="1"/>
  <c r="D37" i="10"/>
  <c r="C37" i="10"/>
  <c r="E36" i="10"/>
  <c r="D36" i="10"/>
  <c r="C36" i="10"/>
  <c r="C136" i="1" l="1"/>
  <c r="C105" i="1"/>
  <c r="C93" i="1"/>
  <c r="C33" i="1"/>
  <c r="C137" i="1" l="1"/>
  <c r="B67" i="6"/>
  <c r="B52" i="6"/>
  <c r="B47" i="6"/>
  <c r="B37" i="6"/>
  <c r="B23" i="6"/>
  <c r="B69" i="6" s="1"/>
  <c r="C67" i="6"/>
  <c r="C52" i="6"/>
  <c r="C47" i="6"/>
  <c r="C37" i="6"/>
  <c r="C23" i="6"/>
  <c r="D67" i="6"/>
  <c r="D60" i="6"/>
  <c r="D52" i="6"/>
  <c r="D47" i="6"/>
  <c r="D37" i="6"/>
  <c r="D23" i="6"/>
  <c r="D69" i="6" s="1"/>
  <c r="C69" i="6" l="1"/>
  <c r="P60" i="9" l="1"/>
  <c r="P62" i="9" s="1"/>
  <c r="P63" i="9" s="1"/>
  <c r="P40" i="9"/>
  <c r="P42" i="9" s="1"/>
  <c r="P43" i="9" s="1"/>
  <c r="P23" i="9"/>
  <c r="P22" i="9"/>
  <c r="H58" i="9" l="1"/>
  <c r="G58" i="9"/>
  <c r="F58" i="9"/>
  <c r="E58" i="9"/>
  <c r="J57" i="9"/>
  <c r="K57" i="9" s="1"/>
  <c r="M57" i="9" s="1"/>
  <c r="K56" i="9"/>
  <c r="M56" i="9" s="1"/>
  <c r="J56" i="9"/>
  <c r="J55" i="9"/>
  <c r="K55" i="9" s="1"/>
  <c r="M55" i="9" s="1"/>
  <c r="K54" i="9"/>
  <c r="M54" i="9" s="1"/>
  <c r="J54" i="9"/>
  <c r="M53" i="9"/>
  <c r="K53" i="9"/>
  <c r="J53" i="9"/>
  <c r="K52" i="9"/>
  <c r="M52" i="9" s="1"/>
  <c r="J52" i="9"/>
  <c r="J51" i="9"/>
  <c r="K51" i="9" s="1"/>
  <c r="M51" i="9" s="1"/>
  <c r="J50" i="9"/>
  <c r="K50" i="9" s="1"/>
  <c r="M50" i="9" s="1"/>
  <c r="J49" i="9"/>
  <c r="K49" i="9" s="1"/>
  <c r="M49" i="9" s="1"/>
  <c r="K48" i="9"/>
  <c r="M48" i="9" s="1"/>
  <c r="J48" i="9"/>
  <c r="J47" i="9"/>
  <c r="J58" i="9" s="1"/>
  <c r="H38" i="9"/>
  <c r="G38" i="9"/>
  <c r="F38" i="9"/>
  <c r="E38" i="9"/>
  <c r="J37" i="9"/>
  <c r="K37" i="9" s="1"/>
  <c r="M37" i="9" s="1"/>
  <c r="J36" i="9"/>
  <c r="K36" i="9" s="1"/>
  <c r="M36" i="9" s="1"/>
  <c r="J35" i="9"/>
  <c r="K35" i="9" s="1"/>
  <c r="M35" i="9" s="1"/>
  <c r="J34" i="9"/>
  <c r="K34" i="9" s="1"/>
  <c r="M34" i="9" s="1"/>
  <c r="J33" i="9"/>
  <c r="K33" i="9" s="1"/>
  <c r="M33" i="9" s="1"/>
  <c r="J32" i="9"/>
  <c r="K32" i="9" s="1"/>
  <c r="M32" i="9" s="1"/>
  <c r="J31" i="9"/>
  <c r="K31" i="9" s="1"/>
  <c r="M31" i="9" s="1"/>
  <c r="J30" i="9"/>
  <c r="K30" i="9" s="1"/>
  <c r="M30" i="9" s="1"/>
  <c r="J29" i="9"/>
  <c r="K29" i="9" s="1"/>
  <c r="M29" i="9" s="1"/>
  <c r="J28" i="9"/>
  <c r="K28" i="9" s="1"/>
  <c r="M28" i="9" s="1"/>
  <c r="J27" i="9"/>
  <c r="K27" i="9" s="1"/>
  <c r="H18" i="9"/>
  <c r="G18" i="9"/>
  <c r="D18" i="9"/>
  <c r="C18" i="9"/>
  <c r="R17" i="9"/>
  <c r="D37" i="9" s="1"/>
  <c r="Q17" i="9"/>
  <c r="C37" i="9" s="1"/>
  <c r="Q37" i="9" s="1"/>
  <c r="C57" i="9" s="1"/>
  <c r="Q57" i="9" s="1"/>
  <c r="J17" i="9"/>
  <c r="K17" i="9" s="1"/>
  <c r="M17" i="9" s="1"/>
  <c r="I17" i="9"/>
  <c r="Q16" i="9"/>
  <c r="C36" i="9" s="1"/>
  <c r="P16" i="9"/>
  <c r="R16" i="9" s="1"/>
  <c r="O16" i="9"/>
  <c r="J16" i="9"/>
  <c r="K16" i="9" s="1"/>
  <c r="M16" i="9" s="1"/>
  <c r="I16" i="9"/>
  <c r="R15" i="9"/>
  <c r="D35" i="9" s="1"/>
  <c r="Q15" i="9"/>
  <c r="C35" i="9" s="1"/>
  <c r="P15" i="9"/>
  <c r="O15" i="9"/>
  <c r="J15" i="9"/>
  <c r="K15" i="9" s="1"/>
  <c r="M15" i="9" s="1"/>
  <c r="I15" i="9"/>
  <c r="R14" i="9"/>
  <c r="D34" i="9" s="1"/>
  <c r="P34" i="9" s="1"/>
  <c r="P14" i="9"/>
  <c r="O14" i="9"/>
  <c r="Q14" i="9" s="1"/>
  <c r="K14" i="9"/>
  <c r="M14" i="9" s="1"/>
  <c r="J14" i="9"/>
  <c r="I14" i="9"/>
  <c r="J13" i="9"/>
  <c r="I13" i="9"/>
  <c r="F13" i="9"/>
  <c r="K13" i="9" s="1"/>
  <c r="M13" i="9" s="1"/>
  <c r="E13" i="9"/>
  <c r="O12" i="9"/>
  <c r="Q12" i="9" s="1"/>
  <c r="C32" i="9" s="1"/>
  <c r="F12" i="9"/>
  <c r="E12" i="9"/>
  <c r="J12" i="9" s="1"/>
  <c r="K12" i="9" s="1"/>
  <c r="M12" i="9" s="1"/>
  <c r="E11" i="9"/>
  <c r="Q10" i="9"/>
  <c r="C30" i="9" s="1"/>
  <c r="P10" i="9"/>
  <c r="R10" i="9" s="1"/>
  <c r="O10" i="9"/>
  <c r="J10" i="9"/>
  <c r="K10" i="9" s="1"/>
  <c r="M10" i="9" s="1"/>
  <c r="I10" i="9"/>
  <c r="O9" i="9"/>
  <c r="J9" i="9"/>
  <c r="K9" i="9" s="1"/>
  <c r="M9" i="9" s="1"/>
  <c r="F9" i="9"/>
  <c r="E9" i="9"/>
  <c r="I9" i="9" s="1"/>
  <c r="P8" i="9"/>
  <c r="R8" i="9" s="1"/>
  <c r="O8" i="9"/>
  <c r="Q8" i="9" s="1"/>
  <c r="C28" i="9" s="1"/>
  <c r="J8" i="9"/>
  <c r="K8" i="9" s="1"/>
  <c r="M8" i="9" s="1"/>
  <c r="I8" i="9"/>
  <c r="F7" i="9"/>
  <c r="F18" i="9" s="1"/>
  <c r="E7" i="9"/>
  <c r="P7" i="9" s="1"/>
  <c r="O35" i="9" l="1"/>
  <c r="Q35" i="9" s="1"/>
  <c r="C55" i="9" s="1"/>
  <c r="M27" i="9"/>
  <c r="M38" i="9" s="1"/>
  <c r="K38" i="9"/>
  <c r="O32" i="9"/>
  <c r="Q32" i="9"/>
  <c r="C52" i="9" s="1"/>
  <c r="Q11" i="9"/>
  <c r="C31" i="9" s="1"/>
  <c r="O28" i="9"/>
  <c r="Q28" i="9" s="1"/>
  <c r="C48" i="9" s="1"/>
  <c r="I35" i="9"/>
  <c r="P35" i="9"/>
  <c r="R35" i="9" s="1"/>
  <c r="R37" i="9"/>
  <c r="I37" i="9"/>
  <c r="O36" i="9"/>
  <c r="Q36" i="9" s="1"/>
  <c r="C56" i="9" s="1"/>
  <c r="D36" i="9"/>
  <c r="S16" i="9"/>
  <c r="C34" i="9"/>
  <c r="S14" i="9"/>
  <c r="D28" i="9"/>
  <c r="S8" i="9"/>
  <c r="S10" i="9"/>
  <c r="D30" i="9"/>
  <c r="O30" i="9"/>
  <c r="Q30" i="9" s="1"/>
  <c r="C50" i="9" s="1"/>
  <c r="R34" i="9"/>
  <c r="J38" i="9"/>
  <c r="R7" i="9"/>
  <c r="I11" i="9"/>
  <c r="P12" i="9"/>
  <c r="S15" i="9"/>
  <c r="S17" i="9"/>
  <c r="I34" i="9"/>
  <c r="J11" i="9"/>
  <c r="K11" i="9" s="1"/>
  <c r="M11" i="9" s="1"/>
  <c r="J7" i="9"/>
  <c r="P9" i="9"/>
  <c r="P18" i="9" s="1"/>
  <c r="P20" i="9" s="1"/>
  <c r="R12" i="9"/>
  <c r="O13" i="9"/>
  <c r="I12" i="9"/>
  <c r="P13" i="9"/>
  <c r="R13" i="9" s="1"/>
  <c r="E18" i="9"/>
  <c r="I7" i="9"/>
  <c r="Q9" i="9"/>
  <c r="C29" i="9" s="1"/>
  <c r="O11" i="9"/>
  <c r="Q13" i="9"/>
  <c r="C33" i="9" s="1"/>
  <c r="K47" i="9"/>
  <c r="O7" i="9"/>
  <c r="O18" i="9" s="1"/>
  <c r="P11" i="9"/>
  <c r="R11" i="9" s="1"/>
  <c r="Q7" i="9"/>
  <c r="F9" i="8"/>
  <c r="E9" i="8"/>
  <c r="O55" i="9" l="1"/>
  <c r="Q55" i="9" s="1"/>
  <c r="D31" i="9"/>
  <c r="S11" i="9"/>
  <c r="O48" i="9"/>
  <c r="Q48" i="9" s="1"/>
  <c r="O50" i="9"/>
  <c r="Q50" i="9" s="1"/>
  <c r="O56" i="9"/>
  <c r="Q56" i="9" s="1"/>
  <c r="D55" i="9"/>
  <c r="S35" i="9"/>
  <c r="S13" i="9"/>
  <c r="D33" i="9"/>
  <c r="K7" i="9"/>
  <c r="J18" i="9"/>
  <c r="Q18" i="9"/>
  <c r="C27" i="9"/>
  <c r="O52" i="9"/>
  <c r="Q52" i="9" s="1"/>
  <c r="D54" i="9"/>
  <c r="O34" i="9"/>
  <c r="Q34" i="9" s="1"/>
  <c r="S7" i="9"/>
  <c r="D27" i="9"/>
  <c r="I18" i="9"/>
  <c r="O29" i="9"/>
  <c r="Q29" i="9" s="1"/>
  <c r="C49" i="9" s="1"/>
  <c r="I28" i="9"/>
  <c r="P28" i="9"/>
  <c r="R28" i="9" s="1"/>
  <c r="I36" i="9"/>
  <c r="P36" i="9"/>
  <c r="R36" i="9" s="1"/>
  <c r="O31" i="9"/>
  <c r="Q31" i="9" s="1"/>
  <c r="C51" i="9" s="1"/>
  <c r="O33" i="9"/>
  <c r="Q33" i="9" s="1"/>
  <c r="C53" i="9" s="1"/>
  <c r="I30" i="9"/>
  <c r="P30" i="9"/>
  <c r="R30" i="9" s="1"/>
  <c r="R9" i="9"/>
  <c r="R18" i="9" s="1"/>
  <c r="D57" i="9"/>
  <c r="S37" i="9"/>
  <c r="M47" i="9"/>
  <c r="M58" i="9" s="1"/>
  <c r="K58" i="9"/>
  <c r="D32" i="9"/>
  <c r="S12" i="9"/>
  <c r="E8" i="8"/>
  <c r="F8" i="8"/>
  <c r="O49" i="9" l="1"/>
  <c r="Q49" i="9" s="1"/>
  <c r="C54" i="9"/>
  <c r="S34" i="9"/>
  <c r="O53" i="9"/>
  <c r="Q53" i="9" s="1"/>
  <c r="O51" i="9"/>
  <c r="Q51" i="9" s="1"/>
  <c r="S28" i="9"/>
  <c r="D48" i="9"/>
  <c r="S36" i="9"/>
  <c r="D56" i="9"/>
  <c r="M7" i="9"/>
  <c r="M18" i="9" s="1"/>
  <c r="K18" i="9"/>
  <c r="I33" i="9"/>
  <c r="P33" i="9"/>
  <c r="R33" i="9" s="1"/>
  <c r="S30" i="9"/>
  <c r="D50" i="9"/>
  <c r="O27" i="9"/>
  <c r="O38" i="9" s="1"/>
  <c r="Q27" i="9"/>
  <c r="C38" i="9"/>
  <c r="I32" i="9"/>
  <c r="P32" i="9"/>
  <c r="R32" i="9" s="1"/>
  <c r="P54" i="9"/>
  <c r="R54" i="9" s="1"/>
  <c r="I54" i="9"/>
  <c r="R57" i="9"/>
  <c r="S57" i="9" s="1"/>
  <c r="I57" i="9"/>
  <c r="S9" i="9"/>
  <c r="S18" i="9" s="1"/>
  <c r="D29" i="9"/>
  <c r="I27" i="9"/>
  <c r="D38" i="9"/>
  <c r="P27" i="9"/>
  <c r="R27" i="9" s="1"/>
  <c r="I55" i="9"/>
  <c r="P55" i="9"/>
  <c r="R55" i="9" s="1"/>
  <c r="S55" i="9" s="1"/>
  <c r="P31" i="9"/>
  <c r="R31" i="9" s="1"/>
  <c r="I31" i="9"/>
  <c r="F7" i="8"/>
  <c r="E7" i="8"/>
  <c r="S27" i="9" l="1"/>
  <c r="D47" i="9"/>
  <c r="S33" i="9"/>
  <c r="D53" i="9"/>
  <c r="D51" i="9"/>
  <c r="S31" i="9"/>
  <c r="S32" i="9"/>
  <c r="D52" i="9"/>
  <c r="I50" i="9"/>
  <c r="P50" i="9"/>
  <c r="R50" i="9" s="1"/>
  <c r="S50" i="9" s="1"/>
  <c r="I56" i="9"/>
  <c r="P56" i="9"/>
  <c r="R56" i="9" s="1"/>
  <c r="S56" i="9" s="1"/>
  <c r="O54" i="9"/>
  <c r="Q54" i="9" s="1"/>
  <c r="S54" i="9" s="1"/>
  <c r="P38" i="9"/>
  <c r="I38" i="9"/>
  <c r="I48" i="9"/>
  <c r="P48" i="9"/>
  <c r="R48" i="9" s="1"/>
  <c r="S48" i="9" s="1"/>
  <c r="Q38" i="9"/>
  <c r="C47" i="9"/>
  <c r="P29" i="9"/>
  <c r="I29" i="9"/>
  <c r="R29" i="9"/>
  <c r="D30" i="7"/>
  <c r="D23" i="7"/>
  <c r="D18" i="7"/>
  <c r="D12" i="7"/>
  <c r="B30" i="7"/>
  <c r="B23" i="7"/>
  <c r="C23" i="7"/>
  <c r="B18" i="7"/>
  <c r="B12" i="7"/>
  <c r="P53" i="9" l="1"/>
  <c r="R53" i="9" s="1"/>
  <c r="S53" i="9" s="1"/>
  <c r="I53" i="9"/>
  <c r="S29" i="9"/>
  <c r="D49" i="9"/>
  <c r="I47" i="9"/>
  <c r="R47" i="9"/>
  <c r="D58" i="9"/>
  <c r="P47" i="9"/>
  <c r="P52" i="9"/>
  <c r="R52" i="9" s="1"/>
  <c r="S52" i="9" s="1"/>
  <c r="I52" i="9"/>
  <c r="S38" i="9"/>
  <c r="I51" i="9"/>
  <c r="P51" i="9"/>
  <c r="R51" i="9" s="1"/>
  <c r="S51" i="9" s="1"/>
  <c r="O47" i="9"/>
  <c r="O58" i="9" s="1"/>
  <c r="C58" i="9"/>
  <c r="R38" i="9"/>
  <c r="B31" i="7"/>
  <c r="D31" i="7"/>
  <c r="E18" i="7"/>
  <c r="C30" i="7"/>
  <c r="E12" i="7"/>
  <c r="E23" i="7"/>
  <c r="C12" i="7"/>
  <c r="E30" i="7"/>
  <c r="C18" i="7"/>
  <c r="C55" i="2"/>
  <c r="C23" i="2"/>
  <c r="B47" i="2"/>
  <c r="B55" i="2" s="1"/>
  <c r="C50" i="2"/>
  <c r="C11" i="2"/>
  <c r="C52" i="2"/>
  <c r="C9" i="2"/>
  <c r="C47" i="2"/>
  <c r="C53" i="2"/>
  <c r="B23" i="2"/>
  <c r="C12" i="2"/>
  <c r="C13" i="2"/>
  <c r="C14" i="2"/>
  <c r="C10" i="2"/>
  <c r="P49" i="9" l="1"/>
  <c r="R49" i="9" s="1"/>
  <c r="I49" i="9"/>
  <c r="I58" i="9" s="1"/>
  <c r="Q47" i="9"/>
  <c r="Q58" i="9" s="1"/>
  <c r="S47" i="9"/>
  <c r="C31" i="7"/>
  <c r="E31" i="7"/>
  <c r="E23" i="6"/>
  <c r="E52" i="6"/>
  <c r="E47" i="6"/>
  <c r="E37" i="6"/>
  <c r="S49" i="9" l="1"/>
  <c r="S58" i="9" s="1"/>
  <c r="R58" i="9"/>
  <c r="P58" i="9"/>
  <c r="E67" i="6"/>
  <c r="E69" i="6"/>
  <c r="T6" i="4"/>
  <c r="U6" i="4"/>
  <c r="T10" i="4"/>
  <c r="U10" i="4"/>
  <c r="T9" i="4"/>
  <c r="U9" i="4"/>
  <c r="T8" i="4"/>
  <c r="U8" i="4"/>
  <c r="T7" i="4"/>
  <c r="U7" i="4"/>
  <c r="C7" i="2" l="1"/>
  <c r="C8" i="2"/>
  <c r="D35" i="1" l="1"/>
  <c r="E35" i="1" s="1"/>
  <c r="E120" i="1"/>
  <c r="E119" i="1"/>
  <c r="E118" i="1"/>
  <c r="E117" i="1"/>
  <c r="E114" i="1"/>
  <c r="E113" i="1"/>
  <c r="E110" i="1"/>
  <c r="E95" i="1"/>
  <c r="D22" i="1"/>
  <c r="E22" i="1" s="1"/>
  <c r="E78" i="1"/>
  <c r="E86" i="1"/>
  <c r="E88" i="1"/>
  <c r="E25" i="1" l="1"/>
  <c r="D9" i="1"/>
  <c r="E9" i="1" s="1"/>
  <c r="E29" i="1"/>
  <c r="D96" i="1"/>
  <c r="D121" i="1"/>
  <c r="E121" i="1" s="1"/>
  <c r="D31" i="1"/>
  <c r="E31" i="1" s="1"/>
  <c r="D109" i="1"/>
  <c r="E109" i="1" s="1"/>
  <c r="D90" i="1"/>
  <c r="E90" i="1" s="1"/>
  <c r="D89" i="1"/>
  <c r="E89" i="1" s="1"/>
  <c r="D87" i="1"/>
  <c r="E87" i="1" s="1"/>
  <c r="D24" i="1"/>
  <c r="E24" i="1" s="1"/>
  <c r="D30" i="1"/>
  <c r="E30" i="1" s="1"/>
  <c r="D85" i="1"/>
  <c r="E85" i="1" s="1"/>
  <c r="D84" i="1"/>
  <c r="E84" i="1" s="1"/>
  <c r="D83" i="1"/>
  <c r="E83" i="1" s="1"/>
  <c r="D82" i="1"/>
  <c r="E82" i="1" s="1"/>
  <c r="D115" i="1"/>
  <c r="E115" i="1" s="1"/>
  <c r="D81" i="1"/>
  <c r="E81" i="1" s="1"/>
  <c r="D80" i="1"/>
  <c r="E80" i="1" s="1"/>
  <c r="D79" i="1"/>
  <c r="E79" i="1" s="1"/>
  <c r="D77" i="1"/>
  <c r="E77" i="1" s="1"/>
  <c r="D76" i="1"/>
  <c r="E76" i="1" s="1"/>
  <c r="D75" i="1"/>
  <c r="E75" i="1" s="1"/>
  <c r="D23" i="1"/>
  <c r="E23" i="1" s="1"/>
  <c r="D71" i="1"/>
  <c r="E71" i="1" s="1"/>
  <c r="D74" i="1"/>
  <c r="E74" i="1" s="1"/>
  <c r="D72" i="1"/>
  <c r="E72" i="1" s="1"/>
  <c r="D67" i="1"/>
  <c r="E67" i="1" s="1"/>
  <c r="D66" i="1"/>
  <c r="E66" i="1" s="1"/>
  <c r="D65" i="1"/>
  <c r="E65" i="1" s="1"/>
  <c r="D64" i="1"/>
  <c r="E64" i="1" s="1"/>
  <c r="D63" i="1"/>
  <c r="E63" i="1" s="1"/>
  <c r="D62" i="1"/>
  <c r="E62" i="1" s="1"/>
  <c r="D69" i="1"/>
  <c r="E69" i="1" s="1"/>
  <c r="D70" i="1"/>
  <c r="E70" i="1" s="1"/>
  <c r="D68" i="1"/>
  <c r="E68" i="1" s="1"/>
  <c r="D112" i="1"/>
  <c r="E112" i="1" s="1"/>
  <c r="D108" i="1"/>
  <c r="E108" i="1" s="1"/>
  <c r="D116" i="1"/>
  <c r="E116" i="1" s="1"/>
  <c r="D107" i="1"/>
  <c r="E107" i="1" s="1"/>
  <c r="B136" i="1"/>
  <c r="B105" i="1"/>
  <c r="B93" i="1"/>
  <c r="B33" i="1"/>
  <c r="E136" i="1" l="1"/>
  <c r="D105" i="1"/>
  <c r="E96" i="1"/>
  <c r="E105" i="1" s="1"/>
  <c r="E93" i="1"/>
  <c r="B137" i="1"/>
  <c r="E33" i="1"/>
  <c r="D33" i="1"/>
  <c r="D93" i="1"/>
  <c r="D136" i="1"/>
  <c r="E137" i="1" l="1"/>
  <c r="D137" i="1"/>
</calcChain>
</file>

<file path=xl/sharedStrings.xml><?xml version="1.0" encoding="utf-8"?>
<sst xmlns="http://schemas.openxmlformats.org/spreadsheetml/2006/main" count="1359" uniqueCount="658">
  <si>
    <t xml:space="preserve"> </t>
  </si>
  <si>
    <t>Account</t>
  </si>
  <si>
    <t>Total</t>
  </si>
  <si>
    <t>System Access</t>
  </si>
  <si>
    <t>New Services and Service Upgrades</t>
  </si>
  <si>
    <t xml:space="preserve">4 Semi-detached Single
 Storey Homes </t>
  </si>
  <si>
    <t>Roger Telecom Tower</t>
  </si>
  <si>
    <t>Pembroke Street West Upgrade (Phase 2)</t>
  </si>
  <si>
    <t>4-Plex at 759 Mary Street</t>
  </si>
  <si>
    <t>Golfview Subdivision</t>
  </si>
  <si>
    <t>143 Marshall Street</t>
  </si>
  <si>
    <t>Mississippi Mills Industrial Park Phase 3</t>
  </si>
  <si>
    <t>Sub-Total</t>
  </si>
  <si>
    <t>System Renewal</t>
  </si>
  <si>
    <t>Minor Capital Betterments</t>
  </si>
  <si>
    <t>Install New Tie Switches 4-4 TS 4-5 Coolidge Street</t>
  </si>
  <si>
    <t>Pole Replacement due to Fire on Pembroke SW at Blakely</t>
  </si>
  <si>
    <t>Pole Replacement due to Fire on Sussex at John</t>
  </si>
  <si>
    <t>Replace 45' Pole at481 Isabella Street</t>
  </si>
  <si>
    <t>Replace 2 40' Wood Poles with New 45'/3 Wood Poles</t>
  </si>
  <si>
    <t>Install 44kV Pole on Front Street at Alongquin Trail</t>
  </si>
  <si>
    <t>Pole and Transformer Upgrade at Beachburg Arena</t>
  </si>
  <si>
    <t>Stub Pole Relocation</t>
  </si>
  <si>
    <t>Replace 6 45' and 1 50' Pole on Mill Street Killaloe</t>
  </si>
  <si>
    <t>Pembroke Voltage Conversion</t>
  </si>
  <si>
    <t>System Service</t>
  </si>
  <si>
    <t>Battery</t>
  </si>
  <si>
    <t>General Plant</t>
  </si>
  <si>
    <t>Server</t>
  </si>
  <si>
    <t>Garage Fixtures, Paint and Blinds</t>
  </si>
  <si>
    <t>Patch Management Platform</t>
  </si>
  <si>
    <t>Elster Connexo Upgrade</t>
  </si>
  <si>
    <t>Engine Control Unit</t>
  </si>
  <si>
    <t>Tools, Shop and Garage Equipment</t>
  </si>
  <si>
    <t>Truck 8 and 31 Painting</t>
  </si>
  <si>
    <t>Credit Control Automation Platform</t>
  </si>
  <si>
    <t>Customer Information System Version Upgrade</t>
  </si>
  <si>
    <t>Postage Machine</t>
  </si>
  <si>
    <t>Folding Machine</t>
  </si>
  <si>
    <t>Ottawa River Power Corporation</t>
  </si>
  <si>
    <t>OEB Staff Interrogatory Response - 2-Staff-10</t>
  </si>
  <si>
    <t>Office Furniture and Equipment</t>
  </si>
  <si>
    <t>Measurement and Testing Equipment</t>
  </si>
  <si>
    <t>Set Poles for Bell Canada</t>
  </si>
  <si>
    <t>Replace Pole at 299 Boundary Road E due to Fire</t>
  </si>
  <si>
    <t>Nelson Street Pole</t>
  </si>
  <si>
    <t>Prince Street - Pole Replacement</t>
  </si>
  <si>
    <t>Greenside Street - Pole Replacement</t>
  </si>
  <si>
    <t>Boundary Road West - Pole Replacement</t>
  </si>
  <si>
    <t>Douglas and Lea Street - Pole Replacement</t>
  </si>
  <si>
    <t>518 McGee Street - Pole Replacement</t>
  </si>
  <si>
    <t>Alfred Street - Pole Replacement</t>
  </si>
  <si>
    <t>Everett Street - Pole Replacement</t>
  </si>
  <si>
    <t>Boundary and Elgin Street - Pole Replacement</t>
  </si>
  <si>
    <t>468 Almira Street - Pole Replacement</t>
  </si>
  <si>
    <t>556 Almira Street - Pole Replacement</t>
  </si>
  <si>
    <t>27 Elm Street - Killaloe</t>
  </si>
  <si>
    <t>Hannah Street - Beachburg</t>
  </si>
  <si>
    <t>Crandall Avenue - Underground Conductor Upgrade</t>
  </si>
  <si>
    <t>Pole 382 - Pole Replacement</t>
  </si>
  <si>
    <t>182 Morris Street - Pole Replacement</t>
  </si>
  <si>
    <t>608 McGee Street - Pole Replacement</t>
  </si>
  <si>
    <t>Bridge Street - Overhead Conductor Upgrade</t>
  </si>
  <si>
    <t>Town of Mississippi Mills - Construct OH Line and Transf.</t>
  </si>
  <si>
    <t>Pembroke Office Window Replacements</t>
  </si>
  <si>
    <t>Road Construction to Access Pembroke Substation</t>
  </si>
  <si>
    <t>Re-Insulate and Adjust Sag on Feeder 6-2</t>
  </si>
  <si>
    <t>Actual to November 30 2021 + Projection to December 31 2021</t>
  </si>
  <si>
    <t>Actual to November 30 2021</t>
  </si>
  <si>
    <t>Scada System Upgrade</t>
  </si>
  <si>
    <t>OEB Staff Interrogatory Response - 2-Staff-12</t>
  </si>
  <si>
    <t>Submitted in ICM for rates effective May 1st, 2019</t>
  </si>
  <si>
    <t>Final Actuals</t>
  </si>
  <si>
    <t>Sale Price</t>
  </si>
  <si>
    <t>Legal</t>
  </si>
  <si>
    <t>Electrical Engineering</t>
  </si>
  <si>
    <t>Grounding</t>
  </si>
  <si>
    <t>Protection Study</t>
  </si>
  <si>
    <t>Environmental Screening</t>
  </si>
  <si>
    <t>Geotechnical Investigation</t>
  </si>
  <si>
    <t>Project Management</t>
  </si>
  <si>
    <t>Power Transformer 5 MVA</t>
  </si>
  <si>
    <t>Station Reclosures (3)</t>
  </si>
  <si>
    <t>44 kV PM Switches/Fuses</t>
  </si>
  <si>
    <t>Prefab Control Shack w/ pad</t>
  </si>
  <si>
    <t>Station Service</t>
  </si>
  <si>
    <t>44 kV Cables/Terminators</t>
  </si>
  <si>
    <t>15 kV 500 MCM Cables/Terminators</t>
  </si>
  <si>
    <t>Solid Blade Riser Switches</t>
  </si>
  <si>
    <t>Scada RTU</t>
  </si>
  <si>
    <t>Construction Power</t>
  </si>
  <si>
    <t>Clearing, Grubbing, Grading</t>
  </si>
  <si>
    <t>Road Entrance</t>
  </si>
  <si>
    <t>Oil Containment</t>
  </si>
  <si>
    <t>Duct Banks</t>
  </si>
  <si>
    <t>Concrete Foundations</t>
  </si>
  <si>
    <t>Fence and Stone</t>
  </si>
  <si>
    <t>44 kV Dip Pole</t>
  </si>
  <si>
    <t>44 kV Riser Poles</t>
  </si>
  <si>
    <t>Installation of Transformers</t>
  </si>
  <si>
    <t>Installation of Reclosures</t>
  </si>
  <si>
    <t>Power and Control Cabling</t>
  </si>
  <si>
    <t>Station Service Panel</t>
  </si>
  <si>
    <t>Commissioning</t>
  </si>
  <si>
    <t>Mobilization, bonding, insurance</t>
  </si>
  <si>
    <t>Fees and Permits</t>
  </si>
  <si>
    <t>Year</t>
  </si>
  <si>
    <t>microFit</t>
  </si>
  <si>
    <t>Enerdu</t>
  </si>
  <si>
    <t>MRPC</t>
  </si>
  <si>
    <t xml:space="preserve">Brookfield </t>
  </si>
  <si>
    <t>ALM MS3</t>
  </si>
  <si>
    <t>ALM Hope St (Rec)</t>
  </si>
  <si>
    <t>ALM Hope St (DEL)</t>
  </si>
  <si>
    <t>Cobden TS</t>
  </si>
  <si>
    <t xml:space="preserve">Cobden TS </t>
  </si>
  <si>
    <t>OEB Staff Interrogatory Response - 8-Staff-57</t>
  </si>
  <si>
    <t>Pembroke TS</t>
  </si>
  <si>
    <t>Total Lower Value (kWh)</t>
  </si>
  <si>
    <t>Total Higher Value (kWh)</t>
  </si>
  <si>
    <t>Higher Value (kWh)</t>
  </si>
  <si>
    <t>Lower Value (kWh)</t>
  </si>
  <si>
    <t>Customer Name</t>
  </si>
  <si>
    <t>Ottawa River Power Corp</t>
  </si>
  <si>
    <t>Formerly</t>
  </si>
  <si>
    <t xml:space="preserve">Pembroke Hydro and Beachburg Hydro </t>
  </si>
  <si>
    <t>HONI ID</t>
  </si>
  <si>
    <t>541044</t>
  </si>
  <si>
    <t>Business Partner ID:</t>
  </si>
  <si>
    <t>Delivery Pt (Station Name)</t>
  </si>
  <si>
    <t>Pembroke TS, Cobden TS, Almonte TS</t>
  </si>
  <si>
    <t>Last Revised By</t>
  </si>
  <si>
    <t>Chen Wei</t>
  </si>
  <si>
    <t>Effective Date</t>
  </si>
  <si>
    <t>Meter Point</t>
  </si>
  <si>
    <t>Contract</t>
  </si>
  <si>
    <t>Deregulation</t>
  </si>
  <si>
    <t xml:space="preserve">Delivery </t>
  </si>
  <si>
    <t>Summary 1</t>
  </si>
  <si>
    <t>Summary 2</t>
  </si>
  <si>
    <t>Channel</t>
  </si>
  <si>
    <t>Operator</t>
  </si>
  <si>
    <r>
      <t>D</t>
    </r>
    <r>
      <rPr>
        <sz val="8"/>
        <rFont val="Arial"/>
        <family val="2"/>
      </rPr>
      <t>elivered</t>
    </r>
  </si>
  <si>
    <t>Description</t>
  </si>
  <si>
    <t>Ratio</t>
  </si>
  <si>
    <t>MEC</t>
  </si>
  <si>
    <t>Assume</t>
  </si>
  <si>
    <t>Svc</t>
  </si>
  <si>
    <t xml:space="preserve">CT </t>
  </si>
  <si>
    <t>PT</t>
  </si>
  <si>
    <r>
      <t>a</t>
    </r>
    <r>
      <rPr>
        <sz val="12"/>
        <rFont val="Arial"/>
        <family val="2"/>
      </rPr>
      <t>V2</t>
    </r>
  </si>
  <si>
    <r>
      <t>b</t>
    </r>
    <r>
      <rPr>
        <sz val="12"/>
        <rFont val="Arial"/>
        <family val="2"/>
      </rPr>
      <t>I2</t>
    </r>
  </si>
  <si>
    <r>
      <t>e</t>
    </r>
    <r>
      <rPr>
        <sz val="12"/>
        <rFont val="Arial"/>
        <family val="2"/>
      </rPr>
      <t>V2</t>
    </r>
  </si>
  <si>
    <r>
      <t>f</t>
    </r>
    <r>
      <rPr>
        <sz val="12"/>
        <rFont val="Arial"/>
        <family val="2"/>
      </rPr>
      <t>I2</t>
    </r>
  </si>
  <si>
    <t>K1</t>
  </si>
  <si>
    <t>K2</t>
  </si>
  <si>
    <t>K3</t>
  </si>
  <si>
    <t>TLF</t>
  </si>
  <si>
    <t>H1 LF</t>
  </si>
  <si>
    <t>TLA</t>
  </si>
  <si>
    <t>ACCT#</t>
  </si>
  <si>
    <t>POD</t>
  </si>
  <si>
    <t>PT .</t>
  </si>
  <si>
    <t>CSS SPID</t>
  </si>
  <si>
    <t>(Sub-Account)</t>
  </si>
  <si>
    <t>ID</t>
  </si>
  <si>
    <t>#</t>
  </si>
  <si>
    <t xml:space="preserve"> + or -</t>
  </si>
  <si>
    <r>
      <t xml:space="preserve">or </t>
    </r>
    <r>
      <rPr>
        <b/>
        <sz val="10"/>
        <rFont val="Arial"/>
        <family val="2"/>
      </rPr>
      <t>R</t>
    </r>
    <r>
      <rPr>
        <sz val="9"/>
        <rFont val="Arial"/>
        <family val="2"/>
      </rPr>
      <t>ec'd</t>
    </r>
  </si>
  <si>
    <t>(Location)</t>
  </si>
  <si>
    <t>(3 dec.)</t>
  </si>
  <si>
    <t>Voltage</t>
  </si>
  <si>
    <t>P.F.</t>
  </si>
  <si>
    <t>Type</t>
  </si>
  <si>
    <t>Transformation</t>
  </si>
  <si>
    <t>Radial Line</t>
  </si>
  <si>
    <t>A. RTSR Table</t>
  </si>
  <si>
    <t>39628242DP</t>
  </si>
  <si>
    <t>39628242C1RTSR</t>
  </si>
  <si>
    <t>1000025560</t>
  </si>
  <si>
    <t>1</t>
  </si>
  <si>
    <t>+</t>
  </si>
  <si>
    <t>kwhdel</t>
  </si>
  <si>
    <t>Pembroke TS - T1</t>
  </si>
  <si>
    <t>IMOH1</t>
  </si>
  <si>
    <t>kvarhdel</t>
  </si>
  <si>
    <t>-</t>
  </si>
  <si>
    <t>kwhrec</t>
  </si>
  <si>
    <t>kvarhrec</t>
  </si>
  <si>
    <t>1000025570</t>
  </si>
  <si>
    <t>Pembroke TS - T2</t>
  </si>
  <si>
    <t>501651824SP</t>
  </si>
  <si>
    <t>Walmart Canada Corp (J3741650)</t>
  </si>
  <si>
    <t>501646682SP</t>
  </si>
  <si>
    <t>Pembroke DS - T1 (J3690203)</t>
  </si>
  <si>
    <t>501640641SP</t>
  </si>
  <si>
    <t>T1 Bank - Greenwood DS (J3690316)</t>
  </si>
  <si>
    <t>501626534SP</t>
  </si>
  <si>
    <t>1600 Greenwood Inc. (J3694324)</t>
  </si>
  <si>
    <t>501626309SP</t>
  </si>
  <si>
    <t>Roseburg Forest Products Canada Ltd. (J073472)</t>
  </si>
  <si>
    <t>43624621DP</t>
  </si>
  <si>
    <t>43624621C1RTSR</t>
  </si>
  <si>
    <t>48924515DP</t>
  </si>
  <si>
    <t>501640643SP</t>
  </si>
  <si>
    <t>Beachburg PME (J3690219)</t>
  </si>
  <si>
    <t>48556260DP</t>
  </si>
  <si>
    <t>501646683SP</t>
  </si>
  <si>
    <t>Killaloe DS F2 (J3690204)</t>
  </si>
  <si>
    <t>Almonte TS - NETWORK</t>
  </si>
  <si>
    <t xml:space="preserve">**All negatives at 12638015C1RTSR are to be zeroed out** </t>
  </si>
  <si>
    <t>12638015DP</t>
  </si>
  <si>
    <t>12638015C1RTSR</t>
  </si>
  <si>
    <t>09193211N</t>
  </si>
  <si>
    <t>500283749SP</t>
  </si>
  <si>
    <t>Almonte PME - Hope St. (J3694537)</t>
  </si>
  <si>
    <t>13942342DP</t>
  </si>
  <si>
    <t>501648984SP</t>
  </si>
  <si>
    <t>Almonte MS 3 (J3694157)</t>
  </si>
  <si>
    <t>Almonte MS 3 (J3694131)</t>
  </si>
  <si>
    <t>Almonte TS - CONNECTION</t>
  </si>
  <si>
    <r>
      <t xml:space="preserve">**All negatives at SPID 09193211GLB </t>
    </r>
    <r>
      <rPr>
        <b/>
        <sz val="16"/>
        <rFont val="Arial"/>
        <family val="2"/>
      </rPr>
      <t>&amp;</t>
    </r>
    <r>
      <rPr>
        <b/>
        <sz val="14"/>
        <rFont val="Arial"/>
        <family val="2"/>
      </rPr>
      <t xml:space="preserve"> 12638015C5RTSR are to be zeroed out** </t>
    </r>
  </si>
  <si>
    <t>12638015C5RTSR</t>
  </si>
  <si>
    <t>09193211C</t>
  </si>
  <si>
    <t xml:space="preserve">TLA of -1% is applied to the aggregation of 0200700504ORP and 20 meter. </t>
  </si>
  <si>
    <t>09193211GLBDP</t>
  </si>
  <si>
    <t>0200700504ORP</t>
  </si>
  <si>
    <t>Mississippi River Co-Gen</t>
  </si>
  <si>
    <t>2.4MW Legacy capacity</t>
  </si>
  <si>
    <t>B. Energy Table (with Losses) &amp; Riders 3B &amp; 6B(W/O Losses)</t>
  </si>
  <si>
    <t>39628242C3Energy</t>
  </si>
  <si>
    <t>43624621C3Energy</t>
  </si>
  <si>
    <t>Almonte TS</t>
  </si>
  <si>
    <t xml:space="preserve">**All negatives at 12638015C3Energy are to be zeroed out** </t>
  </si>
  <si>
    <t>12638015C3Energy</t>
  </si>
  <si>
    <t>C. Common ST Line charges &amp; Riders 3A, 6A &amp; 8 (W/O losses):</t>
  </si>
  <si>
    <t>39628242C7ST</t>
  </si>
  <si>
    <t>43624621C7ST</t>
  </si>
  <si>
    <r>
      <t xml:space="preserve">**All negatives at SPID 09193211GLB </t>
    </r>
    <r>
      <rPr>
        <b/>
        <sz val="16"/>
        <rFont val="Arial"/>
        <family val="2"/>
      </rPr>
      <t>&amp;</t>
    </r>
    <r>
      <rPr>
        <b/>
        <sz val="14"/>
        <rFont val="Arial"/>
        <family val="2"/>
      </rPr>
      <t xml:space="preserve"> 12638015C7ST are to be zeroed out** </t>
    </r>
  </si>
  <si>
    <t>12638015C7ST</t>
  </si>
  <si>
    <t>NEW</t>
  </si>
  <si>
    <t>REVISED</t>
  </si>
  <si>
    <t>DELETED/INACTIVE POINT</t>
  </si>
  <si>
    <t>BLUE TEXT INDICATES HONI LDC - RTSR AND ENERGY</t>
  </si>
  <si>
    <t>OM&amp;A</t>
  </si>
  <si>
    <t xml:space="preserve">5005-Operation Supervision and Engineering
</t>
  </si>
  <si>
    <t xml:space="preserve">5010-Load Dispatching
</t>
  </si>
  <si>
    <t xml:space="preserve">5012-Station Buildings and Fixtures Expense
</t>
  </si>
  <si>
    <t xml:space="preserve">5016-Distribution Station Equipment - Operation Labour
</t>
  </si>
  <si>
    <t xml:space="preserve">5020-Overhead Distribution Lines and Feeders - Operation Labour
</t>
  </si>
  <si>
    <t xml:space="preserve">5025-Overhead Distribution Lines and Feeders - Operation Supplies and Expenses
</t>
  </si>
  <si>
    <t xml:space="preserve">5030-Overhead Subtransmission Feeders - Operation
</t>
  </si>
  <si>
    <t xml:space="preserve">5035-Overhead Distribution Transformers- Operation
</t>
  </si>
  <si>
    <t xml:space="preserve">5040-Underground Distribution Lines and Feeders - Operation Labour
</t>
  </si>
  <si>
    <t xml:space="preserve">5055-Underground Distribution Transformers - Operation
</t>
  </si>
  <si>
    <t xml:space="preserve">5065-Meter Expense
</t>
  </si>
  <si>
    <t xml:space="preserve">5070-Customer Premises - Operation Labour
</t>
  </si>
  <si>
    <t xml:space="preserve">5075-Customer Premises - Materials and Expenses
</t>
  </si>
  <si>
    <t xml:space="preserve">5085-Miscellaneous Distribution Expense
</t>
  </si>
  <si>
    <t xml:space="preserve">5095-Overhead Distribution Lines and Feeders - Rental Paid
</t>
  </si>
  <si>
    <t xml:space="preserve">5096-Other Rent
</t>
  </si>
  <si>
    <t>Total - Operations</t>
  </si>
  <si>
    <t xml:space="preserve">5105-Maintenance Supervision and Engineering
</t>
  </si>
  <si>
    <t xml:space="preserve">5110-Maintenance of Buildings and Fixtures - Distribution Stations
</t>
  </si>
  <si>
    <t xml:space="preserve">5114-Maintenance of Distribution Station Equipment
</t>
  </si>
  <si>
    <t xml:space="preserve">5120-Maintenance of Poles, Towers and Fixtures
</t>
  </si>
  <si>
    <t xml:space="preserve">5125-Maintenance of Overhead Conductors and Devices
</t>
  </si>
  <si>
    <t xml:space="preserve">5130-Maintenance of Overhead Services
</t>
  </si>
  <si>
    <t xml:space="preserve">5135-Overhead Distribution Lines and Feeders - Right of Way
</t>
  </si>
  <si>
    <t xml:space="preserve">5145-Maintenance of Underground Conduit
</t>
  </si>
  <si>
    <t xml:space="preserve">5150-Maintenance of Underground Conductors and Devices
</t>
  </si>
  <si>
    <t xml:space="preserve">5155-Maintenance of Underground Services
</t>
  </si>
  <si>
    <t>5160-Maintenance of Line Transformers</t>
  </si>
  <si>
    <t xml:space="preserve">5175-Maintenance of Meters
</t>
  </si>
  <si>
    <t>Total - Maintenance</t>
  </si>
  <si>
    <t xml:space="preserve">5305-Supervision
</t>
  </si>
  <si>
    <t xml:space="preserve">5310-Meter Reading Expense
</t>
  </si>
  <si>
    <t xml:space="preserve">5315-Customer Billing
</t>
  </si>
  <si>
    <t xml:space="preserve">5320-Collecting
</t>
  </si>
  <si>
    <t xml:space="preserve">5325-Collecting- Cash Over and Short
</t>
  </si>
  <si>
    <t xml:space="preserve">5330-Collection Charges
</t>
  </si>
  <si>
    <t xml:space="preserve">5335-Bad Debt Expense
</t>
  </si>
  <si>
    <t xml:space="preserve">5340-Miscellaneous Customer Accounts Expenses
</t>
  </si>
  <si>
    <t>Total - Billing and Collecting</t>
  </si>
  <si>
    <t xml:space="preserve">5405-Supervision
</t>
  </si>
  <si>
    <t>5410-Community Relations</t>
  </si>
  <si>
    <t>Total - Community Relations</t>
  </si>
  <si>
    <t xml:space="preserve">5605-Executive Salaries and Expenses
</t>
  </si>
  <si>
    <t xml:space="preserve">5610-Management Salaries and Expenses
</t>
  </si>
  <si>
    <t xml:space="preserve">5615-General Administrative Salaries and Expenses
</t>
  </si>
  <si>
    <t xml:space="preserve">5620-Office Supplies and Expenses
</t>
  </si>
  <si>
    <t xml:space="preserve">5630-Outside Services Employed
</t>
  </si>
  <si>
    <t xml:space="preserve">5635-Property Insurance
</t>
  </si>
  <si>
    <t xml:space="preserve">5645-Employee Pensions and Benefits
</t>
  </si>
  <si>
    <t xml:space="preserve">5655-Regulatory Expenses
</t>
  </si>
  <si>
    <t xml:space="preserve">5665-Miscellaneous General Expenses
</t>
  </si>
  <si>
    <t xml:space="preserve">5670-Rent
</t>
  </si>
  <si>
    <t xml:space="preserve">5675-Maintenance of General Plant
</t>
  </si>
  <si>
    <t xml:space="preserve">5680-Electrical Safety Authority Fees
</t>
  </si>
  <si>
    <t xml:space="preserve">6205-Sub-account LEAP Funding
</t>
  </si>
  <si>
    <t>Total - Administrative and General Expenses</t>
  </si>
  <si>
    <t>Total - O&amp;M</t>
  </si>
  <si>
    <t>OEB Staff Interrogatory Response - 4-Staff-30</t>
  </si>
  <si>
    <t>2021 - Actuals to November 30 2021 + Projection to December 31 2021</t>
  </si>
  <si>
    <t>Subtotal</t>
  </si>
  <si>
    <t>Ottawa River Power Corporation - Labour</t>
  </si>
  <si>
    <t>Ottawa River Power Corporation - Material - Pole Line Extension</t>
  </si>
  <si>
    <t>Ottawa River Power Corporation - Equipment Usage</t>
  </si>
  <si>
    <t>Infrastructure Ontario - Capitalized Interest</t>
  </si>
  <si>
    <t>Infrastructure Ontario - Legal Fees</t>
  </si>
  <si>
    <t>Switchgear</t>
  </si>
  <si>
    <t>OEB Staff Interrogatory Response - 2-Staff-15</t>
  </si>
  <si>
    <t>Customer Connections</t>
  </si>
  <si>
    <t>Metering</t>
  </si>
  <si>
    <t>Externally Initiated Plant Relocation</t>
  </si>
  <si>
    <t>UG Renewal</t>
  </si>
  <si>
    <t>OH Renewal</t>
  </si>
  <si>
    <t>Stations</t>
  </si>
  <si>
    <t>System Enhancement</t>
  </si>
  <si>
    <t>Station Expansion</t>
  </si>
  <si>
    <t>Information Technology</t>
  </si>
  <si>
    <t>Fleet</t>
  </si>
  <si>
    <t>Operational Technology</t>
  </si>
  <si>
    <t>Facilities</t>
  </si>
  <si>
    <t>OEB Staff Interrogatory Response - 2-Staff-20</t>
  </si>
  <si>
    <t>Project</t>
  </si>
  <si>
    <t>4-Semi-Detached Single Storey Homes</t>
  </si>
  <si>
    <t>Orchard View Suites (Phase 2)</t>
  </si>
  <si>
    <t>42 Unit Apartment Building</t>
  </si>
  <si>
    <t>Burcom Development - 48 Houses</t>
  </si>
  <si>
    <t>9 Townhomes at 627 Nelson Street Pembroke</t>
  </si>
  <si>
    <t>Assumptions and Calculations</t>
  </si>
  <si>
    <t>Labour Hours</t>
  </si>
  <si>
    <t>Equipment Hours</t>
  </si>
  <si>
    <t>Calculated Total Net Cost</t>
  </si>
  <si>
    <t>Project Description</t>
  </si>
  <si>
    <t>Calculated Customer Contribution Included in Net Cost</t>
  </si>
  <si>
    <t>Supplying 8-single storey houses with 1 number of 100kVA 1-ph pole mount transformer, 4 secondary risers (2 for each pole), 250 meters of (250MCM Triplex) Secondary Underground Cable, Redistributing existing secondary services between the new 100kVA PMT and existing 50kVA PMT. New 100kVA PMT will service 12 customers while existing 50kVA will service 7 customers.</t>
  </si>
  <si>
    <t>Supplying 12 rows (each has 4 units) with 3 numbers of 100kVA 1-Ph transformer, Supplying 28-unit Retirement Apt Building  with 1 number of 500kVA 3-Ph transformer
2 Switch Cubicles, 900 meters of (1/0 copper)  Primary Underground Cable, 650 meters of (250MCM Triplex) Secondary Underground Cable, 1 Riser Pole</t>
  </si>
  <si>
    <t>Providing electric service connection to a 42-apartment building at Johanna Street in Almonte by supplying and installing:
- New 500kVA PAD mounted transformer (3 phase - HV: 4.16kV/2.4kV, LV: 600V/347V)
- New 2850 meters of three phase primary U/G cable (1/0 copper) 
- New Electricity 44Meter</t>
  </si>
  <si>
    <t>Providing electric service connection to 9 townhouses project at 627 Nelson Street Pembroke in Pembroke by supplying and installing:
- New 100VA Pad Mounted Transformer
- New 15 meters of 1/0 U/G primary cables
- New 4 runs of total 100 meters of secondary 250 MCM Al U/G
- New 1 Primary riser</t>
  </si>
  <si>
    <t>Providing electric service connection to 48 Houses in Pembroke by supplying and installing:
- New 13 100kVA/75kVa Pad Mounted Transformer
- New 1/0 U/G primary cables
- New 1 rise pole</t>
  </si>
  <si>
    <t>SEC Interrogatory Responses - 9-SEC-30</t>
  </si>
  <si>
    <t>Schedule 8 CCA - 2019</t>
  </si>
  <si>
    <t>(1)
Class</t>
  </si>
  <si>
    <t>Class Description</t>
  </si>
  <si>
    <t>(2) - 1
Non-Accelerated Undepreciated capital
cost (UCC) at the
beginning of the year</t>
  </si>
  <si>
    <t>(2) - 2
Accelerated Undepreciated capital
cost (UCC) at the
beginning of the year</t>
  </si>
  <si>
    <t>(3)
Cost of acquisitions during
the year</t>
  </si>
  <si>
    <t>(4)
Cost of acquisitions from column 3 that are accelerated investment incentive property (AIIP)</t>
  </si>
  <si>
    <t>(5)
Adjustments and transfers (enter amounts that will reduce the UCC as negatives)</t>
  </si>
  <si>
    <t>(8)
Proceeds of dispositions</t>
  </si>
  <si>
    <t>(9)
UCC (column 2 plus column 3 plus or minus column 5 minus column 8)</t>
  </si>
  <si>
    <t>(10)
Proceeds of disposition available to reduce the UCC of AIIP (column 8 plus column 6 minus column 3 plus column 4 minus column 7) (if negative, enter "0")</t>
  </si>
  <si>
    <t>(11)
Net capital cost additions of AIIP acquired during the year (column 4 minus column 10)</t>
  </si>
  <si>
    <t>Relevant factor</t>
  </si>
  <si>
    <t>(12)
UCC adjustment for AIIP acquired during the year (column 11 multiplied by the relevant factor)</t>
  </si>
  <si>
    <t>(14)
CCA Rate %</t>
  </si>
  <si>
    <t>(17)
CCA (for declining balance method, the result of column 9 plus column 12 minus column 13, multiplied by column 14)</t>
  </si>
  <si>
    <t>(18) CCA (for declining balance method with accelerated CCA, the result of column 2 plus the result of column 3 multiplied by 1.5 multiplied by column 14)</t>
  </si>
  <si>
    <t>(19) - 1
Non-Accelerated UCC at the end of the year (column 9 minus column 17)</t>
  </si>
  <si>
    <t>(19) - 2
Accelerated UCC at the end of the year (column 9 minus column 17)</t>
  </si>
  <si>
    <t>Accumulated Accelerated CCA Difference</t>
  </si>
  <si>
    <t>Buildings, Distribution System (acq'd post 1987)</t>
  </si>
  <si>
    <t>13 2</t>
  </si>
  <si>
    <t>Distribution System (acq'd pre 1988)</t>
  </si>
  <si>
    <t>General Office Equipment, Furniture, Fixtures</t>
  </si>
  <si>
    <t>Eligible Capital Property (acq'd pre Jan 1, 2017)</t>
  </si>
  <si>
    <t>Computer Application Software (Non-Systems)</t>
  </si>
  <si>
    <t>Computers &amp; System Software (acq'd post Mar 22/04 and pre Mar 19/07)</t>
  </si>
  <si>
    <t>Distribution System (acq'd post Feb 22/05)</t>
  </si>
  <si>
    <t>General Purpose Computer Hardware &amp; Software (acq'd post Mar 18/07)</t>
  </si>
  <si>
    <t>CWIP</t>
  </si>
  <si>
    <t>Computer Hardware &amp; Vehicles</t>
  </si>
  <si>
    <t>TOTALS</t>
  </si>
  <si>
    <t>CCA Impact</t>
  </si>
  <si>
    <t>Schedule 8 CCA - 2020</t>
  </si>
  <si>
    <t>Schedule 8 CCA - 2021</t>
  </si>
  <si>
    <t>Tax Rate</t>
  </si>
  <si>
    <t>1592 Entry (Grossed-Up)</t>
  </si>
  <si>
    <t xml:space="preserve"> Tax Impact</t>
  </si>
  <si>
    <t>2021 - Actuals to November 30 2021</t>
  </si>
  <si>
    <t>2020 - Actuals to November 30 2020</t>
  </si>
  <si>
    <t>2019 - Actuals to November 30 2019</t>
  </si>
  <si>
    <t>Actual to November 30 2019</t>
  </si>
  <si>
    <t>Actual to November 30 2020</t>
  </si>
  <si>
    <t>5017-Distribution Station Equipment - Expenses</t>
  </si>
  <si>
    <t>5420-Community Safety Program</t>
  </si>
  <si>
    <t>USoA #</t>
  </si>
  <si>
    <t>USoA Description</t>
  </si>
  <si>
    <t>2019 up to Nov 30th 2019</t>
  </si>
  <si>
    <t>2020 up to Nov 30 2020</t>
  </si>
  <si>
    <t>2021 up to Nov 30 2021</t>
  </si>
  <si>
    <t>Reporting Basis</t>
  </si>
  <si>
    <t xml:space="preserve">Retail Services Revenues </t>
  </si>
  <si>
    <t xml:space="preserve">Service Transaction Requests (STR) Revenues </t>
  </si>
  <si>
    <t xml:space="preserve">SSS Administration Revenue </t>
  </si>
  <si>
    <t>Electric Services Incidental to Energy Sales</t>
  </si>
  <si>
    <t xml:space="preserve">Interdepartmental Rents </t>
  </si>
  <si>
    <t>Rent from Electric Property</t>
  </si>
  <si>
    <t>Other Utility Operating  Income</t>
  </si>
  <si>
    <t xml:space="preserve">Other Electric Revenues </t>
  </si>
  <si>
    <t xml:space="preserve">Late Payment Charges </t>
  </si>
  <si>
    <t xml:space="preserve">Sales of Water and Water Power </t>
  </si>
  <si>
    <t xml:space="preserve">Miscellaneous Service Revenues </t>
  </si>
  <si>
    <t xml:space="preserve">Provision for Rate Refunds </t>
  </si>
  <si>
    <t>Government and Other assistance Directly Credited to Income</t>
  </si>
  <si>
    <t xml:space="preserve">Regulatory Debits </t>
  </si>
  <si>
    <t xml:space="preserve">Regulatory Credits </t>
  </si>
  <si>
    <t>Revenues from Electric Plant Leased to Others</t>
  </si>
  <si>
    <t xml:space="preserve">Expenses of Electic Plant Leased to Others </t>
  </si>
  <si>
    <t xml:space="preserve">Revenues from Merchandise </t>
  </si>
  <si>
    <t xml:space="preserve">Costs and Expenses of Merchandising </t>
  </si>
  <si>
    <t>Profits and Losses from Financial Instrument Hedges</t>
  </si>
  <si>
    <t xml:space="preserve">Profits and Losses from Financial Instrument Investments </t>
  </si>
  <si>
    <t xml:space="preserve">Gains from Disposition of Future Use Utility Plant </t>
  </si>
  <si>
    <t xml:space="preserve">Losses from Disposition of Future Use Utility Plant </t>
  </si>
  <si>
    <t xml:space="preserve">Gain on Disposition of Utility and Other Property </t>
  </si>
  <si>
    <t xml:space="preserve">Gain from Retirement of Utility and Other Property </t>
  </si>
  <si>
    <t xml:space="preserve">Loss on Disposition of Utility and Other Property </t>
  </si>
  <si>
    <t>Loss from Retirement of Utility and Other Property</t>
  </si>
  <si>
    <t>Gains from Disposition of Allowances for Emission</t>
  </si>
  <si>
    <t>Losses fromDisposition of Allowances for Emission</t>
  </si>
  <si>
    <t xml:space="preserve">Revenues from Non Rate-Regulated Utility Operations </t>
  </si>
  <si>
    <t xml:space="preserve">Expenses of Non Rate-Regulated Utility Operations </t>
  </si>
  <si>
    <t xml:space="preserve">Non Rate-Regulated Utility Rental Income </t>
  </si>
  <si>
    <t xml:space="preserve">Miscellaneous Non-Operating Income </t>
  </si>
  <si>
    <t xml:space="preserve">Rate-Payer Benefit Including Interest </t>
  </si>
  <si>
    <t xml:space="preserve">Foreign Exchange Gains and Losses, Including Amortization </t>
  </si>
  <si>
    <t>Interest and Dividend Income</t>
  </si>
  <si>
    <t xml:space="preserve">Lessor's New Investment in Finance Lease </t>
  </si>
  <si>
    <t xml:space="preserve">Equity in Earning of Subsidiary Companies </t>
  </si>
  <si>
    <t>Share of Profit or Loss of Joing Venture</t>
  </si>
  <si>
    <t>SEC Interrogatory Responses - 3-SEC-20</t>
  </si>
  <si>
    <t>UG Primary - Town Homes on Blakely Crescent</t>
  </si>
  <si>
    <t>Bennett Street - Cell Tower</t>
  </si>
  <si>
    <t>Food Basics - 1500 kVa Padmounted Transformer</t>
  </si>
  <si>
    <t>Victoria Street Reconstruction - Pole Removals, Cable U/G</t>
  </si>
  <si>
    <t>Patricia Street - Robert Morre 10 Unit Building</t>
  </si>
  <si>
    <t>Guy Bourgon - Offer to Connect</t>
  </si>
  <si>
    <t>Voltage Conversion - Feeder 1 - 1</t>
  </si>
  <si>
    <t>Voltage Conversion - Feeder 1 - 2</t>
  </si>
  <si>
    <t>Voltage Conversion - Feeder 1 - 3</t>
  </si>
  <si>
    <t>Voltage Conversion - Feeder 1 - 4</t>
  </si>
  <si>
    <t>Voltage Conversion - Feeder 3 - 1</t>
  </si>
  <si>
    <t>Voltage Conversion - Feeder 3 - 2</t>
  </si>
  <si>
    <t>Almonte MS#3 Station Upgrades</t>
  </si>
  <si>
    <t>Beachburg Road Pole Replacement</t>
  </si>
  <si>
    <t>Victoria Street Underground Conversion</t>
  </si>
  <si>
    <t>PCB Transformer - T550 1283 Pembroke Street West</t>
  </si>
  <si>
    <t>PCB Transformer - 183 Cecil Street</t>
  </si>
  <si>
    <t>PCB Transformer - 201 Cecil Street</t>
  </si>
  <si>
    <t>PCB Transformer - T438 Boundary and McGee</t>
  </si>
  <si>
    <t>Upgrade Riser Disconnects at L557 and T1011</t>
  </si>
  <si>
    <t>672 &amp; 708 Gordon Street Pole Replacements</t>
  </si>
  <si>
    <t>174 Albert Street - Replace pole and transformers</t>
  </si>
  <si>
    <t>Garden Street - Replace Leaking Padmount Transformer</t>
  </si>
  <si>
    <t>O'Brien Street North - Install Underground Road Crossings</t>
  </si>
  <si>
    <t>John Street Killaloe - Re-insulate 2 poles</t>
  </si>
  <si>
    <t>277 Cecelia Street - Replace wood pole</t>
  </si>
  <si>
    <t>5 Smith Street - Replace wood pole and install new anchor</t>
  </si>
  <si>
    <t>Beachburg Road - Replace 3 wood poles</t>
  </si>
  <si>
    <t>119 Arnolds Lane - Replace wood pole</t>
  </si>
  <si>
    <t>473 Christink Lane - Replace wood pole</t>
  </si>
  <si>
    <t>Almonte MS#4 Construction</t>
  </si>
  <si>
    <t>Almonte Feeder Relocation</t>
  </si>
  <si>
    <t>Almonte MS#4 Line Extension</t>
  </si>
  <si>
    <t>1F3 Switch Upgrade</t>
  </si>
  <si>
    <t>Pembroke MS#6 Insulation Upgrades</t>
  </si>
  <si>
    <t>Almonte MS#3 Upgrades</t>
  </si>
  <si>
    <t>Computer Software</t>
  </si>
  <si>
    <t>Small Tools</t>
  </si>
  <si>
    <t>Transportation Equipment</t>
  </si>
  <si>
    <t>Stores Equipment</t>
  </si>
  <si>
    <t>Miscellaneous Equipment</t>
  </si>
  <si>
    <t>System Supervisory Equipment</t>
  </si>
  <si>
    <t>Leasehold Improvements - Pembroke Office Glass Barrier</t>
  </si>
  <si>
    <t>Leasehold Improvements - Air Conditioner Repair</t>
  </si>
  <si>
    <t>Leasehold Improvements - Paving</t>
  </si>
  <si>
    <t>Leasehold Improvements - Wall</t>
  </si>
  <si>
    <t>Leasehold Improvements - Almonte Pole Barn</t>
  </si>
  <si>
    <t>Leasehold Improvements - Almonte New Office</t>
  </si>
  <si>
    <t>Orchardview</t>
  </si>
  <si>
    <t>Riverfront Phase 5</t>
  </si>
  <si>
    <t>Petro Canada</t>
  </si>
  <si>
    <t>Install and Connect Pad Mount Transformer</t>
  </si>
  <si>
    <t>Blakely Crescent</t>
  </si>
  <si>
    <t>Contributions</t>
  </si>
  <si>
    <t>Computer Equipment - Harware</t>
  </si>
  <si>
    <t>Computer Software - Cyber Security</t>
  </si>
  <si>
    <t>Consumption</t>
  </si>
  <si>
    <t>Retail Consumption</t>
  </si>
  <si>
    <t>Residential</t>
  </si>
  <si>
    <t>General Service &lt; 50 kW</t>
  </si>
  <si>
    <t>General Service &gt; 50 to 4999 kW</t>
  </si>
  <si>
    <t xml:space="preserve">Sentinel </t>
  </si>
  <si>
    <t xml:space="preserve">Street Lighting </t>
  </si>
  <si>
    <t>USL</t>
  </si>
  <si>
    <t>kWh</t>
  </si>
  <si>
    <t>Number of Customer/ Connection</t>
  </si>
  <si>
    <t>kW</t>
  </si>
  <si>
    <t xml:space="preserve">October </t>
  </si>
  <si>
    <t xml:space="preserve">November </t>
  </si>
  <si>
    <t xml:space="preserve">December </t>
  </si>
  <si>
    <t>January</t>
  </si>
  <si>
    <t>February</t>
  </si>
  <si>
    <t>March</t>
  </si>
  <si>
    <t xml:space="preserve">April </t>
  </si>
  <si>
    <t>May</t>
  </si>
  <si>
    <t>June</t>
  </si>
  <si>
    <t>July</t>
  </si>
  <si>
    <t xml:space="preserve">August </t>
  </si>
  <si>
    <t xml:space="preserve">September </t>
  </si>
  <si>
    <t>October</t>
  </si>
  <si>
    <t>Number of Customers</t>
  </si>
  <si>
    <t>Number of Connections</t>
  </si>
  <si>
    <t>SEC Interrogatory Responses - 2-SEC-17</t>
  </si>
  <si>
    <t>CAPEX ($K)</t>
  </si>
  <si>
    <t>2019 to Nov 30</t>
  </si>
  <si>
    <t>2020 to Nov 30</t>
  </si>
  <si>
    <t>2021 to Nov 30</t>
  </si>
  <si>
    <t>Table 23 - OM&amp;A</t>
  </si>
  <si>
    <t>Operations</t>
  </si>
  <si>
    <t>Maintenance</t>
  </si>
  <si>
    <t>% Change (year over year)</t>
  </si>
  <si>
    <t>% Change (test Year vs Last Rebasing Year- Actual)</t>
  </si>
  <si>
    <t>Billing and Collecting</t>
  </si>
  <si>
    <t>Community Relations</t>
  </si>
  <si>
    <t>Administrative and General + LEAP</t>
  </si>
  <si>
    <t>SEC Interrogatory Responses - 1-SEC-5</t>
  </si>
  <si>
    <t>Last Board Approved</t>
  </si>
  <si>
    <t>Net Capital Assets in Service:</t>
  </si>
  <si>
    <t>Average Gross Assets</t>
  </si>
  <si>
    <t>Average Accumulated Depreciation</t>
  </si>
  <si>
    <t>Average Balance</t>
  </si>
  <si>
    <t>Working Capital Allowance</t>
  </si>
  <si>
    <t>Total Rate Base</t>
  </si>
  <si>
    <t>Eligible Distribution Expenses:</t>
  </si>
  <si>
    <t>3500-Distribution Expenses - Operation</t>
  </si>
  <si>
    <t>3550-Distribution Expenses - Maintenance</t>
  </si>
  <si>
    <t>3650-Billing and Collecting</t>
  </si>
  <si>
    <t>3700-Community Relations</t>
  </si>
  <si>
    <t>3800-Administrative and General Expenses</t>
  </si>
  <si>
    <t>Total Eligible Distribution Expenses</t>
  </si>
  <si>
    <t>3350-Power Supply Expenses</t>
  </si>
  <si>
    <t>Total Expenses for Working Capital</t>
  </si>
  <si>
    <t>Working Capital Factor</t>
  </si>
  <si>
    <t>Total Working Capital</t>
  </si>
  <si>
    <t>*</t>
  </si>
  <si>
    <t>**</t>
  </si>
  <si>
    <t>Gross asset balance at November 30 2019 of $16,758,809 compared to gross asset balance of $17,161,951 at November 30 2020.</t>
  </si>
  <si>
    <t>***</t>
  </si>
  <si>
    <t>Gross asset balance at November 30 2020 of $17,161,951 compared to gross asset balance of $18,197,810 at November 30 2021.</t>
  </si>
  <si>
    <t>Gross asset balance at December 31 2018 of $15,942,839 compared to gross asset balance of $16,758,809 at November 30 2019.</t>
  </si>
  <si>
    <t>2021 to Nov 30 ***</t>
  </si>
  <si>
    <t>2020 to Nov 30 **</t>
  </si>
  <si>
    <t>2019 to Nov 30 *</t>
  </si>
  <si>
    <t>****</t>
  </si>
  <si>
    <t>Depreciation is not calculated monthly and therefore is estimated based on 11 months of depreciation.</t>
  </si>
  <si>
    <t>Table 20 - Rate Base</t>
  </si>
  <si>
    <t>Overhead Renewal ($K)</t>
  </si>
  <si>
    <t>SEC Interrogatory Responses - 2-SEC-16</t>
  </si>
  <si>
    <t>Metering ($K)</t>
  </si>
  <si>
    <t>VECC Interrogatory Responses - 2-VECC-6</t>
  </si>
  <si>
    <t>DSP Category</t>
  </si>
  <si>
    <t>Proposed DSP Program</t>
  </si>
  <si>
    <t>Yearly total (CDD)</t>
  </si>
  <si>
    <t>Yearly total (HDD)</t>
  </si>
  <si>
    <t>Impact of CDD on load</t>
  </si>
  <si>
    <t>Impact of HDD on load</t>
  </si>
  <si>
    <t>Weather normalized CDD</t>
  </si>
  <si>
    <t>Weather normalized HDD</t>
  </si>
  <si>
    <t>Actual CDD</t>
  </si>
  <si>
    <t>Actual HDD</t>
  </si>
  <si>
    <t>Load attributed to CDD</t>
  </si>
  <si>
    <t>Load attributed to HDD</t>
  </si>
  <si>
    <t>Predicted W/O CDD</t>
  </si>
  <si>
    <t>Predicted W/O HDD</t>
  </si>
  <si>
    <t>Predicted Incl HDD&amp;CDD</t>
  </si>
  <si>
    <t>Actual</t>
  </si>
  <si>
    <t>VECC Interrogatory Responses - 3-VECC-12</t>
  </si>
  <si>
    <t>Low Voltage (kW)</t>
  </si>
  <si>
    <t>Interrogatory Response to 8-Staff-56</t>
  </si>
  <si>
    <t>Average</t>
  </si>
  <si>
    <t>LVDS-Low</t>
  </si>
  <si>
    <t>Common ST Lines</t>
  </si>
  <si>
    <t>Volumteric Rate Rider 29B</t>
  </si>
  <si>
    <t>Volumteric Rate Rider 29A</t>
  </si>
  <si>
    <t>Forecast (kW)</t>
  </si>
  <si>
    <t>Total ($/kW)</t>
  </si>
  <si>
    <t>Forecast ($)</t>
  </si>
  <si>
    <t>Annual Demand (kW)</t>
  </si>
  <si>
    <t>Hydro One Low Voltage Rates ($/kW)</t>
  </si>
  <si>
    <t>Total ($)</t>
  </si>
  <si>
    <r>
      <t>Number of Employees (FTEs including Part-Time)</t>
    </r>
    <r>
      <rPr>
        <b/>
        <vertAlign val="superscript"/>
        <sz val="10"/>
        <rFont val="Arial"/>
        <family val="2"/>
      </rPr>
      <t>1</t>
    </r>
  </si>
  <si>
    <t>Management (including executive)</t>
  </si>
  <si>
    <t>Non-Management (union and non-union)</t>
  </si>
  <si>
    <t>Total Salary and Wages including ovetime and incentive pay</t>
  </si>
  <si>
    <t>Total Benefits (Current + Accrued)</t>
  </si>
  <si>
    <t>Total Compensation (Salary, Wages, &amp; Benefits)</t>
  </si>
  <si>
    <t>Capitalized</t>
  </si>
  <si>
    <t>VECC Interrogatory Responses - 4-VECC-23</t>
  </si>
  <si>
    <t>VECC Interrogatory Responses - 8-VECC-31</t>
  </si>
  <si>
    <t>Table 6 - Current vs Proposed RTSR Rates - Network</t>
  </si>
  <si>
    <t>Units</t>
  </si>
  <si>
    <t>GS&lt;50 kW</t>
  </si>
  <si>
    <t>GS 50 to 4999 kW</t>
  </si>
  <si>
    <t>Sentinel Lighting</t>
  </si>
  <si>
    <t>Street Lighting</t>
  </si>
  <si>
    <t>Unmetered Scattered Load</t>
  </si>
  <si>
    <t>Customer Class</t>
  </si>
  <si>
    <t>2021 Bridge Year</t>
  </si>
  <si>
    <t>Last Rebasing Year (2016 OEB Approved)</t>
  </si>
  <si>
    <t>Last Rebasing Year (2016 Actuals)</t>
  </si>
  <si>
    <t>2017 Actuals</t>
  </si>
  <si>
    <t>2018 Actuals</t>
  </si>
  <si>
    <t>2019 Actuals</t>
  </si>
  <si>
    <t>2020 Actuals</t>
  </si>
  <si>
    <t>2022 Test Year</t>
  </si>
  <si>
    <t>Proposed Rate ($/kWh/kW)</t>
  </si>
  <si>
    <t>Current Rate ($/kWh/kW)</t>
  </si>
  <si>
    <t>Charges at Current Rate ($)</t>
  </si>
  <si>
    <t>Charges at Proposed Rate ($)</t>
  </si>
  <si>
    <t>Loss Adjusted Forecasted Usage (kWh or kW)</t>
  </si>
  <si>
    <t>Table 7 - Current vs Proposed RTSR Rates - Line and Transformation</t>
  </si>
  <si>
    <t>VECC Interrogatory Responses - 7-VECC-28</t>
  </si>
  <si>
    <t>1835-4</t>
  </si>
  <si>
    <t>Overhead Conductors and Devices - Primary</t>
  </si>
  <si>
    <t>1835-5</t>
  </si>
  <si>
    <t>Overhead Conductors and Devices - Secondary</t>
  </si>
  <si>
    <t>1840-4</t>
  </si>
  <si>
    <t>Underground Conduit - Primary</t>
  </si>
  <si>
    <t>1840-5</t>
  </si>
  <si>
    <t>Underground Conduit - Secondary</t>
  </si>
  <si>
    <t>1830-4</t>
  </si>
  <si>
    <t>Poles, Towers and Fixtures - Primary</t>
  </si>
  <si>
    <t>1830-5</t>
  </si>
  <si>
    <t>Poles, Towers and Fixtures - Secondary</t>
  </si>
  <si>
    <t>1845-4</t>
  </si>
  <si>
    <t>Underground Conductors and Devices - Primary</t>
  </si>
  <si>
    <t>1845-5</t>
  </si>
  <si>
    <t>Underground Conductors and Devices - Secondary</t>
  </si>
  <si>
    <t>2022 Break Out (%)</t>
  </si>
  <si>
    <t>2016 Break Out (%)</t>
  </si>
  <si>
    <t>Change (%)</t>
  </si>
  <si>
    <t>VECC Interrogatory Responses - 7-VECC-29</t>
  </si>
  <si>
    <t>5315 - Customer Billing expenses (Postage and Folding Machine Leases)</t>
  </si>
  <si>
    <t>5315 - Customer Billing expenses (Canada Post)</t>
  </si>
  <si>
    <t>5315 - Customer Billing expenses (Letterhead)</t>
  </si>
  <si>
    <t>5315 - Customer Billing expenses (Supplies)</t>
  </si>
  <si>
    <t>Current</t>
  </si>
  <si>
    <t>GS &lt; 50 *</t>
  </si>
  <si>
    <t>GS &gt; 50</t>
  </si>
  <si>
    <t>Unmetered</t>
  </si>
  <si>
    <t>Weighting (Residential set as standard)</t>
  </si>
  <si>
    <t>Adjusted for E-Billing Impact</t>
  </si>
  <si>
    <t>Included in OM&amp;A</t>
  </si>
  <si>
    <t>Allocated to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</si>
</sst>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_-* #,##0.00_-;\-* #,##0.00_-;_-* &quot;-&quot;??_-;_-@_-"/>
    <numFmt numFmtId="167" formatCode="_-* #,##0.0000_-;\-* #,##0.0000_-;_-* &quot;-&quot;??_-;_-@_-"/>
    <numFmt numFmtId="168" formatCode="0.000"/>
    <numFmt numFmtId="169" formatCode="[$-409]mmmm\ d\,\ yyyy;@"/>
    <numFmt numFmtId="170" formatCode="0000000000"/>
    <numFmt numFmtId="171" formatCode="0.000E+00"/>
    <numFmt numFmtId="172" formatCode="0.0000"/>
    <numFmt numFmtId="173" formatCode="_-&quot;$&quot;* #,##0_-;\-&quot;$&quot;* #,##0_-;_-&quot;$&quot;* &quot;-&quot;??_-;_-@_-"/>
    <numFmt numFmtId="174" formatCode="_(&quot;$&quot;* #,##0_);_(&quot;$&quot;* \(#,##0\);_(&quot;$&quot;* &quot;-&quot;??_);_(@_)"/>
    <numFmt numFmtId="175" formatCode="_(* #,##0.0_);_(* \(#,##0.0\);_(* &quot;-&quot;??_);_(@_)"/>
    <numFmt numFmtId="176" formatCode="#,##0.0"/>
    <numFmt numFmtId="177" formatCode="mm/dd/yyyy"/>
    <numFmt numFmtId="178" formatCode="0\-0"/>
    <numFmt numFmtId="179" formatCode="##\-#"/>
    <numFmt numFmtId="180" formatCode="&quot;£ &quot;#,##0.00;[Red]\-&quot;£ &quot;#,##0.00"/>
    <numFmt numFmtId="181" formatCode="_-* #,##0.00_-;\-* #,##0.00_-;_-* \-??_-;_-@_-"/>
    <numFmt numFmtId="182" formatCode="_-\$* #,##0.00_-;&quot;-$&quot;* #,##0.00_-;_-\$* \-??_-;_-@_-"/>
    <numFmt numFmtId="183" formatCode="0.0%"/>
    <numFmt numFmtId="184" formatCode="_(&quot;$&quot;* #,##0.0_);_(&quot;$&quot;* \(#,##0.0\);_(&quot;$&quot;* &quot;-&quot;??_);_(@_)"/>
    <numFmt numFmtId="185" formatCode="_-* #,##0_-;\-* #,##0_-;_-* &quot;-&quot;??_-;_-@_-"/>
    <numFmt numFmtId="186" formatCode="0.0"/>
    <numFmt numFmtId="187" formatCode="_(&quot;$&quot;* #,##0.0000_);_(&quot;$&quot;* \(#,##0.0000\);_(&quot;$&quot;* &quot;-&quot;??_);_(@_)"/>
  </numFmts>
  <fonts count="67">
    <font>
      <sz val="11"/>
      <color theme="1"/>
      <name val="Calibri"/>
      <family val="2"/>
      <scheme val="minor"/>
    </font>
    <font>
      <b/>
      <sz val="11"/>
      <color theme="1"/>
      <name val="Calibri"/>
      <family val="2"/>
      <scheme val="minor"/>
    </font>
    <font>
      <sz val="10"/>
      <name val="Arial"/>
      <family val="2"/>
    </font>
    <font>
      <b/>
      <sz val="10"/>
      <name val="Arial"/>
      <family val="2"/>
    </font>
    <font>
      <sz val="11"/>
      <color theme="1"/>
      <name val="Calibri"/>
      <family val="2"/>
      <scheme val="minor"/>
    </font>
    <font>
      <sz val="10"/>
      <color theme="1"/>
      <name val="Calibri"/>
      <family val="2"/>
      <scheme val="minor"/>
    </font>
    <font>
      <b/>
      <sz val="10"/>
      <color theme="1"/>
      <name val="Calibri"/>
      <family val="2"/>
      <scheme val="minor"/>
    </font>
    <font>
      <b/>
      <sz val="14"/>
      <name val="Arial"/>
      <family val="2"/>
    </font>
    <font>
      <b/>
      <sz val="16"/>
      <name val="Arial"/>
      <family val="2"/>
    </font>
    <font>
      <b/>
      <sz val="14"/>
      <color indexed="9"/>
      <name val="Arial"/>
      <family val="2"/>
    </font>
    <font>
      <b/>
      <sz val="12"/>
      <name val="Arial"/>
      <family val="2"/>
    </font>
    <font>
      <sz val="12"/>
      <name val="Arial"/>
      <family val="2"/>
    </font>
    <font>
      <sz val="10"/>
      <color indexed="9"/>
      <name val="Arial"/>
      <family val="2"/>
    </font>
    <font>
      <sz val="8"/>
      <name val="Arial"/>
      <family val="2"/>
    </font>
    <font>
      <sz val="9"/>
      <name val="Arial"/>
      <family val="2"/>
    </font>
    <font>
      <b/>
      <u/>
      <sz val="16"/>
      <name val="Arial"/>
      <family val="2"/>
    </font>
    <font>
      <sz val="10"/>
      <color indexed="8"/>
      <name val="Arial"/>
      <family val="2"/>
    </font>
    <font>
      <sz val="10"/>
      <color indexed="12"/>
      <name val="Arial"/>
      <family val="2"/>
    </font>
    <font>
      <sz val="12"/>
      <color indexed="12"/>
      <name val="Arial"/>
      <family val="2"/>
    </font>
    <font>
      <sz val="10"/>
      <color rgb="FF0000FF"/>
      <name val="Arial"/>
      <family val="2"/>
    </font>
    <font>
      <b/>
      <sz val="14"/>
      <color indexed="8"/>
      <name val="Arial"/>
      <family val="2"/>
    </font>
    <font>
      <sz val="12"/>
      <color indexed="8"/>
      <name val="Arial"/>
      <family val="2"/>
    </font>
    <font>
      <b/>
      <u/>
      <sz val="14"/>
      <name val="Arial"/>
      <family val="2"/>
    </font>
    <font>
      <sz val="10"/>
      <color indexed="8"/>
      <name val="MS Sans Serif"/>
      <family val="2"/>
    </font>
    <font>
      <b/>
      <sz val="8"/>
      <name val="Arial"/>
      <family val="2"/>
    </font>
    <font>
      <b/>
      <sz val="9"/>
      <name val="Arial"/>
      <family val="2"/>
    </font>
    <font>
      <b/>
      <sz val="9"/>
      <color indexed="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libri Light"/>
      <family val="2"/>
      <scheme val="major"/>
    </font>
    <font>
      <sz val="10"/>
      <name val="Times New Roman"/>
      <family val="1"/>
    </font>
    <font>
      <sz val="10"/>
      <name val="Mangal"/>
      <family val="2"/>
      <charset val="1"/>
    </font>
    <font>
      <sz val="10"/>
      <name val="Arial"/>
      <family val="2"/>
      <charset val="1"/>
    </font>
    <font>
      <sz val="11"/>
      <color theme="1"/>
      <name val="Calibri"/>
      <family val="2"/>
    </font>
    <font>
      <sz val="10"/>
      <name val="Mangal"/>
      <family val="2"/>
    </font>
    <font>
      <b/>
      <vertAlign val="superscript"/>
      <sz val="10"/>
      <name val="Arial"/>
      <family val="2"/>
    </font>
    <font>
      <b/>
      <sz val="18"/>
      <name val="Arial"/>
      <family val="2"/>
    </font>
  </fonts>
  <fills count="7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indexed="43"/>
        <bgColor indexed="64"/>
      </patternFill>
    </fill>
    <fill>
      <patternFill patternType="solid">
        <fgColor indexed="22"/>
        <bgColor indexed="64"/>
      </patternFill>
    </fill>
    <fill>
      <patternFill patternType="solid">
        <fgColor indexed="31"/>
        <bgColor indexed="64"/>
      </patternFill>
    </fill>
    <fill>
      <patternFill patternType="solid">
        <fgColor rgb="FFFFCCFF"/>
        <bgColor indexed="64"/>
      </patternFill>
    </fill>
    <fill>
      <patternFill patternType="solid">
        <fgColor rgb="FFCCFFCC"/>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70C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9" tint="0.79998168889431442"/>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style="dashDot">
        <color indexed="64"/>
      </left>
      <right style="dashDotDot">
        <color indexed="64"/>
      </right>
      <top style="medium">
        <color indexed="64"/>
      </top>
      <bottom/>
      <diagonal/>
    </border>
    <border>
      <left/>
      <right/>
      <top style="medium">
        <color indexed="64"/>
      </top>
      <bottom/>
      <diagonal/>
    </border>
    <border>
      <left style="dashDotDot">
        <color indexed="64"/>
      </left>
      <right style="dashDotDot">
        <color indexed="64"/>
      </right>
      <top style="medium">
        <color indexed="64"/>
      </top>
      <bottom/>
      <diagonal/>
    </border>
    <border>
      <left style="dashDot">
        <color indexed="64"/>
      </left>
      <right style="dashDot">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ashDot">
        <color indexed="64"/>
      </right>
      <top style="medium">
        <color indexed="64"/>
      </top>
      <bottom/>
      <diagonal/>
    </border>
    <border>
      <left/>
      <right style="mediumDashed">
        <color indexed="64"/>
      </right>
      <top style="medium">
        <color indexed="64"/>
      </top>
      <bottom/>
      <diagonal/>
    </border>
    <border>
      <left style="mediumDashed">
        <color indexed="64"/>
      </left>
      <right style="dashDot">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ashDot">
        <color indexed="64"/>
      </left>
      <right style="dashDotDot">
        <color indexed="64"/>
      </right>
      <top/>
      <bottom/>
      <diagonal/>
    </border>
    <border>
      <left style="dashDotDot">
        <color indexed="64"/>
      </left>
      <right style="dashDotDot">
        <color indexed="64"/>
      </right>
      <top/>
      <bottom/>
      <diagonal/>
    </border>
    <border>
      <left style="dashDot">
        <color indexed="64"/>
      </left>
      <right style="dashDot">
        <color indexed="64"/>
      </right>
      <top/>
      <bottom/>
      <diagonal/>
    </border>
    <border>
      <left style="medium">
        <color indexed="64"/>
      </left>
      <right style="medium">
        <color indexed="64"/>
      </right>
      <top/>
      <bottom/>
      <diagonal/>
    </border>
    <border>
      <left style="medium">
        <color indexed="64"/>
      </left>
      <right style="dashDot">
        <color indexed="64"/>
      </right>
      <top/>
      <bottom/>
      <diagonal/>
    </border>
    <border>
      <left style="dashDot">
        <color indexed="64"/>
      </left>
      <right style="mediumDashed">
        <color indexed="64"/>
      </right>
      <top/>
      <bottom/>
      <diagonal/>
    </border>
    <border>
      <left style="mediumDashed">
        <color indexed="64"/>
      </left>
      <right style="dashDot">
        <color indexed="64"/>
      </right>
      <top/>
      <bottom/>
      <diagonal/>
    </border>
    <border>
      <left style="dashDot">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Dashed">
        <color indexed="64"/>
      </right>
      <top style="medium">
        <color indexed="64"/>
      </top>
      <bottom style="medium">
        <color indexed="64"/>
      </bottom>
      <diagonal/>
    </border>
    <border>
      <left style="mediumDashed">
        <color indexed="64"/>
      </left>
      <right/>
      <top style="medium">
        <color indexed="64"/>
      </top>
      <bottom style="medium">
        <color indexed="64"/>
      </bottom>
      <diagonal/>
    </border>
    <border>
      <left/>
      <right/>
      <top style="medium">
        <color indexed="64"/>
      </top>
      <bottom style="medium">
        <color indexed="64"/>
      </bottom>
      <diagonal/>
    </border>
    <border>
      <left/>
      <right style="dashDot">
        <color indexed="64"/>
      </right>
      <top style="medium">
        <color indexed="64"/>
      </top>
      <bottom/>
      <diagonal/>
    </border>
    <border>
      <left style="dashDot">
        <color indexed="64"/>
      </left>
      <right/>
      <top/>
      <bottom/>
      <diagonal/>
    </border>
    <border>
      <left/>
      <right style="dashDotDot">
        <color indexed="64"/>
      </right>
      <top/>
      <bottom/>
      <diagonal/>
    </border>
    <border>
      <left/>
      <right style="mediumDashed">
        <color indexed="64"/>
      </right>
      <top/>
      <bottom/>
      <diagonal/>
    </border>
    <border>
      <left style="mediumDashed">
        <color indexed="64"/>
      </left>
      <right/>
      <top/>
      <bottom/>
      <diagonal/>
    </border>
    <border>
      <left/>
      <right style="dashDot">
        <color indexed="64"/>
      </right>
      <top/>
      <bottom/>
      <diagonal/>
    </border>
    <border>
      <left style="dashDotDot">
        <color indexed="64"/>
      </left>
      <right/>
      <top/>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medium">
        <color indexed="64"/>
      </left>
      <right style="dashDot">
        <color indexed="64"/>
      </right>
      <top style="thin">
        <color indexed="22"/>
      </top>
      <bottom style="thin">
        <color indexed="22"/>
      </bottom>
      <diagonal/>
    </border>
    <border>
      <left style="mediumDashed">
        <color indexed="64"/>
      </left>
      <right style="dashDot">
        <color indexed="64"/>
      </right>
      <top style="thin">
        <color indexed="22"/>
      </top>
      <bottom style="thin">
        <color indexed="22"/>
      </bottom>
      <diagonal/>
    </border>
    <border>
      <left style="dashDot">
        <color indexed="64"/>
      </left>
      <right style="dashDot">
        <color indexed="64"/>
      </right>
      <top style="thin">
        <color indexed="22"/>
      </top>
      <bottom style="thin">
        <color indexed="22"/>
      </bottom>
      <diagonal/>
    </border>
    <border>
      <left/>
      <right style="mediumDashed">
        <color indexed="64"/>
      </right>
      <top style="thin">
        <color indexed="22"/>
      </top>
      <bottom style="thin">
        <color indexed="22"/>
      </bottom>
      <diagonal/>
    </border>
    <border>
      <left style="medium">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medium">
        <color indexed="64"/>
      </right>
      <top style="thin">
        <color indexed="22"/>
      </top>
      <bottom style="thin">
        <color indexed="22"/>
      </bottom>
      <diagonal/>
    </border>
    <border>
      <left style="dashDotDot">
        <color indexed="64"/>
      </left>
      <right style="dashDotDot">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dashDot">
        <color indexed="64"/>
      </right>
      <top style="thin">
        <color indexed="22"/>
      </top>
      <bottom style="thin">
        <color indexed="22"/>
      </bottom>
      <diagonal/>
    </border>
    <border>
      <left style="dashDotDot">
        <color indexed="64"/>
      </left>
      <right style="thin">
        <color theme="0" tint="-0.24994659260841701"/>
      </right>
      <top style="thin">
        <color indexed="22"/>
      </top>
      <bottom style="thin">
        <color theme="0" tint="-0.24994659260841701"/>
      </bottom>
      <diagonal/>
    </border>
    <border>
      <left style="thin">
        <color theme="0" tint="-0.24994659260841701"/>
      </left>
      <right style="thin">
        <color theme="0" tint="-0.24994659260841701"/>
      </right>
      <top style="thin">
        <color indexed="22"/>
      </top>
      <bottom style="thin">
        <color theme="0" tint="-0.24994659260841701"/>
      </bottom>
      <diagonal/>
    </border>
    <border>
      <left style="dashDotDot">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DotDot">
        <color indexed="64"/>
      </left>
      <right style="dashDotDot">
        <color indexed="64"/>
      </right>
      <top/>
      <bottom style="hair">
        <color indexed="64"/>
      </bottom>
      <diagonal/>
    </border>
    <border>
      <left/>
      <right/>
      <top/>
      <bottom style="hair">
        <color indexed="64"/>
      </bottom>
      <diagonal/>
    </border>
    <border>
      <left style="dashDot">
        <color indexed="64"/>
      </left>
      <right style="dashDot">
        <color indexed="8"/>
      </right>
      <top/>
      <bottom style="hair">
        <color indexed="64"/>
      </bottom>
      <diagonal/>
    </border>
    <border>
      <left style="medium">
        <color indexed="64"/>
      </left>
      <right style="medium">
        <color indexed="64"/>
      </right>
      <top/>
      <bottom style="hair">
        <color indexed="64"/>
      </bottom>
      <diagonal/>
    </border>
    <border>
      <left style="dashDot">
        <color indexed="64"/>
      </left>
      <right style="dashDot">
        <color indexed="64"/>
      </right>
      <top/>
      <bottom style="hair">
        <color indexed="64"/>
      </bottom>
      <diagonal/>
    </border>
    <border>
      <left style="dashDot">
        <color indexed="64"/>
      </left>
      <right/>
      <top/>
      <bottom style="hair">
        <color indexed="64"/>
      </bottom>
      <diagonal/>
    </border>
    <border>
      <left style="thin">
        <color indexed="22"/>
      </left>
      <right style="thin">
        <color indexed="22"/>
      </right>
      <top/>
      <bottom style="hair">
        <color indexed="64"/>
      </bottom>
      <diagonal/>
    </border>
    <border>
      <left/>
      <right style="medium">
        <color indexed="64"/>
      </right>
      <top/>
      <bottom style="hair">
        <color indexed="64"/>
      </bottom>
      <diagonal/>
    </border>
    <border>
      <left style="medium">
        <color indexed="64"/>
      </left>
      <right style="dashDot">
        <color indexed="64"/>
      </right>
      <top/>
      <bottom style="hair">
        <color indexed="64"/>
      </bottom>
      <diagonal/>
    </border>
    <border>
      <left style="mediumDashed">
        <color indexed="64"/>
      </left>
      <right style="dashDot">
        <color indexed="64"/>
      </right>
      <top/>
      <bottom style="hair">
        <color indexed="64"/>
      </bottom>
      <diagonal/>
    </border>
    <border>
      <left/>
      <right style="mediumDashed">
        <color indexed="64"/>
      </right>
      <top/>
      <bottom style="hair">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dashDotDot">
        <color indexed="64"/>
      </left>
      <right/>
      <top style="thin">
        <color theme="0" tint="-0.24994659260841701"/>
      </top>
      <bottom style="thin">
        <color theme="0" tint="-0.24994659260841701"/>
      </bottom>
      <diagonal/>
    </border>
    <border>
      <left style="dashDot">
        <color theme="1"/>
      </left>
      <right style="dashDotDot">
        <color indexed="64"/>
      </right>
      <top style="thin">
        <color theme="0" tint="-0.24994659260841701"/>
      </top>
      <bottom style="thin">
        <color theme="0" tint="-0.24994659260841701"/>
      </bottom>
      <diagonal/>
    </border>
    <border>
      <left style="dashDotDot">
        <color indexed="64"/>
      </left>
      <right style="dashDot">
        <color theme="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style="medium">
        <color indexed="64"/>
      </right>
      <top/>
      <bottom style="thin">
        <color theme="0" tint="-0.24994659260841701"/>
      </bottom>
      <diagonal/>
    </border>
    <border>
      <left style="dashDot">
        <color indexed="64"/>
      </left>
      <right style="dashDot">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dashDot">
        <color indexed="64"/>
      </right>
      <top/>
      <bottom style="thin">
        <color theme="0" tint="-0.24994659260841701"/>
      </bottom>
      <diagonal/>
    </border>
    <border>
      <left style="mediumDashed">
        <color indexed="64"/>
      </left>
      <right style="dashDot">
        <color indexed="64"/>
      </right>
      <top/>
      <bottom style="thin">
        <color theme="0" tint="-0.24994659260841701"/>
      </bottom>
      <diagonal/>
    </border>
    <border>
      <left/>
      <right style="mediumDashed">
        <color indexed="64"/>
      </right>
      <top/>
      <bottom style="thin">
        <color theme="0" tint="-0.24994659260841701"/>
      </bottom>
      <diagonal/>
    </border>
    <border>
      <left style="medium">
        <color indexed="64"/>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dashDot">
        <color indexed="64"/>
      </left>
      <right style="dashDot">
        <color indexed="64"/>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dashDot">
        <color indexed="64"/>
      </right>
      <top style="thin">
        <color theme="0" tint="-0.24994659260841701"/>
      </top>
      <bottom style="thin">
        <color theme="0" tint="-0.24994659260841701"/>
      </bottom>
      <diagonal/>
    </border>
    <border>
      <left style="mediumDashed">
        <color indexed="64"/>
      </left>
      <right style="dashDot">
        <color indexed="64"/>
      </right>
      <top style="thin">
        <color theme="0" tint="-0.24994659260841701"/>
      </top>
      <bottom style="thin">
        <color theme="0" tint="-0.24994659260841701"/>
      </bottom>
      <diagonal/>
    </border>
    <border>
      <left/>
      <right style="mediumDashed">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dashDotDot">
        <color indexed="64"/>
      </left>
      <right style="dashDotDot">
        <color indexed="64"/>
      </right>
      <top style="thin">
        <color indexed="64"/>
      </top>
      <bottom/>
      <diagonal/>
    </border>
    <border>
      <left style="dashDot">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medium">
        <color indexed="64"/>
      </left>
      <right style="dashDot">
        <color indexed="64"/>
      </right>
      <top/>
      <bottom style="thin">
        <color indexed="22"/>
      </bottom>
      <diagonal/>
    </border>
    <border>
      <left style="mediumDashed">
        <color indexed="64"/>
      </left>
      <right style="dashDot">
        <color indexed="64"/>
      </right>
      <top/>
      <bottom style="thin">
        <color indexed="22"/>
      </bottom>
      <diagonal/>
    </border>
    <border>
      <left style="dashDot">
        <color indexed="64"/>
      </left>
      <right style="dashDot">
        <color indexed="64"/>
      </right>
      <top/>
      <bottom style="thin">
        <color indexed="22"/>
      </bottom>
      <diagonal/>
    </border>
    <border>
      <left/>
      <right style="mediumDashed">
        <color indexed="64"/>
      </right>
      <top/>
      <bottom style="thin">
        <color indexed="22"/>
      </bottom>
      <diagonal/>
    </border>
    <border>
      <left style="medium">
        <color indexed="64"/>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style="medium">
        <color indexed="64"/>
      </right>
      <top/>
      <bottom style="thin">
        <color indexed="22"/>
      </bottom>
      <diagonal/>
    </border>
    <border>
      <left style="dashDot">
        <color indexed="64"/>
      </left>
      <right/>
      <top style="thin">
        <color indexed="22"/>
      </top>
      <bottom style="thin">
        <color indexed="22"/>
      </bottom>
      <diagonal/>
    </border>
    <border>
      <left style="dashDotDot">
        <color indexed="64"/>
      </left>
      <right style="medium">
        <color indexed="64"/>
      </right>
      <top style="thin">
        <color indexed="22"/>
      </top>
      <bottom style="thin">
        <color indexed="22"/>
      </bottom>
      <diagonal/>
    </border>
    <border>
      <left style="thin">
        <color theme="0" tint="-0.24994659260841701"/>
      </left>
      <right/>
      <top style="thin">
        <color theme="0" tint="-0.24994659260841701"/>
      </top>
      <bottom style="thin">
        <color theme="0" tint="-0.24994659260841701"/>
      </bottom>
      <diagonal/>
    </border>
    <border>
      <left style="medium">
        <color indexed="64"/>
      </left>
      <right style="medium">
        <color indexed="64"/>
      </right>
      <top style="thin">
        <color indexed="22"/>
      </top>
      <bottom/>
      <diagonal/>
    </border>
    <border>
      <left/>
      <right/>
      <top style="thin">
        <color indexed="22"/>
      </top>
      <bottom/>
      <diagonal/>
    </border>
    <border>
      <left style="dashDot">
        <color indexed="64"/>
      </left>
      <right style="dashDot">
        <color indexed="64"/>
      </right>
      <top style="thin">
        <color indexed="22"/>
      </top>
      <bottom/>
      <diagonal/>
    </border>
    <border>
      <left style="thin">
        <color indexed="22"/>
      </left>
      <right style="thin">
        <color indexed="22"/>
      </right>
      <top style="thin">
        <color indexed="22"/>
      </top>
      <bottom/>
      <diagonal/>
    </border>
    <border>
      <left/>
      <right style="medium">
        <color indexed="64"/>
      </right>
      <top style="thin">
        <color indexed="22"/>
      </top>
      <bottom/>
      <diagonal/>
    </border>
    <border>
      <left style="medium">
        <color indexed="64"/>
      </left>
      <right style="dashDot">
        <color indexed="64"/>
      </right>
      <top style="thin">
        <color indexed="22"/>
      </top>
      <bottom/>
      <diagonal/>
    </border>
    <border>
      <left style="mediumDashed">
        <color indexed="64"/>
      </left>
      <right style="dashDot">
        <color indexed="64"/>
      </right>
      <top style="thin">
        <color indexed="22"/>
      </top>
      <bottom/>
      <diagonal/>
    </border>
    <border>
      <left/>
      <right style="mediumDashed">
        <color indexed="64"/>
      </right>
      <top style="thin">
        <color indexed="22"/>
      </top>
      <bottom/>
      <diagonal/>
    </border>
    <border>
      <left style="medium">
        <color indexed="64"/>
      </left>
      <right style="thin">
        <color indexed="64"/>
      </right>
      <top style="thin">
        <color indexed="22"/>
      </top>
      <bottom/>
      <diagonal/>
    </border>
    <border>
      <left style="thin">
        <color indexed="64"/>
      </left>
      <right style="thin">
        <color indexed="64"/>
      </right>
      <top style="thin">
        <color indexed="22"/>
      </top>
      <bottom/>
      <diagonal/>
    </border>
    <border>
      <left style="thin">
        <color indexed="64"/>
      </left>
      <right style="medium">
        <color indexed="64"/>
      </right>
      <top style="thin">
        <color indexed="22"/>
      </top>
      <bottom/>
      <diagonal/>
    </border>
    <border>
      <left style="dashDot">
        <color indexed="64"/>
      </left>
      <right style="dashDotDot">
        <color indexed="64"/>
      </right>
      <top/>
      <bottom style="medium">
        <color indexed="64"/>
      </bottom>
      <diagonal/>
    </border>
    <border>
      <left style="dashDotDot">
        <color indexed="64"/>
      </left>
      <right style="dashDotDot">
        <color indexed="64"/>
      </right>
      <top/>
      <bottom style="medium">
        <color indexed="64"/>
      </bottom>
      <diagonal/>
    </border>
    <border>
      <left style="dashDot">
        <color indexed="64"/>
      </left>
      <right/>
      <top/>
      <bottom style="medium">
        <color indexed="64"/>
      </bottom>
      <diagonal/>
    </border>
    <border>
      <left style="dashDotDot">
        <color indexed="64"/>
      </left>
      <right style="medium">
        <color indexed="64"/>
      </right>
      <top style="thin">
        <color indexed="22"/>
      </top>
      <bottom style="medium">
        <color indexed="64"/>
      </bottom>
      <diagonal/>
    </border>
    <border>
      <left style="medium">
        <color indexed="64"/>
      </left>
      <right style="medium">
        <color indexed="64"/>
      </right>
      <top/>
      <bottom style="medium">
        <color indexed="64"/>
      </bottom>
      <diagonal/>
    </border>
    <border>
      <left style="dashDot">
        <color indexed="64"/>
      </left>
      <right style="dashDot">
        <color indexed="64"/>
      </right>
      <top/>
      <bottom style="medium">
        <color indexed="64"/>
      </bottom>
      <diagonal/>
    </border>
    <border>
      <left/>
      <right style="medium">
        <color indexed="64"/>
      </right>
      <top/>
      <bottom style="medium">
        <color indexed="64"/>
      </bottom>
      <diagonal/>
    </border>
    <border>
      <left style="medium">
        <color indexed="64"/>
      </left>
      <right style="dashDot">
        <color indexed="64"/>
      </right>
      <top/>
      <bottom style="medium">
        <color indexed="64"/>
      </bottom>
      <diagonal/>
    </border>
    <border>
      <left/>
      <right style="mediumDashed">
        <color indexed="64"/>
      </right>
      <top/>
      <bottom style="medium">
        <color indexed="64"/>
      </bottom>
      <diagonal/>
    </border>
    <border>
      <left style="mediumDashed">
        <color indexed="64"/>
      </left>
      <right style="dashDot">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rgb="FF0070C0"/>
      </bottom>
      <diagonal/>
    </border>
    <border>
      <left/>
      <right style="thin">
        <color rgb="FF0070C0"/>
      </right>
      <top style="thin">
        <color rgb="FF0070C0"/>
      </top>
      <bottom/>
      <diagonal/>
    </border>
    <border>
      <left/>
      <right style="thin">
        <color rgb="FF0070C0"/>
      </right>
      <top/>
      <bottom/>
      <diagonal/>
    </border>
    <border>
      <left style="thin">
        <color rgb="FF0070C0"/>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style="thin">
        <color rgb="FF0070C0"/>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0"/>
      </top>
      <bottom/>
      <diagonal/>
    </border>
  </borders>
  <cellStyleXfs count="231">
    <xf numFmtId="0" fontId="0"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0" fontId="4" fillId="0" borderId="0"/>
    <xf numFmtId="0" fontId="2" fillId="0" borderId="0"/>
    <xf numFmtId="0" fontId="23" fillId="0" borderId="0"/>
    <xf numFmtId="16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0"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47" borderId="0" applyNumberFormat="0" applyBorder="0" applyAlignment="0" applyProtection="0"/>
    <xf numFmtId="0" fontId="42" fillId="50" borderId="0" applyNumberFormat="0" applyBorder="0" applyAlignment="0" applyProtection="0"/>
    <xf numFmtId="0" fontId="42" fillId="53" borderId="0" applyNumberFormat="0" applyBorder="0" applyAlignment="0" applyProtection="0"/>
    <xf numFmtId="0" fontId="43" fillId="54"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5" borderId="0" applyNumberFormat="0" applyBorder="0" applyAlignment="0" applyProtection="0"/>
    <xf numFmtId="0" fontId="43" fillId="56" borderId="0" applyNumberFormat="0" applyBorder="0" applyAlignment="0" applyProtection="0"/>
    <xf numFmtId="0" fontId="43" fillId="57" borderId="0" applyNumberFormat="0" applyBorder="0" applyAlignment="0" applyProtection="0"/>
    <xf numFmtId="0" fontId="43" fillId="58" borderId="0" applyNumberFormat="0" applyBorder="0" applyAlignment="0" applyProtection="0"/>
    <xf numFmtId="0" fontId="43" fillId="59" borderId="0" applyNumberFormat="0" applyBorder="0" applyAlignment="0" applyProtection="0"/>
    <xf numFmtId="0" fontId="43" fillId="60" borderId="0" applyNumberFormat="0" applyBorder="0" applyAlignment="0" applyProtection="0"/>
    <xf numFmtId="0" fontId="43" fillId="55" borderId="0" applyNumberFormat="0" applyBorder="0" applyAlignment="0" applyProtection="0"/>
    <xf numFmtId="0" fontId="43" fillId="56" borderId="0" applyNumberFormat="0" applyBorder="0" applyAlignment="0" applyProtection="0"/>
    <xf numFmtId="0" fontId="43" fillId="61" borderId="0" applyNumberFormat="0" applyBorder="0" applyAlignment="0" applyProtection="0"/>
    <xf numFmtId="0" fontId="44" fillId="45" borderId="0" applyNumberFormat="0" applyBorder="0" applyAlignment="0" applyProtection="0"/>
    <xf numFmtId="0" fontId="45" fillId="62" borderId="159" applyNumberFormat="0" applyAlignment="0" applyProtection="0"/>
    <xf numFmtId="0" fontId="46" fillId="63" borderId="160" applyNumberFormat="0" applyAlignment="0" applyProtection="0"/>
    <xf numFmtId="166" fontId="2" fillId="0" borderId="0" applyFont="0" applyFill="0" applyBorder="0" applyAlignment="0" applyProtection="0"/>
    <xf numFmtId="0" fontId="47" fillId="0" borderId="0" applyNumberFormat="0" applyFill="0" applyBorder="0" applyAlignment="0" applyProtection="0"/>
    <xf numFmtId="0" fontId="48" fillId="46" borderId="0" applyNumberFormat="0" applyBorder="0" applyAlignment="0" applyProtection="0"/>
    <xf numFmtId="0" fontId="49" fillId="0" borderId="161" applyNumberFormat="0" applyFill="0" applyAlignment="0" applyProtection="0"/>
    <xf numFmtId="0" fontId="50" fillId="0" borderId="162" applyNumberFormat="0" applyFill="0" applyAlignment="0" applyProtection="0"/>
    <xf numFmtId="0" fontId="51" fillId="0" borderId="163" applyNumberFormat="0" applyFill="0" applyAlignment="0" applyProtection="0"/>
    <xf numFmtId="0" fontId="51" fillId="0" borderId="0" applyNumberFormat="0" applyFill="0" applyBorder="0" applyAlignment="0" applyProtection="0"/>
    <xf numFmtId="0" fontId="52" fillId="49" borderId="159" applyNumberFormat="0" applyAlignment="0" applyProtection="0"/>
    <xf numFmtId="0" fontId="53" fillId="0" borderId="164" applyNumberFormat="0" applyFill="0" applyAlignment="0" applyProtection="0"/>
    <xf numFmtId="0" fontId="54" fillId="64" borderId="0" applyNumberFormat="0" applyBorder="0" applyAlignment="0" applyProtection="0"/>
    <xf numFmtId="0" fontId="2" fillId="65" borderId="61" applyNumberFormat="0" applyFont="0" applyAlignment="0" applyProtection="0"/>
    <xf numFmtId="0" fontId="55" fillId="62" borderId="165" applyNumberFormat="0" applyAlignment="0" applyProtection="0"/>
    <xf numFmtId="9" fontId="2" fillId="0" borderId="0" applyFont="0" applyFill="0" applyBorder="0" applyAlignment="0" applyProtection="0"/>
    <xf numFmtId="0" fontId="56" fillId="0" borderId="0" applyNumberFormat="0" applyFill="0" applyBorder="0" applyAlignment="0" applyProtection="0"/>
    <xf numFmtId="0" fontId="57" fillId="0" borderId="166" applyNumberFormat="0" applyFill="0" applyAlignment="0" applyProtection="0"/>
    <xf numFmtId="0" fontId="58" fillId="0" borderId="0" applyNumberFormat="0" applyFill="0" applyBorder="0" applyAlignment="0" applyProtection="0"/>
    <xf numFmtId="0" fontId="2" fillId="0" borderId="0"/>
    <xf numFmtId="0" fontId="59" fillId="0" borderId="0" applyNumberFormat="0" applyFill="0" applyBorder="0" applyAlignment="0" applyProtection="0"/>
    <xf numFmtId="0" fontId="28" fillId="0" borderId="151" applyNumberFormat="0" applyFill="0" applyAlignment="0" applyProtection="0"/>
    <xf numFmtId="0" fontId="27" fillId="0" borderId="150" applyNumberFormat="0" applyFill="0" applyAlignment="0" applyProtection="0"/>
    <xf numFmtId="0" fontId="4" fillId="0" borderId="0"/>
    <xf numFmtId="0" fontId="29" fillId="0" borderId="152" applyNumberFormat="0" applyFill="0" applyAlignment="0" applyProtection="0"/>
    <xf numFmtId="0" fontId="29" fillId="0" borderId="0" applyNumberFormat="0" applyFill="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2" fillId="15" borderId="0" applyNumberFormat="0" applyBorder="0" applyAlignment="0" applyProtection="0"/>
    <xf numFmtId="0" fontId="33" fillId="16" borderId="153" applyNumberFormat="0" applyAlignment="0" applyProtection="0"/>
    <xf numFmtId="0" fontId="34" fillId="17" borderId="154" applyNumberFormat="0" applyAlignment="0" applyProtection="0"/>
    <xf numFmtId="0" fontId="35" fillId="17" borderId="153" applyNumberFormat="0" applyAlignment="0" applyProtection="0"/>
    <xf numFmtId="0" fontId="36" fillId="0" borderId="155" applyNumberFormat="0" applyFill="0" applyAlignment="0" applyProtection="0"/>
    <xf numFmtId="0" fontId="37" fillId="18" borderId="156" applyNumberFormat="0" applyAlignment="0" applyProtection="0"/>
    <xf numFmtId="0" fontId="38" fillId="0" borderId="0" applyNumberFormat="0" applyFill="0" applyBorder="0" applyAlignment="0" applyProtection="0"/>
    <xf numFmtId="0" fontId="4" fillId="19" borderId="157" applyNumberFormat="0" applyFont="0" applyAlignment="0" applyProtection="0"/>
    <xf numFmtId="0" fontId="39" fillId="0" borderId="0" applyNumberFormat="0" applyFill="0" applyBorder="0" applyAlignment="0" applyProtection="0"/>
    <xf numFmtId="0" fontId="1" fillId="0" borderId="158" applyNumberFormat="0" applyFill="0" applyAlignment="0" applyProtection="0"/>
    <xf numFmtId="0" fontId="40"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0" fillId="43" borderId="0" applyNumberFormat="0" applyBorder="0" applyAlignment="0" applyProtection="0"/>
    <xf numFmtId="0" fontId="4" fillId="0" borderId="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166" fontId="4" fillId="0" borderId="0" applyFont="0" applyFill="0" applyBorder="0" applyAlignment="0" applyProtection="0"/>
    <xf numFmtId="175" fontId="2" fillId="0" borderId="0"/>
    <xf numFmtId="176" fontId="2" fillId="0" borderId="0"/>
    <xf numFmtId="175" fontId="2" fillId="0" borderId="0"/>
    <xf numFmtId="175" fontId="2" fillId="0" borderId="0"/>
    <xf numFmtId="175" fontId="2" fillId="0" borderId="0"/>
    <xf numFmtId="175" fontId="2" fillId="0" borderId="0"/>
    <xf numFmtId="177" fontId="2" fillId="0" borderId="0"/>
    <xf numFmtId="178" fontId="2" fillId="0" borderId="0"/>
    <xf numFmtId="177" fontId="2" fillId="0" borderId="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38" fontId="13" fillId="5" borderId="0" applyNumberFormat="0" applyBorder="0" applyAlignment="0" applyProtection="0"/>
    <xf numFmtId="10" fontId="13" fillId="67" borderId="1" applyNumberFormat="0" applyBorder="0" applyAlignment="0" applyProtection="0"/>
    <xf numFmtId="179" fontId="2" fillId="0" borderId="0"/>
    <xf numFmtId="165" fontId="2" fillId="0" borderId="0"/>
    <xf numFmtId="179" fontId="2" fillId="0" borderId="0"/>
    <xf numFmtId="179" fontId="2" fillId="0" borderId="0"/>
    <xf numFmtId="179" fontId="2" fillId="0" borderId="0"/>
    <xf numFmtId="179" fontId="2" fillId="0" borderId="0"/>
    <xf numFmtId="180" fontId="2" fillId="0" borderId="0"/>
    <xf numFmtId="10" fontId="2"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164" fontId="2" fillId="0" borderId="0" applyFont="0" applyFill="0" applyBorder="0" applyAlignment="0" applyProtection="0"/>
    <xf numFmtId="181" fontId="61" fillId="0" borderId="0" applyFill="0" applyBorder="0" applyAlignment="0" applyProtection="0"/>
    <xf numFmtId="9" fontId="61" fillId="0" borderId="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63" fillId="0" borderId="0"/>
    <xf numFmtId="0" fontId="63" fillId="0" borderId="0"/>
    <xf numFmtId="0" fontId="4" fillId="0" borderId="0"/>
    <xf numFmtId="0" fontId="4" fillId="0" borderId="0"/>
    <xf numFmtId="43" fontId="4"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62" fillId="0" borderId="0"/>
    <xf numFmtId="182" fontId="64" fillId="0" borderId="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181" fontId="64" fillId="0" borderId="0" applyFill="0" applyBorder="0" applyAlignment="0" applyProtection="0"/>
    <xf numFmtId="164" fontId="4" fillId="0" borderId="0" applyFont="0" applyFill="0" applyBorder="0" applyAlignment="0" applyProtection="0"/>
    <xf numFmtId="166" fontId="2" fillId="0" borderId="0" applyFont="0" applyFill="0" applyBorder="0" applyAlignment="0" applyProtection="0"/>
    <xf numFmtId="0" fontId="4" fillId="0" borderId="0"/>
    <xf numFmtId="0" fontId="2" fillId="0" borderId="0"/>
    <xf numFmtId="0" fontId="2" fillId="65" borderId="61" applyNumberFormat="0" applyFont="0" applyAlignment="0" applyProtection="0"/>
    <xf numFmtId="0" fontId="4" fillId="0" borderId="0"/>
    <xf numFmtId="0" fontId="2" fillId="0" borderId="0"/>
    <xf numFmtId="0" fontId="2" fillId="0" borderId="0"/>
    <xf numFmtId="0" fontId="2" fillId="0" borderId="0"/>
    <xf numFmtId="0" fontId="4" fillId="19" borderId="157" applyNumberFormat="0" applyFont="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63" fillId="0" borderId="0"/>
    <xf numFmtId="0" fontId="4" fillId="0" borderId="0"/>
    <xf numFmtId="0" fontId="4" fillId="0" borderId="0"/>
    <xf numFmtId="43" fontId="4" fillId="0" borderId="0" applyFont="0" applyFill="0" applyBorder="0" applyAlignment="0" applyProtection="0"/>
    <xf numFmtId="0" fontId="2" fillId="0" borderId="0"/>
    <xf numFmtId="164" fontId="4" fillId="0" borderId="0" applyFont="0" applyFill="0" applyBorder="0" applyAlignment="0" applyProtection="0"/>
    <xf numFmtId="0" fontId="4" fillId="0" borderId="0"/>
    <xf numFmtId="0" fontId="2" fillId="0" borderId="0"/>
    <xf numFmtId="0" fontId="52" fillId="49" borderId="159" applyNumberFormat="0" applyAlignment="0" applyProtection="0"/>
    <xf numFmtId="9" fontId="2" fillId="0" borderId="0" applyFont="0" applyFill="0" applyBorder="0" applyAlignment="0" applyProtection="0"/>
    <xf numFmtId="0" fontId="2" fillId="0" borderId="0"/>
    <xf numFmtId="181" fontId="61" fillId="0" borderId="0" applyFill="0" applyBorder="0" applyAlignment="0" applyProtection="0"/>
    <xf numFmtId="9" fontId="2" fillId="0" borderId="0" applyFont="0" applyFill="0" applyBorder="0" applyAlignment="0" applyProtection="0"/>
    <xf numFmtId="0" fontId="60" fillId="0" borderId="0"/>
    <xf numFmtId="0" fontId="60" fillId="0" borderId="0"/>
    <xf numFmtId="0" fontId="52" fillId="49" borderId="159" applyNumberFormat="0" applyAlignment="0" applyProtection="0"/>
    <xf numFmtId="0" fontId="2" fillId="0" borderId="0"/>
    <xf numFmtId="0" fontId="66" fillId="0" borderId="0" applyNumberFormat="0" applyFont="0" applyFill="0" applyAlignment="0" applyProtection="0"/>
    <xf numFmtId="0" fontId="10" fillId="0" borderId="0" applyNumberFormat="0" applyFont="0" applyFill="0" applyAlignment="0" applyProtection="0"/>
    <xf numFmtId="9" fontId="2" fillId="0" borderId="0" applyFont="0" applyFill="0" applyBorder="0" applyAlignment="0" applyProtection="0"/>
    <xf numFmtId="0" fontId="2" fillId="0" borderId="190" applyNumberFormat="0" applyFont="0" applyBorder="0" applyAlignment="0" applyProtection="0"/>
    <xf numFmtId="9" fontId="2" fillId="0" borderId="0" applyFont="0" applyFill="0" applyBorder="0" applyAlignment="0" applyProtection="0"/>
  </cellStyleXfs>
  <cellXfs count="820">
    <xf numFmtId="0" fontId="0" fillId="0" borderId="0" xfId="0"/>
    <xf numFmtId="0" fontId="3" fillId="0" borderId="1" xfId="1" applyFont="1" applyBorder="1" applyProtection="1">
      <protection locked="0"/>
    </xf>
    <xf numFmtId="0" fontId="3" fillId="0" borderId="1" xfId="0" applyFont="1" applyBorder="1" applyAlignment="1">
      <alignment horizontal="center" vertical="center"/>
    </xf>
    <xf numFmtId="0" fontId="3" fillId="2" borderId="1" xfId="1" applyFont="1" applyFill="1" applyBorder="1" applyProtection="1">
      <protection locked="0"/>
    </xf>
    <xf numFmtId="0" fontId="0" fillId="2" borderId="1" xfId="2" applyNumberFormat="1" applyFont="1" applyFill="1" applyBorder="1" applyAlignment="1" applyProtection="1">
      <alignment horizontal="center"/>
      <protection locked="0"/>
    </xf>
    <xf numFmtId="165" fontId="2" fillId="2" borderId="1" xfId="2" applyNumberFormat="1" applyFont="1" applyFill="1" applyBorder="1" applyProtection="1">
      <protection locked="0"/>
    </xf>
    <xf numFmtId="0" fontId="2" fillId="3" borderId="1" xfId="1" applyFill="1" applyBorder="1" applyProtection="1">
      <protection locked="0"/>
    </xf>
    <xf numFmtId="165" fontId="0" fillId="3" borderId="1" xfId="2" applyNumberFormat="1" applyFont="1" applyFill="1" applyBorder="1" applyProtection="1">
      <protection locked="0"/>
    </xf>
    <xf numFmtId="165" fontId="0" fillId="3" borderId="1" xfId="3" applyNumberFormat="1" applyFont="1" applyFill="1" applyBorder="1" applyProtection="1">
      <protection locked="0"/>
    </xf>
    <xf numFmtId="0" fontId="3" fillId="3" borderId="1" xfId="1" applyFont="1" applyFill="1" applyBorder="1" applyProtection="1">
      <protection locked="0"/>
    </xf>
    <xf numFmtId="165" fontId="0" fillId="0" borderId="1" xfId="2" applyNumberFormat="1" applyFont="1" applyFill="1" applyBorder="1" applyProtection="1">
      <protection locked="0"/>
    </xf>
    <xf numFmtId="0" fontId="3" fillId="2" borderId="1" xfId="1" applyFont="1" applyFill="1" applyBorder="1" applyAlignment="1" applyProtection="1">
      <alignment wrapText="1"/>
      <protection locked="0"/>
    </xf>
    <xf numFmtId="165" fontId="0" fillId="2" borderId="1" xfId="2" applyNumberFormat="1" applyFont="1" applyFill="1" applyBorder="1" applyProtection="1">
      <protection locked="0"/>
    </xf>
    <xf numFmtId="165" fontId="0" fillId="3" borderId="2" xfId="2" applyNumberFormat="1" applyFont="1" applyFill="1" applyBorder="1" applyProtection="1">
      <protection locked="0"/>
    </xf>
    <xf numFmtId="165" fontId="0" fillId="3" borderId="3" xfId="2" applyNumberFormat="1" applyFont="1" applyFill="1" applyBorder="1" applyProtection="1">
      <protection locked="0"/>
    </xf>
    <xf numFmtId="0" fontId="3" fillId="0" borderId="1" xfId="1" applyFont="1" applyFill="1" applyBorder="1" applyProtection="1">
      <protection locked="0"/>
    </xf>
    <xf numFmtId="165" fontId="0" fillId="0" borderId="3" xfId="2" applyNumberFormat="1" applyFont="1" applyFill="1" applyBorder="1" applyProtection="1">
      <protection locked="0"/>
    </xf>
    <xf numFmtId="0" fontId="3" fillId="0" borderId="4" xfId="1" applyFont="1" applyBorder="1" applyProtection="1">
      <protection locked="0"/>
    </xf>
    <xf numFmtId="165" fontId="0" fillId="0" borderId="1" xfId="3" applyNumberFormat="1" applyFont="1" applyFill="1" applyBorder="1" applyProtection="1">
      <protection locked="0"/>
    </xf>
    <xf numFmtId="0" fontId="3" fillId="0" borderId="5" xfId="1" applyFont="1" applyBorder="1" applyProtection="1">
      <protection locked="0"/>
    </xf>
    <xf numFmtId="165" fontId="3" fillId="0" borderId="6" xfId="3" applyNumberFormat="1" applyFont="1" applyFill="1" applyBorder="1" applyProtection="1">
      <protection locked="0"/>
    </xf>
    <xf numFmtId="0" fontId="0" fillId="2" borderId="1" xfId="2" applyNumberFormat="1" applyFont="1" applyFill="1" applyBorder="1" applyAlignment="1" applyProtection="1">
      <alignment horizontal="center" wrapText="1"/>
      <protection locked="0"/>
    </xf>
    <xf numFmtId="0" fontId="2" fillId="3" borderId="1" xfId="1" applyFont="1" applyFill="1" applyBorder="1" applyProtection="1">
      <protection locked="0"/>
    </xf>
    <xf numFmtId="0" fontId="2" fillId="3" borderId="1" xfId="1" applyFont="1" applyFill="1" applyBorder="1" applyAlignment="1" applyProtection="1">
      <alignment wrapText="1"/>
      <protection locked="0"/>
    </xf>
    <xf numFmtId="0" fontId="3" fillId="3" borderId="4" xfId="1" applyFont="1" applyFill="1" applyBorder="1" applyProtection="1">
      <protection locked="0"/>
    </xf>
    <xf numFmtId="165" fontId="1" fillId="0" borderId="0" xfId="4" applyNumberFormat="1" applyFont="1"/>
    <xf numFmtId="0" fontId="0" fillId="0" borderId="7" xfId="0" applyBorder="1"/>
    <xf numFmtId="0" fontId="0" fillId="0" borderId="0" xfId="0" applyBorder="1"/>
    <xf numFmtId="167" fontId="0" fillId="0" borderId="0" xfId="5" applyNumberFormat="1" applyFont="1" applyBorder="1"/>
    <xf numFmtId="43" fontId="4" fillId="0" borderId="0" xfId="6" applyNumberFormat="1" applyAlignment="1">
      <alignment horizontal="center"/>
    </xf>
    <xf numFmtId="166" fontId="0" fillId="0" borderId="0" xfId="5" applyFont="1" applyAlignment="1">
      <alignment horizontal="center"/>
    </xf>
    <xf numFmtId="166" fontId="0" fillId="0" borderId="7" xfId="5" applyNumberFormat="1" applyFont="1" applyBorder="1"/>
    <xf numFmtId="166" fontId="0" fillId="0" borderId="0" xfId="5" applyNumberFormat="1" applyFont="1"/>
    <xf numFmtId="166" fontId="0" fillId="0" borderId="0" xfId="5" applyFont="1" applyFill="1" applyAlignment="1">
      <alignment horizontal="center"/>
    </xf>
    <xf numFmtId="0" fontId="5" fillId="0" borderId="0" xfId="0" applyFont="1"/>
    <xf numFmtId="0" fontId="2" fillId="0" borderId="0" xfId="7" applyFont="1"/>
    <xf numFmtId="0" fontId="6" fillId="0" borderId="8" xfId="6" applyFont="1" applyBorder="1" applyAlignment="1">
      <alignment horizontal="center"/>
    </xf>
    <xf numFmtId="0" fontId="2" fillId="0" borderId="0" xfId="7"/>
    <xf numFmtId="0" fontId="2" fillId="0" borderId="0" xfId="7" applyBorder="1"/>
    <xf numFmtId="0" fontId="6" fillId="0" borderId="8" xfId="6" applyFont="1" applyBorder="1" applyAlignment="1">
      <alignment horizontal="center" wrapText="1"/>
    </xf>
    <xf numFmtId="0" fontId="7" fillId="0" borderId="0" xfId="7" applyFont="1" applyBorder="1" applyAlignment="1" applyProtection="1">
      <alignment vertical="center"/>
    </xf>
    <xf numFmtId="0" fontId="7"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7" fillId="0" borderId="0" xfId="7" applyFont="1" applyBorder="1" applyAlignment="1" applyProtection="1">
      <alignment horizontal="center" vertical="center"/>
    </xf>
    <xf numFmtId="49" fontId="7" fillId="0" borderId="0" xfId="7" applyNumberFormat="1" applyFont="1" applyBorder="1" applyAlignment="1" applyProtection="1">
      <alignment horizontal="center" vertical="center"/>
    </xf>
    <xf numFmtId="0" fontId="10" fillId="0" borderId="0" xfId="7" applyFont="1" applyBorder="1" applyAlignment="1" applyProtection="1">
      <alignment horizontal="center" vertical="center"/>
    </xf>
    <xf numFmtId="0" fontId="2" fillId="0" borderId="0" xfId="7" applyBorder="1" applyAlignment="1" applyProtection="1">
      <alignment vertical="center"/>
    </xf>
    <xf numFmtId="0" fontId="2" fillId="0" borderId="0" xfId="7" applyBorder="1" applyAlignment="1" applyProtection="1">
      <alignment horizontal="center" vertical="center"/>
    </xf>
    <xf numFmtId="49" fontId="10" fillId="0" borderId="0" xfId="7" applyNumberFormat="1" applyFont="1" applyFill="1" applyBorder="1" applyAlignment="1" applyProtection="1">
      <alignment horizontal="left" vertical="center"/>
    </xf>
    <xf numFmtId="49" fontId="11" fillId="0" borderId="8" xfId="7" applyNumberFormat="1" applyFont="1" applyBorder="1" applyAlignment="1" applyProtection="1">
      <alignment horizontal="left" vertical="center"/>
    </xf>
    <xf numFmtId="0" fontId="2" fillId="0" borderId="8" xfId="7" applyBorder="1" applyAlignment="1" applyProtection="1">
      <alignment horizontal="center" vertical="center"/>
    </xf>
    <xf numFmtId="0" fontId="11" fillId="0" borderId="0" xfId="7" applyFont="1" applyBorder="1" applyAlignment="1" applyProtection="1">
      <alignment horizontal="center" vertical="center"/>
    </xf>
    <xf numFmtId="0" fontId="10" fillId="0" borderId="0" xfId="7" applyFont="1" applyBorder="1" applyAlignment="1" applyProtection="1">
      <alignment horizontal="right" vertical="center"/>
    </xf>
    <xf numFmtId="0" fontId="10" fillId="0" borderId="0" xfId="7" applyFont="1" applyFill="1" applyBorder="1" applyAlignment="1" applyProtection="1">
      <alignment horizontal="left" vertical="center"/>
    </xf>
    <xf numFmtId="168" fontId="11" fillId="0" borderId="8" xfId="7" applyNumberFormat="1" applyFont="1" applyBorder="1" applyAlignment="1" applyProtection="1">
      <alignment horizontal="left" vertical="center"/>
    </xf>
    <xf numFmtId="0" fontId="10" fillId="0" borderId="8" xfId="7" applyFont="1" applyBorder="1" applyAlignment="1" applyProtection="1">
      <alignment horizontal="left" vertical="center"/>
    </xf>
    <xf numFmtId="1" fontId="2" fillId="0" borderId="8" xfId="7" applyNumberFormat="1" applyBorder="1" applyAlignment="1" applyProtection="1">
      <alignment horizontal="center" vertical="center"/>
    </xf>
    <xf numFmtId="2" fontId="2" fillId="0" borderId="8" xfId="7" applyNumberFormat="1" applyBorder="1" applyAlignment="1" applyProtection="1">
      <alignment horizontal="center" vertical="center"/>
    </xf>
    <xf numFmtId="2" fontId="2" fillId="0" borderId="0" xfId="7" applyNumberFormat="1" applyBorder="1" applyAlignment="1" applyProtection="1">
      <alignment horizontal="center" vertical="center"/>
    </xf>
    <xf numFmtId="1" fontId="2" fillId="0" borderId="0" xfId="7" applyNumberFormat="1" applyBorder="1" applyAlignment="1" applyProtection="1">
      <alignment horizontal="center" vertical="center"/>
    </xf>
    <xf numFmtId="0" fontId="11" fillId="0" borderId="0" xfId="7" quotePrefix="1" applyNumberFormat="1" applyFont="1" applyBorder="1" applyAlignment="1" applyProtection="1">
      <alignment horizontal="center" vertical="center"/>
    </xf>
    <xf numFmtId="0" fontId="2" fillId="0" borderId="0" xfId="7" applyFont="1" applyFill="1" applyBorder="1" applyAlignment="1" applyProtection="1">
      <alignment vertical="center"/>
    </xf>
    <xf numFmtId="0" fontId="12" fillId="0" borderId="0" xfId="7" applyFont="1" applyFill="1" applyBorder="1" applyAlignment="1" applyProtection="1">
      <alignment vertical="center"/>
    </xf>
    <xf numFmtId="0" fontId="2" fillId="0" borderId="0" xfId="7" applyFill="1" applyBorder="1" applyAlignment="1" applyProtection="1">
      <alignment vertical="center"/>
    </xf>
    <xf numFmtId="49" fontId="11" fillId="0" borderId="8" xfId="7" applyNumberFormat="1" applyFont="1" applyFill="1" applyBorder="1" applyAlignment="1" applyProtection="1">
      <alignment horizontal="left" vertical="center"/>
    </xf>
    <xf numFmtId="0" fontId="2" fillId="0" borderId="0" xfId="7" applyBorder="1" applyAlignment="1" applyProtection="1">
      <alignment horizontal="right" vertical="center"/>
    </xf>
    <xf numFmtId="14" fontId="10" fillId="0" borderId="0" xfId="7" applyNumberFormat="1" applyFont="1" applyFill="1" applyBorder="1" applyAlignment="1" applyProtection="1">
      <alignment horizontal="left" vertical="center"/>
    </xf>
    <xf numFmtId="49" fontId="11" fillId="0" borderId="13" xfId="7" applyNumberFormat="1" applyFont="1" applyFill="1" applyBorder="1" applyAlignment="1" applyProtection="1">
      <alignment horizontal="left" vertical="center"/>
    </xf>
    <xf numFmtId="0" fontId="2" fillId="0" borderId="13" xfId="7" applyBorder="1" applyAlignment="1" applyProtection="1">
      <alignment vertical="center"/>
    </xf>
    <xf numFmtId="1" fontId="11" fillId="0" borderId="0" xfId="7" applyNumberFormat="1" applyFont="1" applyBorder="1" applyAlignment="1" applyProtection="1">
      <alignment horizontal="center" vertical="center"/>
    </xf>
    <xf numFmtId="49" fontId="10" fillId="0" borderId="0" xfId="7" applyNumberFormat="1" applyFont="1" applyBorder="1" applyAlignment="1" applyProtection="1">
      <alignment horizontal="left" vertical="center"/>
    </xf>
    <xf numFmtId="15" fontId="2" fillId="0" borderId="8" xfId="7" quotePrefix="1" applyNumberFormat="1" applyFont="1" applyBorder="1" applyAlignment="1" applyProtection="1">
      <alignment horizontal="left" vertical="center"/>
    </xf>
    <xf numFmtId="1" fontId="11" fillId="0" borderId="8" xfId="7" applyNumberFormat="1" applyFont="1" applyBorder="1" applyAlignment="1" applyProtection="1">
      <alignment horizontal="left" vertical="center"/>
    </xf>
    <xf numFmtId="0" fontId="2" fillId="0" borderId="8" xfId="7" applyBorder="1" applyAlignment="1" applyProtection="1">
      <alignment vertical="center"/>
    </xf>
    <xf numFmtId="0" fontId="10" fillId="0" borderId="0" xfId="7" applyFont="1" applyBorder="1" applyAlignment="1" applyProtection="1">
      <alignment horizontal="left" vertical="center"/>
    </xf>
    <xf numFmtId="1" fontId="2" fillId="0" borderId="0" xfId="7" applyNumberFormat="1" applyBorder="1" applyAlignment="1" applyProtection="1">
      <alignment horizontal="left" vertical="center"/>
    </xf>
    <xf numFmtId="0" fontId="2" fillId="0" borderId="0" xfId="7" applyFill="1" applyBorder="1" applyAlignment="1" applyProtection="1">
      <alignment horizontal="center" vertical="center"/>
    </xf>
    <xf numFmtId="0" fontId="10" fillId="0" borderId="0" xfId="7" applyFont="1" applyFill="1" applyBorder="1" applyAlignment="1" applyProtection="1">
      <alignment horizontal="center" vertical="center"/>
    </xf>
    <xf numFmtId="0" fontId="10" fillId="0" borderId="0" xfId="7" applyFont="1" applyFill="1" applyBorder="1" applyAlignment="1" applyProtection="1">
      <alignment horizontal="right" vertical="center"/>
    </xf>
    <xf numFmtId="169" fontId="11" fillId="0" borderId="16" xfId="7" applyNumberFormat="1" applyFont="1" applyFill="1" applyBorder="1" applyAlignment="1" applyProtection="1">
      <alignment vertical="center" wrapText="1"/>
    </xf>
    <xf numFmtId="0" fontId="2" fillId="0" borderId="16" xfId="7" applyBorder="1" applyAlignment="1">
      <alignment vertical="center" wrapText="1"/>
    </xf>
    <xf numFmtId="1" fontId="2" fillId="0" borderId="0" xfId="7" applyNumberFormat="1" applyFill="1" applyBorder="1" applyAlignment="1" applyProtection="1">
      <alignment horizontal="left" vertical="center"/>
    </xf>
    <xf numFmtId="0" fontId="2" fillId="0" borderId="17" xfId="7" applyFont="1" applyFill="1" applyBorder="1" applyAlignment="1" applyProtection="1">
      <alignment horizontal="center" vertical="center"/>
    </xf>
    <xf numFmtId="0" fontId="2" fillId="0" borderId="18" xfId="7" applyFont="1" applyFill="1" applyBorder="1" applyAlignment="1" applyProtection="1">
      <alignment horizontal="center" vertical="center"/>
    </xf>
    <xf numFmtId="0" fontId="2" fillId="0" borderId="19" xfId="7" applyFont="1" applyFill="1" applyBorder="1" applyAlignment="1" applyProtection="1">
      <alignment horizontal="center" vertical="center"/>
    </xf>
    <xf numFmtId="49" fontId="2" fillId="0" borderId="19" xfId="7" applyNumberFormat="1" applyFont="1" applyFill="1" applyBorder="1" applyAlignment="1" applyProtection="1">
      <alignment horizontal="center" vertical="center"/>
    </xf>
    <xf numFmtId="0" fontId="11" fillId="0" borderId="19" xfId="7" applyFont="1" applyFill="1" applyBorder="1" applyAlignment="1" applyProtection="1">
      <alignment horizontal="center" vertical="center"/>
    </xf>
    <xf numFmtId="170" fontId="2" fillId="0" borderId="18" xfId="7" applyNumberFormat="1" applyFont="1" applyFill="1" applyBorder="1" applyAlignment="1" applyProtection="1">
      <alignment horizontal="right" vertical="center"/>
    </xf>
    <xf numFmtId="0" fontId="2" fillId="0" borderId="20" xfId="7" applyFont="1" applyFill="1" applyBorder="1" applyAlignment="1" applyProtection="1">
      <alignment horizontal="center" vertical="center"/>
    </xf>
    <xf numFmtId="168" fontId="2" fillId="0" borderId="18" xfId="7" quotePrefix="1" applyNumberFormat="1" applyFont="1" applyFill="1" applyBorder="1" applyAlignment="1" applyProtection="1">
      <alignment horizontal="center" vertical="center"/>
    </xf>
    <xf numFmtId="0" fontId="2" fillId="0" borderId="21" xfId="7" applyFont="1" applyFill="1" applyBorder="1" applyAlignment="1" applyProtection="1">
      <alignment horizontal="center" vertical="center"/>
    </xf>
    <xf numFmtId="1" fontId="2" fillId="0" borderId="18" xfId="7" applyNumberFormat="1" applyFont="1" applyFill="1" applyBorder="1" applyAlignment="1" applyProtection="1">
      <alignment horizontal="center" vertical="center"/>
    </xf>
    <xf numFmtId="2" fontId="2" fillId="0" borderId="20" xfId="7" applyNumberFormat="1" applyFont="1" applyFill="1" applyBorder="1" applyAlignment="1" applyProtection="1">
      <alignment horizontal="center" vertical="center"/>
    </xf>
    <xf numFmtId="2" fontId="2" fillId="0" borderId="18" xfId="7" applyNumberFormat="1" applyFont="1" applyFill="1" applyBorder="1" applyAlignment="1" applyProtection="1">
      <alignment horizontal="center" vertical="center"/>
    </xf>
    <xf numFmtId="1" fontId="2" fillId="0" borderId="22" xfId="7" applyNumberFormat="1" applyFont="1" applyFill="1" applyBorder="1" applyAlignment="1" applyProtection="1">
      <alignment horizontal="center" vertical="center"/>
    </xf>
    <xf numFmtId="0" fontId="2" fillId="0" borderId="23" xfId="7" applyFont="1" applyFill="1" applyBorder="1" applyAlignment="1" applyProtection="1">
      <alignment horizontal="center" vertical="center"/>
    </xf>
    <xf numFmtId="0" fontId="2" fillId="0" borderId="24" xfId="7" applyFont="1" applyFill="1" applyBorder="1" applyAlignment="1" applyProtection="1">
      <alignment horizontal="center" vertical="center"/>
    </xf>
    <xf numFmtId="0" fontId="2" fillId="0" borderId="25" xfId="7" applyFont="1" applyFill="1" applyBorder="1" applyAlignment="1" applyProtection="1">
      <alignment horizontal="center" vertical="center"/>
    </xf>
    <xf numFmtId="0" fontId="2" fillId="0" borderId="22" xfId="7" applyFont="1" applyFill="1" applyBorder="1" applyAlignment="1" applyProtection="1">
      <alignment horizontal="center" vertical="center"/>
    </xf>
    <xf numFmtId="171" fontId="2" fillId="0" borderId="18" xfId="7" applyNumberFormat="1" applyFont="1" applyFill="1" applyBorder="1" applyAlignment="1" applyProtection="1">
      <alignment horizontal="center" vertical="center"/>
    </xf>
    <xf numFmtId="171" fontId="2" fillId="0" borderId="20" xfId="7" applyNumberFormat="1" applyFont="1" applyFill="1" applyBorder="1" applyAlignment="1" applyProtection="1">
      <alignment horizontal="center" vertical="center"/>
    </xf>
    <xf numFmtId="171" fontId="2" fillId="0" borderId="24" xfId="7" applyNumberFormat="1" applyFont="1" applyFill="1" applyBorder="1" applyAlignment="1" applyProtection="1">
      <alignment horizontal="center" vertical="center"/>
    </xf>
    <xf numFmtId="0" fontId="2" fillId="0" borderId="26" xfId="7" applyFont="1" applyFill="1" applyBorder="1" applyAlignment="1" applyProtection="1">
      <alignment horizontal="center" vertical="center"/>
    </xf>
    <xf numFmtId="0" fontId="2" fillId="0" borderId="27" xfId="7" applyFont="1" applyFill="1" applyBorder="1" applyAlignment="1" applyProtection="1">
      <alignment horizontal="right" vertical="center"/>
    </xf>
    <xf numFmtId="0" fontId="2" fillId="0" borderId="28" xfId="7" applyFont="1" applyFill="1" applyBorder="1" applyAlignment="1" applyProtection="1">
      <alignment horizontal="right" vertical="center"/>
    </xf>
    <xf numFmtId="0" fontId="12" fillId="0" borderId="0" xfId="7" applyFont="1" applyFill="1" applyBorder="1" applyAlignment="1" applyProtection="1">
      <alignment horizontal="right" vertical="center"/>
    </xf>
    <xf numFmtId="0" fontId="2" fillId="0" borderId="0" xfId="7" applyFont="1" applyFill="1" applyAlignment="1" applyProtection="1">
      <alignment vertical="center"/>
    </xf>
    <xf numFmtId="0" fontId="2" fillId="0" borderId="29" xfId="7" applyFill="1" applyBorder="1" applyAlignment="1" applyProtection="1">
      <alignment horizontal="center" vertical="center"/>
    </xf>
    <xf numFmtId="0" fontId="2" fillId="0" borderId="0" xfId="7" applyFont="1" applyFill="1" applyAlignment="1" applyProtection="1">
      <alignment horizontal="center" vertical="center"/>
    </xf>
    <xf numFmtId="0" fontId="2" fillId="0" borderId="30" xfId="7" applyFill="1" applyBorder="1" applyAlignment="1" applyProtection="1">
      <alignment horizontal="center" vertical="center"/>
    </xf>
    <xf numFmtId="49" fontId="2" fillId="0" borderId="30" xfId="7" applyNumberFormat="1" applyFill="1" applyBorder="1" applyAlignment="1" applyProtection="1">
      <alignment horizontal="center" vertical="center"/>
    </xf>
    <xf numFmtId="0" fontId="11" fillId="0" borderId="30" xfId="7" applyFont="1" applyFill="1" applyBorder="1" applyAlignment="1" applyProtection="1">
      <alignment horizontal="center" vertical="center"/>
    </xf>
    <xf numFmtId="0" fontId="3" fillId="0" borderId="0" xfId="7" applyFont="1" applyFill="1" applyAlignment="1" applyProtection="1">
      <alignment horizontal="right" vertical="center"/>
    </xf>
    <xf numFmtId="0" fontId="2" fillId="0" borderId="31" xfId="7" applyFill="1" applyBorder="1" applyAlignment="1" applyProtection="1">
      <alignment horizontal="center" vertical="center"/>
    </xf>
    <xf numFmtId="168" fontId="2" fillId="0" borderId="0" xfId="7" applyNumberFormat="1" applyFill="1" applyBorder="1" applyAlignment="1" applyProtection="1">
      <alignment horizontal="center" vertical="center"/>
    </xf>
    <xf numFmtId="0" fontId="2" fillId="0" borderId="32" xfId="7" applyFill="1" applyBorder="1" applyAlignment="1" applyProtection="1">
      <alignment horizontal="center" vertical="center"/>
    </xf>
    <xf numFmtId="1" fontId="2" fillId="0" borderId="0" xfId="7" applyNumberFormat="1" applyFill="1" applyAlignment="1" applyProtection="1">
      <alignment horizontal="center" vertical="center"/>
    </xf>
    <xf numFmtId="2" fontId="2" fillId="0" borderId="31" xfId="7" applyNumberFormat="1" applyFill="1" applyBorder="1" applyAlignment="1" applyProtection="1">
      <alignment horizontal="center" vertical="center"/>
    </xf>
    <xf numFmtId="2" fontId="2" fillId="0" borderId="0" xfId="7" applyNumberFormat="1" applyFill="1" applyBorder="1" applyAlignment="1" applyProtection="1">
      <alignment horizontal="center" vertical="center"/>
    </xf>
    <xf numFmtId="1" fontId="2" fillId="0" borderId="12" xfId="7" applyNumberFormat="1" applyFill="1" applyBorder="1" applyAlignment="1" applyProtection="1">
      <alignment horizontal="center" vertical="center"/>
    </xf>
    <xf numFmtId="0" fontId="2" fillId="0" borderId="33" xfId="7" applyFont="1" applyFill="1" applyBorder="1" applyAlignment="1" applyProtection="1">
      <alignment horizontal="center" vertical="center"/>
    </xf>
    <xf numFmtId="0" fontId="2" fillId="0" borderId="12" xfId="7" applyFont="1" applyFill="1" applyBorder="1" applyAlignment="1" applyProtection="1">
      <alignment horizontal="center" vertical="center"/>
    </xf>
    <xf numFmtId="0" fontId="2" fillId="0" borderId="33" xfId="7" applyFill="1" applyBorder="1" applyAlignment="1" applyProtection="1">
      <alignment horizontal="center" vertical="center"/>
    </xf>
    <xf numFmtId="0" fontId="2" fillId="0" borderId="12" xfId="7" applyFill="1" applyBorder="1" applyAlignment="1" applyProtection="1">
      <alignment horizontal="center" vertical="center"/>
    </xf>
    <xf numFmtId="0" fontId="2" fillId="0" borderId="34" xfId="7" applyFill="1" applyBorder="1" applyAlignment="1" applyProtection="1">
      <alignment horizontal="center" vertical="center"/>
    </xf>
    <xf numFmtId="0" fontId="2" fillId="0" borderId="35" xfId="7" applyFill="1" applyBorder="1" applyAlignment="1" applyProtection="1">
      <alignment horizontal="center" vertical="center"/>
    </xf>
    <xf numFmtId="0" fontId="2" fillId="0" borderId="36" xfId="7" applyFill="1" applyBorder="1" applyAlignment="1" applyProtection="1">
      <alignment horizontal="center" vertical="center"/>
    </xf>
    <xf numFmtId="0" fontId="2" fillId="0" borderId="37" xfId="7" applyFill="1" applyBorder="1" applyAlignment="1" applyProtection="1">
      <alignment horizontal="center" vertical="center"/>
    </xf>
    <xf numFmtId="0" fontId="2" fillId="0" borderId="38" xfId="7" applyBorder="1" applyAlignment="1" applyProtection="1">
      <alignment horizontal="center" vertical="center"/>
    </xf>
    <xf numFmtId="0" fontId="2" fillId="0" borderId="39" xfId="7" applyFill="1" applyBorder="1" applyAlignment="1" applyProtection="1">
      <alignment horizontal="center" vertical="center"/>
    </xf>
    <xf numFmtId="0" fontId="2" fillId="0" borderId="0" xfId="7" applyFill="1" applyAlignment="1" applyProtection="1">
      <alignment vertical="center"/>
    </xf>
    <xf numFmtId="0" fontId="2" fillId="0" borderId="0" xfId="7" applyFont="1" applyFill="1" applyBorder="1" applyAlignment="1" applyProtection="1">
      <alignment horizontal="center" vertical="center"/>
    </xf>
    <xf numFmtId="0" fontId="2" fillId="0" borderId="0" xfId="7" applyFill="1" applyBorder="1" applyAlignment="1" applyProtection="1">
      <alignment horizontal="right" vertical="center"/>
    </xf>
    <xf numFmtId="1" fontId="2" fillId="0" borderId="0" xfId="7" applyNumberFormat="1" applyFill="1" applyBorder="1" applyAlignment="1" applyProtection="1">
      <alignment horizontal="center" vertical="center"/>
    </xf>
    <xf numFmtId="0" fontId="2" fillId="0" borderId="38" xfId="7" applyFont="1" applyFill="1" applyBorder="1" applyAlignment="1" applyProtection="1">
      <alignment horizontal="center" vertical="center" wrapText="1"/>
    </xf>
    <xf numFmtId="0" fontId="2" fillId="0" borderId="39" xfId="7" applyFont="1" applyFill="1" applyBorder="1" applyAlignment="1" applyProtection="1">
      <alignment horizontal="center" vertical="center" wrapText="1"/>
    </xf>
    <xf numFmtId="0" fontId="15" fillId="0" borderId="17" xfId="7" applyFont="1" applyFill="1" applyBorder="1" applyAlignment="1" applyProtection="1">
      <alignment horizontal="left" vertical="center"/>
    </xf>
    <xf numFmtId="49" fontId="2" fillId="0" borderId="18" xfId="7" applyNumberFormat="1" applyFont="1" applyFill="1" applyBorder="1" applyAlignment="1" applyProtection="1">
      <alignment horizontal="center" vertical="center"/>
    </xf>
    <xf numFmtId="170" fontId="2" fillId="0" borderId="43" xfId="7" applyNumberFormat="1" applyFont="1" applyFill="1" applyBorder="1" applyAlignment="1" applyProtection="1">
      <alignment horizontal="right" vertical="center"/>
    </xf>
    <xf numFmtId="0" fontId="2" fillId="0" borderId="20" xfId="7" applyFont="1" applyFill="1" applyBorder="1" applyAlignment="1" applyProtection="1">
      <alignment horizontal="left" vertical="center"/>
    </xf>
    <xf numFmtId="0" fontId="2" fillId="0" borderId="27" xfId="7" applyFont="1" applyFill="1" applyBorder="1" applyAlignment="1" applyProtection="1">
      <alignment vertical="center"/>
    </xf>
    <xf numFmtId="0" fontId="2" fillId="0" borderId="28" xfId="7" applyFont="1" applyFill="1" applyBorder="1" applyAlignment="1" applyProtection="1">
      <alignment vertical="center"/>
    </xf>
    <xf numFmtId="0" fontId="2" fillId="5" borderId="44" xfId="7" applyFont="1" applyFill="1" applyBorder="1" applyAlignment="1" applyProtection="1">
      <alignment horizontal="left" vertical="center"/>
    </xf>
    <xf numFmtId="0" fontId="2" fillId="5" borderId="0" xfId="7" applyFill="1" applyBorder="1" applyAlignment="1" applyProtection="1">
      <alignment horizontal="center" vertical="center"/>
    </xf>
    <xf numFmtId="0" fontId="2" fillId="5" borderId="45" xfId="7" applyFill="1" applyBorder="1" applyAlignment="1" applyProtection="1">
      <alignment horizontal="center" vertical="center"/>
    </xf>
    <xf numFmtId="49" fontId="2" fillId="5" borderId="30" xfId="7" applyNumberFormat="1" applyFill="1" applyBorder="1" applyAlignment="1" applyProtection="1">
      <alignment horizontal="center" vertical="center"/>
    </xf>
    <xf numFmtId="0" fontId="2" fillId="5" borderId="30" xfId="7" applyFill="1" applyBorder="1" applyAlignment="1" applyProtection="1">
      <alignment horizontal="center" vertical="center"/>
    </xf>
    <xf numFmtId="0" fontId="11" fillId="5" borderId="30" xfId="7" applyFont="1" applyFill="1" applyBorder="1" applyAlignment="1" applyProtection="1">
      <alignment horizontal="center" vertical="center"/>
    </xf>
    <xf numFmtId="0" fontId="2" fillId="5" borderId="0" xfId="7" applyFill="1" applyBorder="1" applyAlignment="1" applyProtection="1">
      <alignment horizontal="right" vertical="center"/>
    </xf>
    <xf numFmtId="0" fontId="2" fillId="5" borderId="31" xfId="7" applyFill="1" applyBorder="1" applyAlignment="1" applyProtection="1">
      <alignment horizontal="center" vertical="center"/>
    </xf>
    <xf numFmtId="168" fontId="2" fillId="5" borderId="0" xfId="7" applyNumberFormat="1" applyFill="1" applyBorder="1" applyAlignment="1" applyProtection="1">
      <alignment horizontal="center" vertical="center"/>
    </xf>
    <xf numFmtId="0" fontId="2" fillId="5" borderId="32" xfId="7" applyFill="1" applyBorder="1" applyAlignment="1" applyProtection="1">
      <alignment horizontal="center" vertical="center"/>
    </xf>
    <xf numFmtId="1" fontId="2" fillId="5" borderId="0" xfId="7" applyNumberFormat="1" applyFill="1" applyBorder="1" applyAlignment="1" applyProtection="1">
      <alignment horizontal="center" vertical="center"/>
    </xf>
    <xf numFmtId="2" fontId="2" fillId="5" borderId="31" xfId="7" applyNumberFormat="1" applyFill="1" applyBorder="1" applyAlignment="1" applyProtection="1">
      <alignment horizontal="center" vertical="center"/>
    </xf>
    <xf numFmtId="2" fontId="2" fillId="5" borderId="0" xfId="7" applyNumberFormat="1" applyFill="1" applyBorder="1" applyAlignment="1" applyProtection="1">
      <alignment horizontal="center" vertical="center"/>
    </xf>
    <xf numFmtId="1" fontId="2" fillId="5" borderId="12" xfId="7" applyNumberFormat="1" applyFill="1" applyBorder="1" applyAlignment="1" applyProtection="1">
      <alignment horizontal="center" vertical="center"/>
    </xf>
    <xf numFmtId="0" fontId="2" fillId="5" borderId="11" xfId="7" applyFill="1" applyBorder="1" applyAlignment="1" applyProtection="1">
      <alignment horizontal="left" vertical="center"/>
    </xf>
    <xf numFmtId="0" fontId="2" fillId="5" borderId="46" xfId="7" applyFill="1" applyBorder="1" applyAlignment="1" applyProtection="1">
      <alignment horizontal="center" vertical="center"/>
    </xf>
    <xf numFmtId="0" fontId="2" fillId="5" borderId="47" xfId="7" applyFill="1" applyBorder="1" applyAlignment="1" applyProtection="1">
      <alignment horizontal="left" vertical="center"/>
    </xf>
    <xf numFmtId="0" fontId="2" fillId="5" borderId="12" xfId="7" applyFill="1" applyBorder="1" applyAlignment="1" applyProtection="1">
      <alignment horizontal="center" vertical="center"/>
    </xf>
    <xf numFmtId="0" fontId="2" fillId="5" borderId="0" xfId="7" applyFill="1" applyBorder="1" applyAlignment="1" applyProtection="1">
      <alignment horizontal="left" vertical="center"/>
    </xf>
    <xf numFmtId="0" fontId="2" fillId="5" borderId="37" xfId="7" applyFill="1" applyBorder="1" applyAlignment="1" applyProtection="1">
      <alignment horizontal="center" vertical="center"/>
    </xf>
    <xf numFmtId="0" fontId="2" fillId="5" borderId="38" xfId="7" applyFont="1" applyFill="1" applyBorder="1" applyAlignment="1" applyProtection="1">
      <alignment horizontal="center" vertical="center" wrapText="1"/>
    </xf>
    <xf numFmtId="0" fontId="2" fillId="5" borderId="39" xfId="7" applyFont="1" applyFill="1" applyBorder="1" applyAlignment="1" applyProtection="1">
      <alignment horizontal="center" vertical="center" wrapText="1"/>
    </xf>
    <xf numFmtId="0" fontId="2" fillId="0" borderId="44" xfId="7" applyFill="1" applyBorder="1" applyAlignment="1" applyProtection="1">
      <alignment horizontal="left" vertical="center"/>
    </xf>
    <xf numFmtId="1" fontId="16" fillId="0" borderId="0" xfId="7" applyNumberFormat="1" applyFont="1" applyFill="1" applyBorder="1" applyAlignment="1" applyProtection="1">
      <alignment horizontal="center" vertical="center"/>
    </xf>
    <xf numFmtId="0" fontId="16" fillId="0" borderId="30" xfId="7" applyFont="1" applyFill="1" applyBorder="1" applyAlignment="1" applyProtection="1">
      <alignment horizontal="center" vertical="center"/>
    </xf>
    <xf numFmtId="0" fontId="2" fillId="6" borderId="30" xfId="7" applyFont="1" applyFill="1" applyBorder="1" applyAlignment="1" applyProtection="1">
      <alignment horizontal="center" vertical="center"/>
    </xf>
    <xf numFmtId="0" fontId="2" fillId="0" borderId="11" xfId="7" applyFill="1" applyBorder="1" applyAlignment="1" applyProtection="1">
      <alignment horizontal="left" vertical="center"/>
    </xf>
    <xf numFmtId="0" fontId="2" fillId="0" borderId="46" xfId="7" applyFill="1" applyBorder="1" applyAlignment="1" applyProtection="1">
      <alignment horizontal="center" vertical="center"/>
    </xf>
    <xf numFmtId="0" fontId="2" fillId="0" borderId="47" xfId="7" applyFill="1" applyBorder="1" applyAlignment="1" applyProtection="1">
      <alignment horizontal="left" vertical="center"/>
    </xf>
    <xf numFmtId="0" fontId="2" fillId="0" borderId="0" xfId="7" applyFill="1" applyBorder="1" applyAlignment="1" applyProtection="1">
      <alignment horizontal="left" vertical="center"/>
    </xf>
    <xf numFmtId="49" fontId="17" fillId="0" borderId="30" xfId="7" applyNumberFormat="1" applyFont="1" applyFill="1" applyBorder="1" applyAlignment="1" applyProtection="1">
      <alignment horizontal="center" vertical="center"/>
    </xf>
    <xf numFmtId="0" fontId="17" fillId="0" borderId="30" xfId="7" applyFont="1" applyFill="1" applyBorder="1" applyAlignment="1" applyProtection="1">
      <alignment horizontal="center" vertical="center"/>
    </xf>
    <xf numFmtId="0" fontId="18" fillId="0" borderId="30" xfId="7" applyFont="1" applyFill="1" applyBorder="1" applyAlignment="1" applyProtection="1">
      <alignment horizontal="center" vertical="center"/>
    </xf>
    <xf numFmtId="170" fontId="17" fillId="0" borderId="48" xfId="7" applyNumberFormat="1" applyFont="1" applyFill="1" applyBorder="1" applyAlignment="1" applyProtection="1">
      <alignment horizontal="right" vertical="center"/>
    </xf>
    <xf numFmtId="0" fontId="17" fillId="0" borderId="31" xfId="7" applyFont="1" applyFill="1" applyBorder="1" applyAlignment="1" applyProtection="1">
      <alignment horizontal="left" vertical="center"/>
    </xf>
    <xf numFmtId="168" fontId="2" fillId="0" borderId="0" xfId="7" quotePrefix="1" applyNumberFormat="1" applyFont="1" applyFill="1" applyBorder="1" applyAlignment="1" applyProtection="1">
      <alignment horizontal="center" vertical="center"/>
    </xf>
    <xf numFmtId="0" fontId="17" fillId="0" borderId="32" xfId="7" applyFont="1" applyFill="1" applyBorder="1" applyAlignment="1" applyProtection="1">
      <alignment horizontal="center" vertical="center"/>
    </xf>
    <xf numFmtId="1" fontId="2" fillId="0" borderId="0" xfId="7" applyNumberFormat="1" applyFont="1" applyFill="1" applyBorder="1" applyAlignment="1" applyProtection="1">
      <alignment horizontal="center" vertical="center"/>
    </xf>
    <xf numFmtId="2" fontId="2" fillId="0" borderId="31" xfId="7" quotePrefix="1" applyNumberFormat="1" applyFont="1" applyFill="1" applyBorder="1" applyAlignment="1" applyProtection="1">
      <alignment horizontal="center" vertical="center"/>
    </xf>
    <xf numFmtId="2" fontId="2" fillId="0" borderId="0" xfId="7" quotePrefix="1" applyNumberFormat="1" applyFont="1" applyFill="1" applyBorder="1" applyAlignment="1" applyProtection="1">
      <alignment horizontal="center" vertical="center"/>
    </xf>
    <xf numFmtId="1" fontId="2" fillId="0" borderId="12" xfId="7" applyNumberFormat="1" applyFont="1" applyFill="1" applyBorder="1" applyAlignment="1" applyProtection="1">
      <alignment horizontal="center" vertical="center"/>
    </xf>
    <xf numFmtId="0" fontId="2" fillId="0" borderId="46" xfId="7" applyFont="1" applyFill="1" applyBorder="1" applyAlignment="1" applyProtection="1">
      <alignment horizontal="center" vertical="center"/>
    </xf>
    <xf numFmtId="0" fontId="2" fillId="0" borderId="35" xfId="7" applyFont="1" applyFill="1" applyBorder="1" applyAlignment="1" applyProtection="1">
      <alignment horizontal="center" vertical="center"/>
    </xf>
    <xf numFmtId="171" fontId="2" fillId="0" borderId="0" xfId="7" applyNumberFormat="1" applyFont="1" applyFill="1" applyBorder="1" applyAlignment="1" applyProtection="1">
      <alignment horizontal="center" vertical="center"/>
    </xf>
    <xf numFmtId="171" fontId="2" fillId="0" borderId="31" xfId="7" applyNumberFormat="1" applyFont="1" applyFill="1" applyBorder="1" applyAlignment="1" applyProtection="1">
      <alignment horizontal="center" vertical="center"/>
    </xf>
    <xf numFmtId="171" fontId="2" fillId="0" borderId="46" xfId="7" applyNumberFormat="1" applyFont="1" applyFill="1" applyBorder="1" applyAlignment="1" applyProtection="1">
      <alignment horizontal="center" vertical="center"/>
    </xf>
    <xf numFmtId="0" fontId="2" fillId="0" borderId="31" xfId="7" applyFont="1" applyFill="1" applyBorder="1" applyAlignment="1" applyProtection="1">
      <alignment horizontal="center" vertical="center"/>
    </xf>
    <xf numFmtId="0" fontId="19" fillId="0" borderId="37" xfId="7" applyFont="1" applyFill="1" applyBorder="1" applyAlignment="1" applyProtection="1">
      <alignment horizontal="center" vertical="center"/>
    </xf>
    <xf numFmtId="0" fontId="19" fillId="0" borderId="38" xfId="7" applyFont="1" applyFill="1" applyBorder="1" applyAlignment="1" applyProtection="1">
      <alignment horizontal="center" vertical="center"/>
    </xf>
    <xf numFmtId="0" fontId="19" fillId="0" borderId="39" xfId="7" applyFont="1" applyFill="1" applyBorder="1" applyAlignment="1" applyProtection="1">
      <alignment horizontal="center" vertical="center"/>
    </xf>
    <xf numFmtId="0" fontId="18" fillId="0" borderId="30" xfId="7" quotePrefix="1" applyFont="1" applyFill="1" applyBorder="1" applyAlignment="1" applyProtection="1">
      <alignment horizontal="center" vertical="center"/>
    </xf>
    <xf numFmtId="0" fontId="2" fillId="0" borderId="32" xfId="7" applyFont="1" applyFill="1" applyBorder="1" applyAlignment="1" applyProtection="1">
      <alignment horizontal="center" vertical="center"/>
    </xf>
    <xf numFmtId="0" fontId="2" fillId="0" borderId="29" xfId="7"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1" fillId="0" borderId="0" xfId="7" applyFont="1" applyFill="1" applyAlignment="1" applyProtection="1">
      <alignment vertical="center"/>
    </xf>
    <xf numFmtId="168" fontId="19" fillId="0" borderId="37" xfId="7" applyNumberFormat="1" applyFont="1" applyFill="1" applyBorder="1" applyAlignment="1" applyProtection="1">
      <alignment horizontal="center" vertical="center"/>
    </xf>
    <xf numFmtId="0" fontId="19" fillId="0" borderId="38" xfId="7" applyFont="1" applyFill="1" applyBorder="1" applyAlignment="1" applyProtection="1">
      <alignment vertical="center"/>
    </xf>
    <xf numFmtId="2" fontId="17" fillId="0" borderId="0" xfId="7" applyNumberFormat="1" applyFont="1" applyFill="1" applyBorder="1" applyAlignment="1" applyProtection="1">
      <alignment horizontal="center" vertical="center"/>
    </xf>
    <xf numFmtId="0" fontId="19" fillId="0" borderId="39" xfId="7" applyFont="1" applyFill="1" applyBorder="1" applyAlignment="1" applyProtection="1">
      <alignment horizontal="right" vertical="center"/>
    </xf>
    <xf numFmtId="2" fontId="2" fillId="0" borderId="31" xfId="7" applyNumberFormat="1" applyFont="1" applyFill="1" applyBorder="1" applyAlignment="1" applyProtection="1">
      <alignment horizontal="center" vertical="center"/>
    </xf>
    <xf numFmtId="2" fontId="2" fillId="0" borderId="0" xfId="7" applyNumberFormat="1" applyFont="1" applyFill="1" applyBorder="1" applyAlignment="1" applyProtection="1">
      <alignment horizontal="center" vertical="center"/>
    </xf>
    <xf numFmtId="0" fontId="2" fillId="0" borderId="30" xfId="7" applyFont="1" applyFill="1" applyBorder="1" applyAlignment="1" applyProtection="1">
      <alignment horizontal="center" vertical="center"/>
    </xf>
    <xf numFmtId="49" fontId="2" fillId="0" borderId="30" xfId="7" applyNumberFormat="1" applyFont="1" applyFill="1" applyBorder="1" applyAlignment="1" applyProtection="1">
      <alignment horizontal="center" vertical="center"/>
    </xf>
    <xf numFmtId="170" fontId="2" fillId="0" borderId="48" xfId="7" applyNumberFormat="1" applyFont="1" applyFill="1" applyBorder="1" applyAlignment="1" applyProtection="1">
      <alignment horizontal="right" vertical="center"/>
    </xf>
    <xf numFmtId="0" fontId="2" fillId="0" borderId="31" xfId="7" applyFont="1" applyFill="1" applyBorder="1" applyAlignment="1" applyProtection="1">
      <alignment horizontal="left" vertical="center"/>
    </xf>
    <xf numFmtId="0" fontId="2" fillId="5" borderId="29" xfId="7" applyFont="1" applyFill="1" applyBorder="1" applyAlignment="1" applyProtection="1">
      <alignment horizontal="left" vertical="center"/>
    </xf>
    <xf numFmtId="2" fontId="2" fillId="5" borderId="0" xfId="7" applyNumberFormat="1" applyFont="1" applyFill="1" applyBorder="1" applyAlignment="1" applyProtection="1">
      <alignment horizontal="center" vertical="center"/>
    </xf>
    <xf numFmtId="0" fontId="2" fillId="5" borderId="30" xfId="7" applyFont="1" applyFill="1" applyBorder="1" applyAlignment="1" applyProtection="1">
      <alignment horizontal="center" vertical="center"/>
    </xf>
    <xf numFmtId="49" fontId="2" fillId="5" borderId="30" xfId="7" applyNumberFormat="1" applyFont="1" applyFill="1" applyBorder="1" applyAlignment="1" applyProtection="1">
      <alignment horizontal="center" vertical="center"/>
    </xf>
    <xf numFmtId="170" fontId="2" fillId="5" borderId="48" xfId="7" applyNumberFormat="1" applyFont="1" applyFill="1" applyBorder="1" applyAlignment="1" applyProtection="1">
      <alignment horizontal="right" vertical="center"/>
    </xf>
    <xf numFmtId="0" fontId="2" fillId="5" borderId="31" xfId="7" applyFont="1" applyFill="1" applyBorder="1" applyAlignment="1" applyProtection="1">
      <alignment horizontal="left" vertical="center"/>
    </xf>
    <xf numFmtId="168" fontId="2" fillId="5" borderId="0" xfId="7" quotePrefix="1" applyNumberFormat="1" applyFont="1" applyFill="1" applyBorder="1" applyAlignment="1" applyProtection="1">
      <alignment horizontal="center" vertical="center"/>
    </xf>
    <xf numFmtId="0" fontId="2" fillId="5" borderId="32" xfId="7" applyFont="1" applyFill="1" applyBorder="1" applyAlignment="1" applyProtection="1">
      <alignment horizontal="center" vertical="center"/>
    </xf>
    <xf numFmtId="1" fontId="2" fillId="5" borderId="0" xfId="7" applyNumberFormat="1" applyFont="1" applyFill="1" applyBorder="1" applyAlignment="1" applyProtection="1">
      <alignment horizontal="center" vertical="center"/>
    </xf>
    <xf numFmtId="2" fontId="2" fillId="5" borderId="31" xfId="7" quotePrefix="1" applyNumberFormat="1" applyFont="1" applyFill="1" applyBorder="1" applyAlignment="1" applyProtection="1">
      <alignment horizontal="center" vertical="center"/>
    </xf>
    <xf numFmtId="2" fontId="2" fillId="5" borderId="0" xfId="7" quotePrefix="1" applyNumberFormat="1" applyFont="1" applyFill="1" applyBorder="1" applyAlignment="1" applyProtection="1">
      <alignment horizontal="center" vertical="center"/>
    </xf>
    <xf numFmtId="1" fontId="2" fillId="5" borderId="12" xfId="7" applyNumberFormat="1" applyFont="1" applyFill="1" applyBorder="1" applyAlignment="1" applyProtection="1">
      <alignment horizontal="center" vertical="center"/>
    </xf>
    <xf numFmtId="0" fontId="2" fillId="5" borderId="33" xfId="7" applyFont="1" applyFill="1" applyBorder="1" applyAlignment="1" applyProtection="1">
      <alignment horizontal="center" vertical="center"/>
    </xf>
    <xf numFmtId="0" fontId="2" fillId="5" borderId="46" xfId="7" applyFont="1" applyFill="1" applyBorder="1" applyAlignment="1" applyProtection="1">
      <alignment horizontal="center" vertical="center"/>
    </xf>
    <xf numFmtId="0" fontId="2" fillId="5" borderId="35" xfId="7" applyFont="1" applyFill="1" applyBorder="1" applyAlignment="1" applyProtection="1">
      <alignment horizontal="center" vertical="center"/>
    </xf>
    <xf numFmtId="0" fontId="2" fillId="5" borderId="12" xfId="7" applyFont="1" applyFill="1" applyBorder="1" applyAlignment="1" applyProtection="1">
      <alignment horizontal="center" vertical="center"/>
    </xf>
    <xf numFmtId="171" fontId="2" fillId="5" borderId="0" xfId="7" applyNumberFormat="1" applyFont="1" applyFill="1" applyBorder="1" applyAlignment="1" applyProtection="1">
      <alignment horizontal="center" vertical="center"/>
    </xf>
    <xf numFmtId="171" fontId="2" fillId="5" borderId="31" xfId="7" applyNumberFormat="1" applyFont="1" applyFill="1" applyBorder="1" applyAlignment="1" applyProtection="1">
      <alignment horizontal="center" vertical="center"/>
    </xf>
    <xf numFmtId="171" fontId="2" fillId="5" borderId="46" xfId="7" applyNumberFormat="1" applyFont="1" applyFill="1" applyBorder="1" applyAlignment="1" applyProtection="1">
      <alignment horizontal="center" vertical="center"/>
    </xf>
    <xf numFmtId="0" fontId="2" fillId="5" borderId="0" xfId="7" applyFont="1" applyFill="1" applyBorder="1" applyAlignment="1" applyProtection="1">
      <alignment horizontal="center" vertical="center"/>
    </xf>
    <xf numFmtId="0" fontId="2" fillId="5" borderId="31" xfId="7" applyFont="1" applyFill="1" applyBorder="1" applyAlignment="1" applyProtection="1">
      <alignment horizontal="center" vertical="center"/>
    </xf>
    <xf numFmtId="0" fontId="19" fillId="5" borderId="37" xfId="7" applyFont="1" applyFill="1" applyBorder="1" applyAlignment="1" applyProtection="1">
      <alignment horizontal="center" vertical="center"/>
    </xf>
    <xf numFmtId="0" fontId="19" fillId="5" borderId="38" xfId="7" applyFont="1" applyFill="1" applyBorder="1" applyAlignment="1" applyProtection="1">
      <alignment vertical="center"/>
    </xf>
    <xf numFmtId="0" fontId="19" fillId="5" borderId="39" xfId="7" applyFont="1" applyFill="1" applyBorder="1" applyAlignment="1" applyProtection="1">
      <alignment horizontal="center" vertical="center"/>
    </xf>
    <xf numFmtId="0" fontId="17" fillId="0" borderId="45" xfId="7" applyFont="1" applyFill="1" applyBorder="1" applyAlignment="1" applyProtection="1">
      <alignment horizontal="center" vertical="center"/>
    </xf>
    <xf numFmtId="170" fontId="17" fillId="0" borderId="0" xfId="7" applyNumberFormat="1" applyFont="1" applyFill="1" applyBorder="1" applyAlignment="1" applyProtection="1">
      <alignment horizontal="right" vertical="center"/>
    </xf>
    <xf numFmtId="0" fontId="17" fillId="0" borderId="31" xfId="7" applyFont="1" applyFill="1" applyBorder="1" applyAlignment="1" applyProtection="1">
      <alignment horizontal="left" vertical="center" wrapText="1"/>
    </xf>
    <xf numFmtId="2" fontId="16" fillId="0" borderId="0" xfId="7" applyNumberFormat="1" applyFont="1" applyFill="1" applyBorder="1" applyAlignment="1" applyProtection="1">
      <alignment horizontal="center" vertical="center"/>
    </xf>
    <xf numFmtId="0" fontId="2" fillId="0" borderId="45" xfId="7" applyFont="1" applyFill="1" applyBorder="1" applyAlignment="1" applyProtection="1">
      <alignment horizontal="center" vertical="center"/>
    </xf>
    <xf numFmtId="170" fontId="2" fillId="0" borderId="0" xfId="7" applyNumberFormat="1" applyFont="1" applyFill="1" applyBorder="1" applyAlignment="1" applyProtection="1">
      <alignment horizontal="right" vertical="center"/>
    </xf>
    <xf numFmtId="0" fontId="2" fillId="0" borderId="31" xfId="7" applyFont="1" applyFill="1" applyBorder="1" applyAlignment="1" applyProtection="1">
      <alignment horizontal="left" vertical="center" wrapText="1"/>
    </xf>
    <xf numFmtId="0" fontId="11" fillId="0" borderId="29" xfId="7" applyFont="1" applyFill="1" applyBorder="1" applyAlignment="1" applyProtection="1">
      <alignment horizontal="left" vertical="center"/>
    </xf>
    <xf numFmtId="49" fontId="11" fillId="0" borderId="30" xfId="7" applyNumberFormat="1" applyFont="1" applyFill="1" applyBorder="1" applyAlignment="1" applyProtection="1">
      <alignment horizontal="center" vertical="center"/>
    </xf>
    <xf numFmtId="170" fontId="11" fillId="0" borderId="48" xfId="7" applyNumberFormat="1" applyFont="1" applyFill="1" applyBorder="1" applyAlignment="1" applyProtection="1">
      <alignment horizontal="right" vertical="center"/>
    </xf>
    <xf numFmtId="168" fontId="11" fillId="0" borderId="0" xfId="7" quotePrefix="1" applyNumberFormat="1" applyFont="1" applyFill="1" applyBorder="1" applyAlignment="1" applyProtection="1">
      <alignment horizontal="center" vertical="center"/>
    </xf>
    <xf numFmtId="0" fontId="11" fillId="0" borderId="32" xfId="7" applyFont="1" applyFill="1" applyBorder="1" applyAlignment="1" applyProtection="1">
      <alignment horizontal="center" vertical="center"/>
    </xf>
    <xf numFmtId="1" fontId="11" fillId="0" borderId="0" xfId="7" applyNumberFormat="1" applyFont="1" applyFill="1" applyBorder="1" applyAlignment="1" applyProtection="1">
      <alignment horizontal="center" vertical="center"/>
    </xf>
    <xf numFmtId="2" fontId="11" fillId="0" borderId="31" xfId="7" applyNumberFormat="1" applyFont="1" applyFill="1" applyBorder="1" applyAlignment="1" applyProtection="1">
      <alignment horizontal="center" vertical="center"/>
    </xf>
    <xf numFmtId="2" fontId="11" fillId="0" borderId="0" xfId="7" applyNumberFormat="1" applyFont="1" applyFill="1" applyBorder="1" applyAlignment="1" applyProtection="1">
      <alignment horizontal="center" vertical="center"/>
    </xf>
    <xf numFmtId="1" fontId="11" fillId="0" borderId="12" xfId="7" applyNumberFormat="1" applyFont="1" applyFill="1" applyBorder="1" applyAlignment="1" applyProtection="1">
      <alignment horizontal="center" vertical="center"/>
    </xf>
    <xf numFmtId="0" fontId="11" fillId="0" borderId="33" xfId="7" applyFont="1" applyFill="1" applyBorder="1" applyAlignment="1" applyProtection="1">
      <alignment horizontal="center" vertical="center"/>
    </xf>
    <xf numFmtId="0" fontId="11" fillId="0" borderId="46" xfId="7" applyFont="1" applyFill="1" applyBorder="1" applyAlignment="1" applyProtection="1">
      <alignment horizontal="center" vertical="center"/>
    </xf>
    <xf numFmtId="0" fontId="11" fillId="0" borderId="35" xfId="7" applyFont="1" applyFill="1" applyBorder="1" applyAlignment="1" applyProtection="1">
      <alignment horizontal="center" vertical="center"/>
    </xf>
    <xf numFmtId="0" fontId="11" fillId="0" borderId="12" xfId="7" applyFont="1" applyFill="1" applyBorder="1" applyAlignment="1" applyProtection="1">
      <alignment horizontal="center" vertical="center"/>
    </xf>
    <xf numFmtId="168" fontId="11" fillId="0" borderId="0" xfId="7" applyNumberFormat="1" applyFont="1" applyFill="1" applyBorder="1" applyAlignment="1" applyProtection="1">
      <alignment horizontal="center" vertical="center"/>
    </xf>
    <xf numFmtId="168" fontId="11" fillId="0" borderId="31" xfId="7" applyNumberFormat="1" applyFont="1" applyFill="1" applyBorder="1" applyAlignment="1" applyProtection="1">
      <alignment horizontal="center" vertical="center"/>
    </xf>
    <xf numFmtId="168" fontId="11" fillId="0" borderId="46" xfId="7" applyNumberFormat="1" applyFont="1" applyFill="1" applyBorder="1" applyAlignment="1" applyProtection="1">
      <alignment horizontal="center" vertical="center"/>
    </xf>
    <xf numFmtId="0" fontId="11" fillId="0" borderId="0" xfId="7" applyFont="1" applyFill="1" applyBorder="1" applyAlignment="1" applyProtection="1">
      <alignment horizontal="center" vertical="center"/>
    </xf>
    <xf numFmtId="0" fontId="11" fillId="0" borderId="31" xfId="7" applyFont="1" applyFill="1" applyBorder="1" applyAlignment="1" applyProtection="1">
      <alignment horizontal="center" vertical="center"/>
    </xf>
    <xf numFmtId="0" fontId="16" fillId="0" borderId="45" xfId="7" applyFont="1" applyFill="1" applyBorder="1" applyAlignment="1" applyProtection="1">
      <alignment horizontal="center" vertical="center"/>
    </xf>
    <xf numFmtId="49" fontId="17" fillId="7" borderId="30" xfId="7" applyNumberFormat="1" applyFont="1" applyFill="1" applyBorder="1" applyAlignment="1" applyProtection="1">
      <alignment horizontal="center" vertical="center"/>
    </xf>
    <xf numFmtId="0" fontId="17" fillId="7" borderId="30" xfId="7" applyFont="1" applyFill="1" applyBorder="1" applyAlignment="1" applyProtection="1">
      <alignment horizontal="center" vertical="center"/>
    </xf>
    <xf numFmtId="0" fontId="18" fillId="7" borderId="30" xfId="7" applyFont="1" applyFill="1" applyBorder="1" applyAlignment="1" applyProtection="1">
      <alignment horizontal="center" vertical="center"/>
    </xf>
    <xf numFmtId="170" fontId="17" fillId="7" borderId="0" xfId="7" applyNumberFormat="1" applyFont="1" applyFill="1" applyBorder="1" applyAlignment="1" applyProtection="1">
      <alignment horizontal="right" vertical="center"/>
    </xf>
    <xf numFmtId="0" fontId="17" fillId="7" borderId="31" xfId="7" applyFont="1" applyFill="1" applyBorder="1" applyAlignment="1" applyProtection="1">
      <alignment horizontal="left" vertical="center"/>
    </xf>
    <xf numFmtId="168" fontId="2" fillId="7" borderId="0" xfId="7" quotePrefix="1" applyNumberFormat="1" applyFont="1" applyFill="1" applyBorder="1" applyAlignment="1" applyProtection="1">
      <alignment horizontal="center" vertical="center"/>
    </xf>
    <xf numFmtId="0" fontId="2" fillId="7" borderId="32" xfId="7" applyFont="1" applyFill="1" applyBorder="1" applyAlignment="1" applyProtection="1">
      <alignment horizontal="center" vertical="center"/>
    </xf>
    <xf numFmtId="1" fontId="2" fillId="7" borderId="0" xfId="7" applyNumberFormat="1" applyFont="1" applyFill="1" applyBorder="1" applyAlignment="1" applyProtection="1">
      <alignment horizontal="center" vertical="center"/>
    </xf>
    <xf numFmtId="2" fontId="2" fillId="7" borderId="31" xfId="7" quotePrefix="1" applyNumberFormat="1" applyFont="1" applyFill="1" applyBorder="1" applyAlignment="1" applyProtection="1">
      <alignment horizontal="center" vertical="center"/>
    </xf>
    <xf numFmtId="2" fontId="2" fillId="7" borderId="0" xfId="7" quotePrefix="1" applyNumberFormat="1" applyFont="1" applyFill="1" applyBorder="1" applyAlignment="1" applyProtection="1">
      <alignment horizontal="center" vertical="center"/>
    </xf>
    <xf numFmtId="1" fontId="2" fillId="7" borderId="12" xfId="7" applyNumberFormat="1" applyFont="1" applyFill="1" applyBorder="1" applyAlignment="1" applyProtection="1">
      <alignment horizontal="center" vertical="center"/>
    </xf>
    <xf numFmtId="0" fontId="2" fillId="7" borderId="33" xfId="7" applyFont="1" applyFill="1" applyBorder="1" applyAlignment="1" applyProtection="1">
      <alignment horizontal="center" vertical="center"/>
    </xf>
    <xf numFmtId="0" fontId="2" fillId="7" borderId="46" xfId="7" applyFont="1" applyFill="1" applyBorder="1" applyAlignment="1" applyProtection="1">
      <alignment horizontal="center" vertical="center"/>
    </xf>
    <xf numFmtId="0" fontId="2" fillId="7" borderId="35" xfId="7" applyFont="1" applyFill="1" applyBorder="1" applyAlignment="1" applyProtection="1">
      <alignment horizontal="center" vertical="center"/>
    </xf>
    <xf numFmtId="0" fontId="2" fillId="7" borderId="12" xfId="7" applyFont="1" applyFill="1" applyBorder="1" applyAlignment="1" applyProtection="1">
      <alignment horizontal="center" vertical="center"/>
    </xf>
    <xf numFmtId="171" fontId="2" fillId="7" borderId="0" xfId="7" applyNumberFormat="1" applyFont="1" applyFill="1" applyBorder="1" applyAlignment="1" applyProtection="1">
      <alignment horizontal="center" vertical="center"/>
    </xf>
    <xf numFmtId="171" fontId="2" fillId="7" borderId="31" xfId="7" applyNumberFormat="1" applyFont="1" applyFill="1" applyBorder="1" applyAlignment="1" applyProtection="1">
      <alignment horizontal="center" vertical="center"/>
    </xf>
    <xf numFmtId="171" fontId="2" fillId="7" borderId="46" xfId="7" applyNumberFormat="1" applyFont="1" applyFill="1" applyBorder="1" applyAlignment="1" applyProtection="1">
      <alignment horizontal="center" vertical="center"/>
    </xf>
    <xf numFmtId="0" fontId="2" fillId="7" borderId="0" xfId="7" applyFont="1" applyFill="1" applyBorder="1" applyAlignment="1" applyProtection="1">
      <alignment horizontal="center" vertical="center"/>
    </xf>
    <xf numFmtId="0" fontId="2" fillId="7" borderId="31" xfId="7" applyFont="1" applyFill="1" applyBorder="1" applyAlignment="1" applyProtection="1">
      <alignment horizontal="center" vertical="center"/>
    </xf>
    <xf numFmtId="168" fontId="19" fillId="7" borderId="37" xfId="7" applyNumberFormat="1" applyFont="1" applyFill="1" applyBorder="1" applyAlignment="1" applyProtection="1">
      <alignment horizontal="center" vertical="center"/>
    </xf>
    <xf numFmtId="0" fontId="19" fillId="7" borderId="38" xfId="7" applyFont="1" applyFill="1" applyBorder="1" applyAlignment="1" applyProtection="1">
      <alignment vertical="center"/>
    </xf>
    <xf numFmtId="0" fontId="19" fillId="7" borderId="39" xfId="7" applyFont="1" applyFill="1" applyBorder="1" applyAlignment="1" applyProtection="1">
      <alignment horizontal="center" vertical="center"/>
    </xf>
    <xf numFmtId="49" fontId="17" fillId="8" borderId="30" xfId="7" applyNumberFormat="1" applyFont="1" applyFill="1" applyBorder="1" applyAlignment="1" applyProtection="1">
      <alignment horizontal="center" vertical="center"/>
    </xf>
    <xf numFmtId="0" fontId="17" fillId="8" borderId="30" xfId="7" applyFont="1" applyFill="1" applyBorder="1" applyAlignment="1" applyProtection="1">
      <alignment horizontal="center" vertical="center"/>
    </xf>
    <xf numFmtId="0" fontId="18" fillId="8" borderId="30" xfId="7" applyFont="1" applyFill="1" applyBorder="1" applyAlignment="1" applyProtection="1">
      <alignment horizontal="center" vertical="center"/>
    </xf>
    <xf numFmtId="170" fontId="17" fillId="8" borderId="0" xfId="7" applyNumberFormat="1" applyFont="1" applyFill="1" applyBorder="1" applyAlignment="1" applyProtection="1">
      <alignment horizontal="right" vertical="center"/>
    </xf>
    <xf numFmtId="0" fontId="17" fillId="8" borderId="31" xfId="7" applyFont="1" applyFill="1" applyBorder="1" applyAlignment="1" applyProtection="1">
      <alignment horizontal="left" vertical="center"/>
    </xf>
    <xf numFmtId="168" fontId="2" fillId="8" borderId="0" xfId="7" quotePrefix="1" applyNumberFormat="1" applyFont="1" applyFill="1" applyBorder="1" applyAlignment="1" applyProtection="1">
      <alignment horizontal="center" vertical="center"/>
    </xf>
    <xf numFmtId="0" fontId="2" fillId="8" borderId="32" xfId="7" applyFont="1" applyFill="1" applyBorder="1" applyAlignment="1" applyProtection="1">
      <alignment horizontal="center" vertical="center"/>
    </xf>
    <xf numFmtId="1" fontId="2" fillId="8" borderId="0" xfId="7" applyNumberFormat="1" applyFont="1" applyFill="1" applyBorder="1" applyAlignment="1" applyProtection="1">
      <alignment horizontal="center" vertical="center"/>
    </xf>
    <xf numFmtId="2" fontId="2" fillId="8" borderId="31" xfId="7" quotePrefix="1" applyNumberFormat="1" applyFont="1" applyFill="1" applyBorder="1" applyAlignment="1" applyProtection="1">
      <alignment horizontal="center" vertical="center"/>
    </xf>
    <xf numFmtId="2" fontId="2" fillId="8" borderId="0" xfId="7" quotePrefix="1" applyNumberFormat="1" applyFont="1" applyFill="1" applyBorder="1" applyAlignment="1" applyProtection="1">
      <alignment horizontal="center" vertical="center"/>
    </xf>
    <xf numFmtId="1" fontId="2" fillId="8" borderId="12" xfId="7" applyNumberFormat="1" applyFont="1" applyFill="1" applyBorder="1" applyAlignment="1" applyProtection="1">
      <alignment horizontal="center" vertical="center"/>
    </xf>
    <xf numFmtId="0" fontId="2" fillId="8" borderId="33" xfId="7" applyFont="1" applyFill="1" applyBorder="1" applyAlignment="1" applyProtection="1">
      <alignment horizontal="center" vertical="center"/>
    </xf>
    <xf numFmtId="0" fontId="2" fillId="8" borderId="46" xfId="7" applyFont="1" applyFill="1" applyBorder="1" applyAlignment="1" applyProtection="1">
      <alignment horizontal="center" vertical="center"/>
    </xf>
    <xf numFmtId="0" fontId="2" fillId="8" borderId="35" xfId="7" applyFont="1" applyFill="1" applyBorder="1" applyAlignment="1" applyProtection="1">
      <alignment horizontal="center" vertical="center"/>
    </xf>
    <xf numFmtId="0" fontId="2" fillId="8" borderId="12" xfId="7" applyFont="1" applyFill="1" applyBorder="1" applyAlignment="1" applyProtection="1">
      <alignment horizontal="center" vertical="center"/>
    </xf>
    <xf numFmtId="171" fontId="2" fillId="8" borderId="0" xfId="7" applyNumberFormat="1" applyFont="1" applyFill="1" applyBorder="1" applyAlignment="1" applyProtection="1">
      <alignment horizontal="center" vertical="center"/>
    </xf>
    <xf numFmtId="171" fontId="2" fillId="8" borderId="31" xfId="7" applyNumberFormat="1" applyFont="1" applyFill="1" applyBorder="1" applyAlignment="1" applyProtection="1">
      <alignment horizontal="center" vertical="center"/>
    </xf>
    <xf numFmtId="171" fontId="2" fillId="8" borderId="46" xfId="7" applyNumberFormat="1" applyFont="1" applyFill="1" applyBorder="1" applyAlignment="1" applyProtection="1">
      <alignment horizontal="center" vertical="center"/>
    </xf>
    <xf numFmtId="0" fontId="2" fillId="8" borderId="0" xfId="7" applyFont="1" applyFill="1" applyBorder="1" applyAlignment="1" applyProtection="1">
      <alignment horizontal="center" vertical="center"/>
    </xf>
    <xf numFmtId="0" fontId="2" fillId="8" borderId="31" xfId="7" applyFont="1" applyFill="1" applyBorder="1" applyAlignment="1" applyProtection="1">
      <alignment horizontal="center" vertical="center"/>
    </xf>
    <xf numFmtId="168" fontId="19" fillId="8" borderId="37" xfId="7" applyNumberFormat="1" applyFont="1" applyFill="1" applyBorder="1" applyAlignment="1" applyProtection="1">
      <alignment horizontal="center" vertical="center"/>
    </xf>
    <xf numFmtId="0" fontId="19" fillId="8" borderId="38" xfId="7" applyFont="1" applyFill="1" applyBorder="1" applyAlignment="1" applyProtection="1">
      <alignment vertical="center"/>
    </xf>
    <xf numFmtId="0" fontId="19" fillId="8" borderId="39" xfId="7" applyFont="1" applyFill="1" applyBorder="1" applyAlignment="1" applyProtection="1">
      <alignment horizontal="center" vertical="center"/>
    </xf>
    <xf numFmtId="0" fontId="2" fillId="5" borderId="44" xfId="7" applyFill="1" applyBorder="1" applyAlignment="1" applyProtection="1">
      <alignment horizontal="left" vertical="center"/>
    </xf>
    <xf numFmtId="0" fontId="19" fillId="5" borderId="38" xfId="7" applyFont="1" applyFill="1" applyBorder="1" applyAlignment="1" applyProtection="1">
      <alignment horizontal="center" vertical="center" wrapText="1"/>
    </xf>
    <xf numFmtId="2" fontId="2" fillId="0" borderId="50" xfId="7" quotePrefix="1" applyNumberFormat="1" applyFont="1" applyFill="1" applyBorder="1" applyAlignment="1" applyProtection="1">
      <alignment horizontal="center" vertical="center"/>
    </xf>
    <xf numFmtId="1" fontId="2" fillId="0" borderId="51" xfId="7" applyNumberFormat="1" applyFont="1" applyFill="1" applyBorder="1" applyAlignment="1" applyProtection="1">
      <alignment horizontal="center" vertical="center"/>
    </xf>
    <xf numFmtId="0" fontId="2" fillId="0" borderId="52" xfId="7" applyFont="1" applyFill="1" applyBorder="1" applyAlignment="1" applyProtection="1">
      <alignment horizontal="center" vertical="center"/>
    </xf>
    <xf numFmtId="0" fontId="2" fillId="0" borderId="50" xfId="7" applyFont="1" applyFill="1" applyBorder="1" applyAlignment="1" applyProtection="1">
      <alignment horizontal="center" vertical="center"/>
    </xf>
    <xf numFmtId="0" fontId="2" fillId="0" borderId="53" xfId="7" applyFont="1" applyFill="1" applyBorder="1" applyAlignment="1" applyProtection="1">
      <alignment horizontal="center" vertical="center"/>
    </xf>
    <xf numFmtId="0" fontId="2" fillId="0" borderId="51" xfId="7" applyFont="1" applyFill="1" applyBorder="1" applyAlignment="1" applyProtection="1">
      <alignment horizontal="center" vertical="center"/>
    </xf>
    <xf numFmtId="171" fontId="2" fillId="0" borderId="50" xfId="7" applyNumberFormat="1" applyFont="1" applyFill="1" applyBorder="1" applyAlignment="1" applyProtection="1">
      <alignment horizontal="center" vertical="center"/>
    </xf>
    <xf numFmtId="171" fontId="2" fillId="0" borderId="54" xfId="7" applyNumberFormat="1" applyFont="1" applyFill="1" applyBorder="1" applyAlignment="1" applyProtection="1">
      <alignment horizontal="center" vertical="center"/>
    </xf>
    <xf numFmtId="171" fontId="2" fillId="0" borderId="55" xfId="7" applyNumberFormat="1" applyFont="1" applyFill="1" applyBorder="1" applyAlignment="1" applyProtection="1">
      <alignment horizontal="center" vertical="center"/>
    </xf>
    <xf numFmtId="0" fontId="2" fillId="0" borderId="54" xfId="7" applyFont="1" applyFill="1" applyBorder="1" applyAlignment="1" applyProtection="1">
      <alignment horizontal="center" vertical="center"/>
    </xf>
    <xf numFmtId="0" fontId="19" fillId="0" borderId="56" xfId="7" applyFont="1" applyFill="1" applyBorder="1" applyAlignment="1" applyProtection="1">
      <alignment horizontal="center" vertical="center"/>
    </xf>
    <xf numFmtId="0" fontId="19" fillId="0" borderId="57" xfId="7" applyFont="1" applyFill="1" applyBorder="1" applyAlignment="1" applyProtection="1">
      <alignment horizontal="center" vertical="center"/>
    </xf>
    <xf numFmtId="0" fontId="19" fillId="0" borderId="58" xfId="7" applyFont="1" applyFill="1" applyBorder="1" applyAlignment="1" applyProtection="1">
      <alignment horizontal="center" vertical="center"/>
    </xf>
    <xf numFmtId="0" fontId="16" fillId="0" borderId="59" xfId="7" applyFont="1" applyFill="1" applyBorder="1" applyAlignment="1" applyProtection="1">
      <alignment horizontal="center" vertical="center"/>
    </xf>
    <xf numFmtId="0" fontId="21" fillId="0" borderId="59" xfId="7" applyFont="1" applyFill="1" applyBorder="1" applyAlignment="1" applyProtection="1">
      <alignment horizontal="center" vertical="center"/>
    </xf>
    <xf numFmtId="170" fontId="16" fillId="0" borderId="50" xfId="7" applyNumberFormat="1" applyFont="1" applyFill="1" applyBorder="1" applyAlignment="1" applyProtection="1">
      <alignment horizontal="right" vertical="center"/>
    </xf>
    <xf numFmtId="0" fontId="16" fillId="0" borderId="54" xfId="7" applyFont="1" applyFill="1" applyBorder="1" applyAlignment="1" applyProtection="1">
      <alignment horizontal="left" vertical="center"/>
    </xf>
    <xf numFmtId="49" fontId="2" fillId="0" borderId="50" xfId="7" applyNumberFormat="1" applyFont="1" applyFill="1" applyBorder="1" applyAlignment="1" applyProtection="1">
      <alignment horizontal="center" vertical="center"/>
    </xf>
    <xf numFmtId="0" fontId="2" fillId="0" borderId="60" xfId="7" applyFont="1" applyFill="1" applyBorder="1" applyAlignment="1" applyProtection="1">
      <alignment horizontal="center" vertical="center"/>
    </xf>
    <xf numFmtId="1" fontId="2" fillId="0" borderId="50" xfId="7" applyNumberFormat="1" applyFont="1" applyFill="1" applyBorder="1" applyAlignment="1" applyProtection="1">
      <alignment horizontal="center" vertical="center"/>
    </xf>
    <xf numFmtId="2" fontId="2" fillId="0" borderId="54" xfId="7" quotePrefix="1" applyNumberFormat="1" applyFont="1" applyFill="1" applyBorder="1" applyAlignment="1" applyProtection="1">
      <alignment horizontal="center" vertical="center"/>
    </xf>
    <xf numFmtId="2" fontId="2" fillId="0" borderId="61" xfId="7" quotePrefix="1" applyNumberFormat="1" applyFont="1" applyFill="1" applyBorder="1" applyAlignment="1" applyProtection="1">
      <alignment horizontal="center" vertical="center"/>
    </xf>
    <xf numFmtId="168" fontId="19" fillId="0" borderId="56" xfId="7" applyNumberFormat="1" applyFont="1" applyFill="1" applyBorder="1" applyAlignment="1" applyProtection="1">
      <alignment horizontal="center" vertical="center"/>
    </xf>
    <xf numFmtId="0" fontId="19" fillId="0" borderId="57" xfId="7" applyFont="1" applyFill="1" applyBorder="1" applyAlignment="1" applyProtection="1">
      <alignment vertical="center"/>
    </xf>
    <xf numFmtId="0" fontId="2" fillId="0" borderId="58" xfId="7" applyFont="1" applyFill="1" applyBorder="1" applyAlignment="1" applyProtection="1">
      <alignment horizontal="center" vertical="center"/>
    </xf>
    <xf numFmtId="49" fontId="17" fillId="0" borderId="59" xfId="7" applyNumberFormat="1" applyFont="1" applyFill="1" applyBorder="1" applyAlignment="1" applyProtection="1">
      <alignment horizontal="center" vertical="center"/>
    </xf>
    <xf numFmtId="0" fontId="17" fillId="0" borderId="59" xfId="7" applyFont="1" applyFill="1" applyBorder="1" applyAlignment="1" applyProtection="1">
      <alignment horizontal="center" vertical="center"/>
    </xf>
    <xf numFmtId="0" fontId="18" fillId="0" borderId="59" xfId="7" applyFont="1" applyFill="1" applyBorder="1" applyAlignment="1" applyProtection="1">
      <alignment horizontal="center" vertical="center"/>
    </xf>
    <xf numFmtId="170" fontId="17" fillId="0" borderId="62" xfId="7" applyNumberFormat="1" applyFont="1" applyFill="1" applyBorder="1" applyAlignment="1" applyProtection="1">
      <alignment horizontal="right" vertical="center"/>
    </xf>
    <xf numFmtId="0" fontId="17" fillId="0" borderId="54" xfId="7" applyFont="1" applyFill="1" applyBorder="1" applyAlignment="1" applyProtection="1">
      <alignment horizontal="left" vertical="center"/>
    </xf>
    <xf numFmtId="168" fontId="2" fillId="0" borderId="50" xfId="7" quotePrefix="1" applyNumberFormat="1" applyFont="1" applyFill="1" applyBorder="1" applyAlignment="1" applyProtection="1">
      <alignment horizontal="center" vertical="center"/>
    </xf>
    <xf numFmtId="2" fontId="2" fillId="0" borderId="54" xfId="7" applyNumberFormat="1" applyFont="1" applyFill="1" applyBorder="1" applyAlignment="1" applyProtection="1">
      <alignment horizontal="center" vertical="center"/>
    </xf>
    <xf numFmtId="2" fontId="2" fillId="0" borderId="50" xfId="7" applyNumberFormat="1" applyFont="1" applyFill="1" applyBorder="1" applyAlignment="1" applyProtection="1">
      <alignment horizontal="center" vertical="center"/>
    </xf>
    <xf numFmtId="2" fontId="2" fillId="0" borderId="61" xfId="7" applyNumberFormat="1" applyFont="1" applyFill="1" applyBorder="1" applyAlignment="1" applyProtection="1">
      <alignment horizontal="center" vertical="center"/>
    </xf>
    <xf numFmtId="0" fontId="2" fillId="0" borderId="55" xfId="7" applyFont="1" applyFill="1" applyBorder="1" applyAlignment="1" applyProtection="1">
      <alignment horizontal="center" vertical="center"/>
    </xf>
    <xf numFmtId="49" fontId="17" fillId="7" borderId="63" xfId="7" applyNumberFormat="1" applyFont="1" applyFill="1" applyBorder="1" applyAlignment="1" applyProtection="1">
      <alignment horizontal="center" vertical="center"/>
    </xf>
    <xf numFmtId="0" fontId="17" fillId="7" borderId="64" xfId="7" applyFont="1" applyFill="1" applyBorder="1" applyAlignment="1" applyProtection="1">
      <alignment horizontal="center" vertical="center"/>
    </xf>
    <xf numFmtId="0" fontId="18" fillId="7" borderId="64" xfId="7" applyFont="1" applyFill="1" applyBorder="1" applyAlignment="1" applyProtection="1">
      <alignment horizontal="center" vertical="center"/>
    </xf>
    <xf numFmtId="170" fontId="17" fillId="7" borderId="64" xfId="7" applyNumberFormat="1" applyFont="1" applyFill="1" applyBorder="1" applyAlignment="1" applyProtection="1">
      <alignment horizontal="right" vertical="center"/>
    </xf>
    <xf numFmtId="0" fontId="17" fillId="7" borderId="64" xfId="7" applyFont="1" applyFill="1" applyBorder="1" applyAlignment="1" applyProtection="1">
      <alignment horizontal="left" vertical="center"/>
    </xf>
    <xf numFmtId="168" fontId="2" fillId="7" borderId="50" xfId="7" quotePrefix="1" applyNumberFormat="1" applyFont="1" applyFill="1" applyBorder="1" applyAlignment="1" applyProtection="1">
      <alignment horizontal="center" vertical="center"/>
    </xf>
    <xf numFmtId="0" fontId="2" fillId="7" borderId="60" xfId="7" applyFont="1" applyFill="1" applyBorder="1" applyAlignment="1" applyProtection="1">
      <alignment horizontal="center" vertical="center"/>
    </xf>
    <xf numFmtId="1" fontId="2" fillId="7" borderId="50" xfId="7" applyNumberFormat="1" applyFont="1" applyFill="1" applyBorder="1" applyAlignment="1" applyProtection="1">
      <alignment horizontal="center" vertical="center"/>
    </xf>
    <xf numFmtId="2" fontId="2" fillId="7" borderId="54" xfId="7" quotePrefix="1" applyNumberFormat="1" applyFont="1" applyFill="1" applyBorder="1" applyAlignment="1" applyProtection="1">
      <alignment horizontal="center" vertical="center"/>
    </xf>
    <xf numFmtId="2" fontId="2" fillId="7" borderId="50" xfId="7" quotePrefix="1" applyNumberFormat="1" applyFont="1" applyFill="1" applyBorder="1" applyAlignment="1" applyProtection="1">
      <alignment horizontal="center" vertical="center"/>
    </xf>
    <xf numFmtId="2" fontId="2" fillId="7" borderId="61" xfId="7" quotePrefix="1" applyNumberFormat="1" applyFont="1" applyFill="1" applyBorder="1" applyAlignment="1" applyProtection="1">
      <alignment horizontal="center" vertical="center"/>
    </xf>
    <xf numFmtId="1" fontId="2" fillId="7" borderId="51" xfId="7" applyNumberFormat="1" applyFont="1" applyFill="1" applyBorder="1" applyAlignment="1" applyProtection="1">
      <alignment horizontal="center" vertical="center"/>
    </xf>
    <xf numFmtId="0" fontId="2" fillId="7" borderId="52" xfId="7" applyFont="1" applyFill="1" applyBorder="1" applyAlignment="1" applyProtection="1">
      <alignment horizontal="center" vertical="center"/>
    </xf>
    <xf numFmtId="0" fontId="2" fillId="7" borderId="50" xfId="7" applyFont="1" applyFill="1" applyBorder="1" applyAlignment="1" applyProtection="1">
      <alignment horizontal="center" vertical="center"/>
    </xf>
    <xf numFmtId="0" fontId="2" fillId="7" borderId="53" xfId="7" applyFont="1" applyFill="1" applyBorder="1" applyAlignment="1" applyProtection="1">
      <alignment horizontal="center" vertical="center"/>
    </xf>
    <xf numFmtId="0" fontId="2" fillId="7" borderId="51" xfId="7" applyFont="1" applyFill="1" applyBorder="1" applyAlignment="1" applyProtection="1">
      <alignment horizontal="center" vertical="center"/>
    </xf>
    <xf numFmtId="171" fontId="2" fillId="7" borderId="50" xfId="7" applyNumberFormat="1" applyFont="1" applyFill="1" applyBorder="1" applyAlignment="1" applyProtection="1">
      <alignment horizontal="center" vertical="center"/>
    </xf>
    <xf numFmtId="171" fontId="2" fillId="7" borderId="54" xfId="7" applyNumberFormat="1" applyFont="1" applyFill="1" applyBorder="1" applyAlignment="1" applyProtection="1">
      <alignment horizontal="center" vertical="center"/>
    </xf>
    <xf numFmtId="171" fontId="2" fillId="7" borderId="55" xfId="7" applyNumberFormat="1" applyFont="1" applyFill="1" applyBorder="1" applyAlignment="1" applyProtection="1">
      <alignment horizontal="center" vertical="center"/>
    </xf>
    <xf numFmtId="0" fontId="2" fillId="7" borderId="54" xfId="7" applyFont="1" applyFill="1" applyBorder="1" applyAlignment="1" applyProtection="1">
      <alignment horizontal="center" vertical="center"/>
    </xf>
    <xf numFmtId="168" fontId="19" fillId="7" borderId="56" xfId="7" applyNumberFormat="1" applyFont="1" applyFill="1" applyBorder="1" applyAlignment="1" applyProtection="1">
      <alignment horizontal="center" vertical="center"/>
    </xf>
    <xf numFmtId="0" fontId="19" fillId="7" borderId="57" xfId="7" applyFont="1" applyFill="1" applyBorder="1" applyAlignment="1" applyProtection="1">
      <alignment vertical="center"/>
    </xf>
    <xf numFmtId="0" fontId="19" fillId="7" borderId="58" xfId="7" applyFont="1" applyFill="1" applyBorder="1" applyAlignment="1" applyProtection="1">
      <alignment horizontal="center" vertical="center"/>
    </xf>
    <xf numFmtId="49" fontId="17" fillId="7" borderId="65" xfId="7" applyNumberFormat="1" applyFont="1" applyFill="1" applyBorder="1" applyAlignment="1" applyProtection="1">
      <alignment horizontal="center" vertical="center"/>
    </xf>
    <xf numFmtId="0" fontId="17" fillId="7" borderId="66" xfId="7" applyFont="1" applyFill="1" applyBorder="1" applyAlignment="1" applyProtection="1">
      <alignment horizontal="center" vertical="center"/>
    </xf>
    <xf numFmtId="0" fontId="18" fillId="7" borderId="66" xfId="7" applyFont="1" applyFill="1" applyBorder="1" applyAlignment="1" applyProtection="1">
      <alignment horizontal="center" vertical="center"/>
    </xf>
    <xf numFmtId="170" fontId="17" fillId="7" borderId="66" xfId="7" applyNumberFormat="1" applyFont="1" applyFill="1" applyBorder="1" applyAlignment="1" applyProtection="1">
      <alignment horizontal="right" vertical="center"/>
    </xf>
    <xf numFmtId="0" fontId="17" fillId="7" borderId="66" xfId="7" applyFont="1" applyFill="1" applyBorder="1" applyAlignment="1" applyProtection="1">
      <alignment horizontal="left" vertical="center"/>
    </xf>
    <xf numFmtId="49" fontId="22" fillId="0" borderId="30" xfId="7" applyNumberFormat="1" applyFont="1" applyFill="1" applyBorder="1" applyAlignment="1" applyProtection="1">
      <alignment horizontal="left" vertical="center"/>
    </xf>
    <xf numFmtId="49" fontId="2" fillId="0" borderId="0" xfId="7" applyNumberFormat="1" applyFont="1" applyFill="1" applyBorder="1" applyAlignment="1" applyProtection="1">
      <alignment horizontal="center" vertical="center"/>
    </xf>
    <xf numFmtId="49" fontId="2" fillId="0" borderId="67" xfId="7" applyNumberFormat="1" applyFont="1" applyFill="1" applyBorder="1" applyAlignment="1" applyProtection="1">
      <alignment horizontal="center" vertical="center"/>
    </xf>
    <xf numFmtId="49" fontId="17" fillId="0" borderId="67" xfId="7" applyNumberFormat="1" applyFont="1" applyFill="1" applyBorder="1" applyAlignment="1" applyProtection="1">
      <alignment horizontal="center" vertical="center"/>
    </xf>
    <xf numFmtId="49" fontId="17" fillId="0" borderId="68" xfId="7" applyNumberFormat="1" applyFont="1" applyFill="1" applyBorder="1" applyAlignment="1" applyProtection="1">
      <alignment horizontal="right" vertical="center"/>
    </xf>
    <xf numFmtId="49" fontId="17" fillId="0" borderId="69" xfId="7" applyNumberFormat="1" applyFont="1" applyFill="1" applyBorder="1" applyAlignment="1" applyProtection="1">
      <alignment horizontal="left" vertical="center"/>
    </xf>
    <xf numFmtId="49" fontId="2" fillId="0" borderId="68" xfId="7" quotePrefix="1" applyNumberFormat="1" applyFont="1" applyFill="1" applyBorder="1" applyAlignment="1" applyProtection="1">
      <alignment horizontal="center" vertical="center"/>
    </xf>
    <xf numFmtId="172" fontId="2" fillId="0" borderId="70" xfId="7" applyNumberFormat="1" applyFont="1" applyFill="1" applyBorder="1" applyAlignment="1" applyProtection="1">
      <alignment horizontal="center" vertical="center"/>
    </xf>
    <xf numFmtId="49" fontId="2" fillId="0" borderId="68" xfId="7" applyNumberFormat="1" applyFont="1" applyFill="1" applyBorder="1" applyAlignment="1" applyProtection="1">
      <alignment horizontal="center" vertical="center"/>
    </xf>
    <xf numFmtId="49" fontId="2" fillId="0" borderId="71" xfId="7" applyNumberFormat="1" applyFont="1" applyFill="1" applyBorder="1" applyAlignment="1" applyProtection="1">
      <alignment horizontal="center" vertical="center"/>
    </xf>
    <xf numFmtId="49" fontId="2" fillId="0" borderId="72" xfId="7" applyNumberFormat="1" applyFont="1" applyFill="1" applyBorder="1" applyAlignment="1" applyProtection="1">
      <alignment horizontal="center" vertical="center"/>
    </xf>
    <xf numFmtId="49" fontId="2" fillId="0" borderId="73" xfId="7" applyNumberFormat="1" applyFont="1" applyFill="1" applyBorder="1" applyAlignment="1" applyProtection="1">
      <alignment horizontal="center" vertical="center"/>
    </xf>
    <xf numFmtId="49" fontId="2" fillId="0" borderId="74" xfId="7" applyNumberFormat="1" applyFont="1" applyFill="1" applyBorder="1" applyAlignment="1" applyProtection="1">
      <alignment horizontal="center" vertical="center"/>
    </xf>
    <xf numFmtId="49" fontId="2" fillId="0" borderId="75" xfId="7" applyNumberFormat="1" applyFont="1" applyFill="1" applyBorder="1" applyAlignment="1" applyProtection="1">
      <alignment horizontal="center" vertical="center"/>
    </xf>
    <xf numFmtId="49" fontId="2" fillId="0" borderId="76" xfId="7" applyNumberFormat="1" applyFont="1" applyFill="1" applyBorder="1" applyAlignment="1" applyProtection="1">
      <alignment horizontal="center" vertical="center"/>
    </xf>
    <xf numFmtId="49" fontId="2" fillId="0" borderId="77" xfId="7" applyNumberFormat="1" applyFont="1" applyFill="1" applyBorder="1" applyAlignment="1" applyProtection="1">
      <alignment horizontal="center" vertical="center"/>
    </xf>
    <xf numFmtId="49" fontId="19" fillId="0" borderId="78" xfId="7" applyNumberFormat="1" applyFont="1" applyFill="1" applyBorder="1" applyAlignment="1" applyProtection="1">
      <alignment horizontal="center" vertical="center"/>
    </xf>
    <xf numFmtId="49" fontId="19" fillId="0" borderId="79" xfId="7" applyNumberFormat="1" applyFont="1" applyFill="1" applyBorder="1" applyAlignment="1" applyProtection="1">
      <alignment horizontal="center" vertical="center"/>
    </xf>
    <xf numFmtId="0" fontId="2" fillId="0" borderId="45" xfId="7" applyFill="1" applyBorder="1" applyAlignment="1" applyProtection="1">
      <alignment horizontal="center" vertical="center"/>
    </xf>
    <xf numFmtId="0" fontId="19" fillId="0" borderId="38" xfId="7" applyFont="1" applyFill="1" applyBorder="1" applyAlignment="1" applyProtection="1">
      <alignment horizontal="center" vertical="center" wrapText="1"/>
    </xf>
    <xf numFmtId="170" fontId="2" fillId="5" borderId="0" xfId="7" applyNumberFormat="1" applyFont="1" applyFill="1" applyBorder="1" applyAlignment="1" applyProtection="1">
      <alignment horizontal="right" vertical="center"/>
    </xf>
    <xf numFmtId="49" fontId="17" fillId="7" borderId="80" xfId="7" applyNumberFormat="1" applyFont="1" applyFill="1" applyBorder="1" applyAlignment="1" applyProtection="1">
      <alignment horizontal="center" vertical="center"/>
    </xf>
    <xf numFmtId="0" fontId="17" fillId="7" borderId="81" xfId="7" applyFont="1" applyFill="1" applyBorder="1" applyAlignment="1" applyProtection="1">
      <alignment horizontal="center" vertical="center"/>
    </xf>
    <xf numFmtId="0" fontId="18" fillId="7" borderId="82" xfId="7" applyFont="1" applyFill="1" applyBorder="1" applyAlignment="1" applyProtection="1">
      <alignment horizontal="center" vertical="center"/>
    </xf>
    <xf numFmtId="170" fontId="17" fillId="7" borderId="83" xfId="7" applyNumberFormat="1" applyFont="1" applyFill="1" applyBorder="1" applyAlignment="1" applyProtection="1">
      <alignment horizontal="right" vertical="center"/>
    </xf>
    <xf numFmtId="168" fontId="2" fillId="7" borderId="84" xfId="7" quotePrefix="1" applyNumberFormat="1" applyFont="1" applyFill="1" applyBorder="1" applyAlignment="1" applyProtection="1">
      <alignment horizontal="center" vertical="center"/>
    </xf>
    <xf numFmtId="0" fontId="2" fillId="7" borderId="85" xfId="7" applyFont="1" applyFill="1" applyBorder="1" applyAlignment="1" applyProtection="1">
      <alignment horizontal="center" vertical="center"/>
    </xf>
    <xf numFmtId="1" fontId="2" fillId="7" borderId="84" xfId="7" applyNumberFormat="1" applyFont="1" applyFill="1" applyBorder="1" applyAlignment="1" applyProtection="1">
      <alignment horizontal="center" vertical="center"/>
    </xf>
    <xf numFmtId="2" fontId="2" fillId="7" borderId="86" xfId="7" quotePrefix="1" applyNumberFormat="1" applyFont="1" applyFill="1" applyBorder="1" applyAlignment="1" applyProtection="1">
      <alignment horizontal="center" vertical="center"/>
    </xf>
    <xf numFmtId="2" fontId="2" fillId="7" borderId="84" xfId="7" quotePrefix="1" applyNumberFormat="1" applyFont="1" applyFill="1" applyBorder="1" applyAlignment="1" applyProtection="1">
      <alignment horizontal="center" vertical="center"/>
    </xf>
    <xf numFmtId="1" fontId="2" fillId="7" borderId="87" xfId="7" applyNumberFormat="1" applyFont="1" applyFill="1" applyBorder="1" applyAlignment="1" applyProtection="1">
      <alignment horizontal="center" vertical="center"/>
    </xf>
    <xf numFmtId="0" fontId="2" fillId="7" borderId="88" xfId="7" applyFont="1" applyFill="1" applyBorder="1" applyAlignment="1" applyProtection="1">
      <alignment horizontal="center" vertical="center"/>
    </xf>
    <xf numFmtId="0" fontId="2" fillId="7" borderId="84" xfId="7" applyFont="1" applyFill="1" applyBorder="1" applyAlignment="1" applyProtection="1">
      <alignment horizontal="center" vertical="center"/>
    </xf>
    <xf numFmtId="0" fontId="2" fillId="7" borderId="89" xfId="7" applyFont="1" applyFill="1" applyBorder="1" applyAlignment="1" applyProtection="1">
      <alignment horizontal="center" vertical="center"/>
    </xf>
    <xf numFmtId="0" fontId="2" fillId="7" borderId="87" xfId="7" applyFont="1" applyFill="1" applyBorder="1" applyAlignment="1" applyProtection="1">
      <alignment horizontal="center" vertical="center"/>
    </xf>
    <xf numFmtId="171" fontId="2" fillId="7" borderId="84" xfId="7" applyNumberFormat="1" applyFont="1" applyFill="1" applyBorder="1" applyAlignment="1" applyProtection="1">
      <alignment horizontal="center" vertical="center"/>
    </xf>
    <xf numFmtId="171" fontId="2" fillId="7" borderId="86" xfId="7" applyNumberFormat="1" applyFont="1" applyFill="1" applyBorder="1" applyAlignment="1" applyProtection="1">
      <alignment horizontal="center" vertical="center"/>
    </xf>
    <xf numFmtId="171" fontId="2" fillId="7" borderId="90" xfId="7" applyNumberFormat="1" applyFont="1" applyFill="1" applyBorder="1" applyAlignment="1" applyProtection="1">
      <alignment horizontal="center" vertical="center"/>
    </xf>
    <xf numFmtId="0" fontId="2" fillId="7" borderId="86" xfId="7" applyFont="1" applyFill="1" applyBorder="1" applyAlignment="1" applyProtection="1">
      <alignment horizontal="center" vertical="center"/>
    </xf>
    <xf numFmtId="168" fontId="19" fillId="7" borderId="91" xfId="7" applyNumberFormat="1" applyFont="1" applyFill="1" applyBorder="1" applyAlignment="1" applyProtection="1">
      <alignment horizontal="center" vertical="center"/>
    </xf>
    <xf numFmtId="0" fontId="19" fillId="7" borderId="92" xfId="7" applyFont="1" applyFill="1" applyBorder="1" applyAlignment="1" applyProtection="1">
      <alignment vertical="center"/>
    </xf>
    <xf numFmtId="0" fontId="19" fillId="7" borderId="93" xfId="7" applyFont="1" applyFill="1" applyBorder="1" applyAlignment="1" applyProtection="1">
      <alignment horizontal="center" vertical="center"/>
    </xf>
    <xf numFmtId="168" fontId="2" fillId="7" borderId="94" xfId="7" quotePrefix="1" applyNumberFormat="1" applyFont="1" applyFill="1" applyBorder="1" applyAlignment="1" applyProtection="1">
      <alignment horizontal="center" vertical="center"/>
    </xf>
    <xf numFmtId="0" fontId="2" fillId="7" borderId="95" xfId="7" applyFont="1" applyFill="1" applyBorder="1" applyAlignment="1" applyProtection="1">
      <alignment horizontal="center" vertical="center"/>
    </xf>
    <xf numFmtId="1" fontId="2" fillId="7" borderId="94" xfId="7" applyNumberFormat="1" applyFont="1" applyFill="1" applyBorder="1" applyAlignment="1" applyProtection="1">
      <alignment horizontal="center" vertical="center"/>
    </xf>
    <xf numFmtId="2" fontId="2" fillId="7" borderId="96" xfId="7" quotePrefix="1" applyNumberFormat="1" applyFont="1" applyFill="1" applyBorder="1" applyAlignment="1" applyProtection="1">
      <alignment horizontal="center" vertical="center"/>
    </xf>
    <xf numFmtId="2" fontId="2" fillId="7" borderId="94" xfId="7" quotePrefix="1" applyNumberFormat="1" applyFont="1" applyFill="1" applyBorder="1" applyAlignment="1" applyProtection="1">
      <alignment horizontal="center" vertical="center"/>
    </xf>
    <xf numFmtId="1" fontId="2" fillId="7" borderId="97" xfId="7" applyNumberFormat="1" applyFont="1" applyFill="1" applyBorder="1" applyAlignment="1" applyProtection="1">
      <alignment horizontal="center" vertical="center"/>
    </xf>
    <xf numFmtId="0" fontId="2" fillId="7" borderId="98" xfId="7" applyFont="1" applyFill="1" applyBorder="1" applyAlignment="1" applyProtection="1">
      <alignment horizontal="center" vertical="center"/>
    </xf>
    <xf numFmtId="0" fontId="2" fillId="7" borderId="94" xfId="7" applyFont="1" applyFill="1" applyBorder="1" applyAlignment="1" applyProtection="1">
      <alignment horizontal="center" vertical="center"/>
    </xf>
    <xf numFmtId="0" fontId="2" fillId="7" borderId="99" xfId="7" applyFont="1" applyFill="1" applyBorder="1" applyAlignment="1" applyProtection="1">
      <alignment horizontal="center" vertical="center"/>
    </xf>
    <xf numFmtId="0" fontId="2" fillId="7" borderId="97" xfId="7" applyFont="1" applyFill="1" applyBorder="1" applyAlignment="1" applyProtection="1">
      <alignment horizontal="center" vertical="center"/>
    </xf>
    <xf numFmtId="171" fontId="2" fillId="7" borderId="94" xfId="7" applyNumberFormat="1" applyFont="1" applyFill="1" applyBorder="1" applyAlignment="1" applyProtection="1">
      <alignment horizontal="center" vertical="center"/>
    </xf>
    <xf numFmtId="171" fontId="2" fillId="7" borderId="96" xfId="7" applyNumberFormat="1" applyFont="1" applyFill="1" applyBorder="1" applyAlignment="1" applyProtection="1">
      <alignment horizontal="center" vertical="center"/>
    </xf>
    <xf numFmtId="171" fontId="2" fillId="7" borderId="100" xfId="7" applyNumberFormat="1" applyFont="1" applyFill="1" applyBorder="1" applyAlignment="1" applyProtection="1">
      <alignment horizontal="center" vertical="center"/>
    </xf>
    <xf numFmtId="0" fontId="2" fillId="7" borderId="96" xfId="7" applyFont="1" applyFill="1" applyBorder="1" applyAlignment="1" applyProtection="1">
      <alignment horizontal="center" vertical="center"/>
    </xf>
    <xf numFmtId="168" fontId="19" fillId="7" borderId="101" xfId="7" applyNumberFormat="1" applyFont="1" applyFill="1" applyBorder="1" applyAlignment="1" applyProtection="1">
      <alignment horizontal="center" vertical="center"/>
    </xf>
    <xf numFmtId="0" fontId="19" fillId="7" borderId="102" xfId="7" applyFont="1" applyFill="1" applyBorder="1" applyAlignment="1" applyProtection="1">
      <alignment vertical="center"/>
    </xf>
    <xf numFmtId="0" fontId="19" fillId="7" borderId="103" xfId="7" applyFont="1" applyFill="1" applyBorder="1" applyAlignment="1" applyProtection="1">
      <alignment horizontal="center" vertical="center"/>
    </xf>
    <xf numFmtId="49" fontId="15" fillId="0" borderId="104" xfId="7" applyNumberFormat="1" applyFont="1" applyFill="1" applyBorder="1" applyAlignment="1" applyProtection="1">
      <alignment horizontal="left" vertical="center"/>
    </xf>
    <xf numFmtId="49" fontId="2" fillId="0" borderId="14" xfId="7" applyNumberFormat="1" applyFont="1" applyFill="1" applyBorder="1" applyAlignment="1" applyProtection="1">
      <alignment horizontal="left" vertical="center"/>
    </xf>
    <xf numFmtId="49" fontId="2" fillId="0" borderId="104" xfId="7" applyNumberFormat="1" applyFont="1" applyFill="1" applyBorder="1" applyAlignment="1" applyProtection="1">
      <alignment horizontal="left" vertical="center"/>
    </xf>
    <xf numFmtId="49" fontId="2" fillId="0" borderId="30" xfId="7" applyNumberFormat="1" applyFont="1" applyFill="1" applyBorder="1" applyAlignment="1" applyProtection="1">
      <alignment horizontal="left" vertical="center"/>
    </xf>
    <xf numFmtId="49" fontId="2" fillId="0" borderId="48" xfId="7" applyNumberFormat="1" applyFont="1" applyFill="1" applyBorder="1" applyAlignment="1" applyProtection="1">
      <alignment horizontal="left" vertical="center"/>
    </xf>
    <xf numFmtId="49" fontId="2" fillId="0" borderId="31" xfId="7" applyNumberFormat="1" applyFont="1" applyFill="1" applyBorder="1" applyAlignment="1" applyProtection="1">
      <alignment horizontal="left" vertical="center"/>
    </xf>
    <xf numFmtId="49" fontId="2" fillId="0" borderId="0" xfId="7" quotePrefix="1" applyNumberFormat="1" applyFont="1" applyFill="1" applyBorder="1" applyAlignment="1" applyProtection="1">
      <alignment horizontal="left" vertical="center"/>
    </xf>
    <xf numFmtId="49" fontId="2" fillId="0" borderId="32" xfId="7" applyNumberFormat="1" applyFont="1" applyFill="1" applyBorder="1" applyAlignment="1" applyProtection="1">
      <alignment horizontal="left" vertical="center"/>
    </xf>
    <xf numFmtId="49" fontId="2" fillId="0" borderId="0" xfId="7" applyNumberFormat="1" applyFont="1" applyFill="1" applyBorder="1" applyAlignment="1" applyProtection="1">
      <alignment horizontal="left" vertical="center"/>
    </xf>
    <xf numFmtId="49" fontId="2" fillId="0" borderId="35" xfId="7" applyNumberFormat="1" applyFont="1" applyFill="1" applyBorder="1" applyAlignment="1" applyProtection="1">
      <alignment horizontal="left" vertical="center"/>
    </xf>
    <xf numFmtId="49" fontId="2" fillId="0" borderId="47" xfId="7" applyNumberFormat="1" applyFont="1" applyFill="1" applyBorder="1" applyAlignment="1" applyProtection="1">
      <alignment horizontal="left" vertical="center"/>
    </xf>
    <xf numFmtId="49" fontId="2" fillId="0" borderId="44" xfId="7" applyNumberFormat="1" applyFont="1" applyFill="1" applyBorder="1" applyAlignment="1" applyProtection="1">
      <alignment horizontal="left" vertical="center"/>
    </xf>
    <xf numFmtId="171" fontId="2" fillId="0" borderId="33" xfId="7" applyNumberFormat="1" applyFont="1" applyFill="1" applyBorder="1" applyAlignment="1" applyProtection="1">
      <alignment horizontal="center" vertical="center"/>
    </xf>
    <xf numFmtId="49" fontId="2" fillId="0" borderId="34" xfId="7" applyNumberFormat="1" applyFont="1" applyFill="1" applyBorder="1" applyAlignment="1" applyProtection="1">
      <alignment horizontal="left" vertical="center"/>
    </xf>
    <xf numFmtId="0" fontId="2" fillId="0" borderId="0" xfId="7" applyFont="1" applyBorder="1" applyAlignment="1" applyProtection="1">
      <alignment vertical="center"/>
    </xf>
    <xf numFmtId="0" fontId="2" fillId="0" borderId="0" xfId="7" applyFont="1" applyAlignment="1" applyProtection="1">
      <alignment vertical="center"/>
    </xf>
    <xf numFmtId="0" fontId="16" fillId="0" borderId="29" xfId="8" applyFont="1" applyFill="1" applyBorder="1" applyAlignment="1" applyProtection="1">
      <alignment horizontal="center" vertical="center" wrapText="1"/>
    </xf>
    <xf numFmtId="0" fontId="10" fillId="0" borderId="50" xfId="7" applyFont="1" applyFill="1" applyBorder="1" applyAlignment="1" applyProtection="1">
      <alignment vertical="center" wrapText="1"/>
    </xf>
    <xf numFmtId="2" fontId="2" fillId="0" borderId="105" xfId="7" quotePrefix="1" applyNumberFormat="1" applyFont="1" applyFill="1" applyBorder="1" applyAlignment="1" applyProtection="1">
      <alignment horizontal="center" vertical="center"/>
    </xf>
    <xf numFmtId="2" fontId="2" fillId="0" borderId="106" xfId="7" quotePrefix="1" applyNumberFormat="1" applyFont="1" applyFill="1" applyBorder="1" applyAlignment="1" applyProtection="1">
      <alignment horizontal="center" vertical="center"/>
    </xf>
    <xf numFmtId="1" fontId="2" fillId="0" borderId="107" xfId="7" applyNumberFormat="1" applyFont="1" applyFill="1" applyBorder="1" applyAlignment="1" applyProtection="1">
      <alignment horizontal="center" vertical="center"/>
    </xf>
    <xf numFmtId="0" fontId="2" fillId="0" borderId="108" xfId="7" applyFont="1" applyFill="1" applyBorder="1" applyAlignment="1" applyProtection="1">
      <alignment horizontal="center" vertical="center"/>
    </xf>
    <xf numFmtId="0" fontId="2" fillId="0" borderId="106" xfId="7" applyFont="1" applyFill="1" applyBorder="1" applyAlignment="1" applyProtection="1">
      <alignment horizontal="center" vertical="center"/>
    </xf>
    <xf numFmtId="0" fontId="2" fillId="0" borderId="109" xfId="7" applyFont="1" applyFill="1" applyBorder="1" applyAlignment="1" applyProtection="1">
      <alignment horizontal="center" vertical="center"/>
    </xf>
    <xf numFmtId="0" fontId="2" fillId="0" borderId="107" xfId="7" applyFont="1" applyFill="1" applyBorder="1" applyAlignment="1" applyProtection="1">
      <alignment horizontal="center" vertical="center"/>
    </xf>
    <xf numFmtId="171" fontId="2" fillId="0" borderId="106" xfId="7" applyNumberFormat="1" applyFont="1" applyFill="1" applyBorder="1" applyAlignment="1" applyProtection="1">
      <alignment horizontal="center" vertical="center"/>
    </xf>
    <xf numFmtId="171" fontId="2" fillId="0" borderId="110" xfId="7" applyNumberFormat="1" applyFont="1" applyFill="1" applyBorder="1" applyAlignment="1" applyProtection="1">
      <alignment horizontal="center" vertical="center"/>
    </xf>
    <xf numFmtId="171" fontId="2" fillId="0" borderId="111" xfId="7" applyNumberFormat="1" applyFont="1" applyFill="1" applyBorder="1" applyAlignment="1" applyProtection="1">
      <alignment horizontal="center" vertical="center"/>
    </xf>
    <xf numFmtId="0" fontId="2" fillId="0" borderId="110" xfId="7" applyFont="1" applyFill="1" applyBorder="1" applyAlignment="1" applyProtection="1">
      <alignment horizontal="center" vertical="center"/>
    </xf>
    <xf numFmtId="0" fontId="19" fillId="0" borderId="112" xfId="7" applyFont="1" applyFill="1" applyBorder="1" applyAlignment="1" applyProtection="1">
      <alignment horizontal="center" vertical="center"/>
    </xf>
    <xf numFmtId="0" fontId="19" fillId="0" borderId="113" xfId="7" applyFont="1" applyFill="1" applyBorder="1" applyAlignment="1" applyProtection="1">
      <alignment horizontal="center" vertical="center"/>
    </xf>
    <xf numFmtId="0" fontId="19" fillId="0" borderId="114" xfId="7" applyFont="1" applyFill="1" applyBorder="1" applyAlignment="1" applyProtection="1">
      <alignment horizontal="center" vertical="center"/>
    </xf>
    <xf numFmtId="0" fontId="17" fillId="0" borderId="115" xfId="7" applyFont="1" applyFill="1" applyBorder="1" applyAlignment="1" applyProtection="1">
      <alignment horizontal="left" vertical="center"/>
    </xf>
    <xf numFmtId="168" fontId="2" fillId="0" borderId="116" xfId="7" quotePrefix="1" applyNumberFormat="1" applyFont="1" applyFill="1" applyBorder="1" applyAlignment="1" applyProtection="1">
      <alignment horizontal="center" vertical="center"/>
    </xf>
    <xf numFmtId="0" fontId="17" fillId="7" borderId="117" xfId="7" applyFont="1" applyFill="1" applyBorder="1" applyAlignment="1" applyProtection="1">
      <alignment horizontal="left" vertical="center"/>
    </xf>
    <xf numFmtId="49" fontId="2" fillId="7" borderId="116" xfId="7" applyNumberFormat="1" applyFont="1" applyFill="1" applyBorder="1" applyAlignment="1" applyProtection="1">
      <alignment horizontal="center" vertical="center"/>
    </xf>
    <xf numFmtId="0" fontId="2" fillId="7" borderId="118" xfId="7" applyFont="1" applyFill="1" applyBorder="1" applyAlignment="1" applyProtection="1">
      <alignment horizontal="center" vertical="center"/>
    </xf>
    <xf numFmtId="1" fontId="2" fillId="7" borderId="119" xfId="7" applyNumberFormat="1" applyFont="1" applyFill="1" applyBorder="1" applyAlignment="1" applyProtection="1">
      <alignment horizontal="center" vertical="center"/>
    </xf>
    <xf numFmtId="2" fontId="2" fillId="7" borderId="120" xfId="7" quotePrefix="1" applyNumberFormat="1" applyFont="1" applyFill="1" applyBorder="1" applyAlignment="1" applyProtection="1">
      <alignment horizontal="center" vertical="center"/>
    </xf>
    <xf numFmtId="2" fontId="2" fillId="7" borderId="119" xfId="7" quotePrefix="1" applyNumberFormat="1" applyFont="1" applyFill="1" applyBorder="1" applyAlignment="1" applyProtection="1">
      <alignment horizontal="center" vertical="center"/>
    </xf>
    <xf numFmtId="2" fontId="2" fillId="7" borderId="121" xfId="7" quotePrefix="1" applyNumberFormat="1" applyFont="1" applyFill="1" applyBorder="1" applyAlignment="1" applyProtection="1">
      <alignment horizontal="center" vertical="center"/>
    </xf>
    <xf numFmtId="1" fontId="2" fillId="7" borderId="122" xfId="7" applyNumberFormat="1" applyFont="1" applyFill="1" applyBorder="1" applyAlignment="1" applyProtection="1">
      <alignment horizontal="center" vertical="center"/>
    </xf>
    <xf numFmtId="0" fontId="2" fillId="7" borderId="123" xfId="7" applyFont="1" applyFill="1" applyBorder="1" applyAlignment="1" applyProtection="1">
      <alignment horizontal="center" vertical="center"/>
    </xf>
    <xf numFmtId="0" fontId="2" fillId="7" borderId="119" xfId="7" applyFont="1" applyFill="1" applyBorder="1" applyAlignment="1" applyProtection="1">
      <alignment horizontal="center" vertical="center"/>
    </xf>
    <xf numFmtId="0" fontId="2" fillId="7" borderId="124" xfId="7" applyFont="1" applyFill="1" applyBorder="1" applyAlignment="1" applyProtection="1">
      <alignment horizontal="center" vertical="center"/>
    </xf>
    <xf numFmtId="0" fontId="2" fillId="7" borderId="122" xfId="7" applyFont="1" applyFill="1" applyBorder="1" applyAlignment="1" applyProtection="1">
      <alignment horizontal="center" vertical="center"/>
    </xf>
    <xf numFmtId="171" fontId="2" fillId="7" borderId="119" xfId="7" applyNumberFormat="1" applyFont="1" applyFill="1" applyBorder="1" applyAlignment="1" applyProtection="1">
      <alignment horizontal="center" vertical="center"/>
    </xf>
    <xf numFmtId="171" fontId="2" fillId="7" borderId="120" xfId="7" applyNumberFormat="1" applyFont="1" applyFill="1" applyBorder="1" applyAlignment="1" applyProtection="1">
      <alignment horizontal="center" vertical="center"/>
    </xf>
    <xf numFmtId="171" fontId="2" fillId="7" borderId="125" xfId="7" applyNumberFormat="1" applyFont="1" applyFill="1" applyBorder="1" applyAlignment="1" applyProtection="1">
      <alignment horizontal="center" vertical="center"/>
    </xf>
    <xf numFmtId="0" fontId="2" fillId="7" borderId="120" xfId="7" applyFont="1" applyFill="1" applyBorder="1" applyAlignment="1" applyProtection="1">
      <alignment horizontal="center" vertical="center"/>
    </xf>
    <xf numFmtId="168" fontId="19" fillId="7" borderId="126" xfId="7" applyNumberFormat="1" applyFont="1" applyFill="1" applyBorder="1" applyAlignment="1" applyProtection="1">
      <alignment horizontal="center" vertical="center"/>
    </xf>
    <xf numFmtId="0" fontId="19" fillId="7" borderId="127" xfId="7" applyFont="1" applyFill="1" applyBorder="1" applyAlignment="1" applyProtection="1">
      <alignment vertical="center"/>
    </xf>
    <xf numFmtId="0" fontId="19" fillId="7" borderId="128" xfId="7" applyFont="1" applyFill="1" applyBorder="1" applyAlignment="1" applyProtection="1">
      <alignment horizontal="center" vertical="center"/>
    </xf>
    <xf numFmtId="49" fontId="17" fillId="8" borderId="80" xfId="7" applyNumberFormat="1" applyFont="1" applyFill="1" applyBorder="1" applyAlignment="1" applyProtection="1">
      <alignment horizontal="center" vertical="center"/>
    </xf>
    <xf numFmtId="0" fontId="17" fillId="8" borderId="81" xfId="7" applyFont="1" applyFill="1" applyBorder="1" applyAlignment="1" applyProtection="1">
      <alignment horizontal="center" vertical="center"/>
    </xf>
    <xf numFmtId="0" fontId="18" fillId="8" borderId="82" xfId="7" applyFont="1" applyFill="1" applyBorder="1" applyAlignment="1" applyProtection="1">
      <alignment horizontal="center" vertical="center"/>
    </xf>
    <xf numFmtId="170" fontId="17" fillId="8" borderId="83" xfId="7" applyNumberFormat="1" applyFont="1" applyFill="1" applyBorder="1" applyAlignment="1" applyProtection="1">
      <alignment horizontal="right" vertical="center"/>
    </xf>
    <xf numFmtId="0" fontId="17" fillId="8" borderId="117" xfId="7" applyFont="1" applyFill="1" applyBorder="1" applyAlignment="1" applyProtection="1">
      <alignment horizontal="left" vertical="center"/>
    </xf>
    <xf numFmtId="49" fontId="2" fillId="8" borderId="116" xfId="7" applyNumberFormat="1" applyFont="1" applyFill="1" applyBorder="1" applyAlignment="1" applyProtection="1">
      <alignment horizontal="center" vertical="center"/>
    </xf>
    <xf numFmtId="0" fontId="2" fillId="8" borderId="118" xfId="7" applyFont="1" applyFill="1" applyBorder="1" applyAlignment="1" applyProtection="1">
      <alignment horizontal="center" vertical="center"/>
    </xf>
    <xf numFmtId="1" fontId="2" fillId="8" borderId="119" xfId="7" applyNumberFormat="1" applyFont="1" applyFill="1" applyBorder="1" applyAlignment="1" applyProtection="1">
      <alignment horizontal="center" vertical="center"/>
    </xf>
    <xf numFmtId="2" fontId="2" fillId="8" borderId="120" xfId="7" quotePrefix="1" applyNumberFormat="1" applyFont="1" applyFill="1" applyBorder="1" applyAlignment="1" applyProtection="1">
      <alignment horizontal="center" vertical="center"/>
    </xf>
    <xf numFmtId="2" fontId="2" fillId="8" borderId="119" xfId="7" quotePrefix="1" applyNumberFormat="1" applyFont="1" applyFill="1" applyBorder="1" applyAlignment="1" applyProtection="1">
      <alignment horizontal="center" vertical="center"/>
    </xf>
    <xf numFmtId="2" fontId="2" fillId="8" borderId="121" xfId="7" quotePrefix="1" applyNumberFormat="1" applyFont="1" applyFill="1" applyBorder="1" applyAlignment="1" applyProtection="1">
      <alignment horizontal="center" vertical="center"/>
    </xf>
    <xf numFmtId="1" fontId="2" fillId="8" borderId="122" xfId="7" applyNumberFormat="1" applyFont="1" applyFill="1" applyBorder="1" applyAlignment="1" applyProtection="1">
      <alignment horizontal="center" vertical="center"/>
    </xf>
    <xf numFmtId="0" fontId="2" fillId="8" borderId="123" xfId="7" applyFont="1" applyFill="1" applyBorder="1" applyAlignment="1" applyProtection="1">
      <alignment horizontal="center" vertical="center"/>
    </xf>
    <xf numFmtId="0" fontId="2" fillId="8" borderId="119" xfId="7" applyFont="1" applyFill="1" applyBorder="1" applyAlignment="1" applyProtection="1">
      <alignment horizontal="center" vertical="center"/>
    </xf>
    <xf numFmtId="0" fontId="2" fillId="8" borderId="124" xfId="7" applyFont="1" applyFill="1" applyBorder="1" applyAlignment="1" applyProtection="1">
      <alignment horizontal="center" vertical="center"/>
    </xf>
    <xf numFmtId="0" fontId="2" fillId="8" borderId="122" xfId="7" applyFont="1" applyFill="1" applyBorder="1" applyAlignment="1" applyProtection="1">
      <alignment horizontal="center" vertical="center"/>
    </xf>
    <xf numFmtId="171" fontId="2" fillId="8" borderId="119" xfId="7" applyNumberFormat="1" applyFont="1" applyFill="1" applyBorder="1" applyAlignment="1" applyProtection="1">
      <alignment horizontal="center" vertical="center"/>
    </xf>
    <xf numFmtId="171" fontId="2" fillId="8" borderId="120" xfId="7" applyNumberFormat="1" applyFont="1" applyFill="1" applyBorder="1" applyAlignment="1" applyProtection="1">
      <alignment horizontal="center" vertical="center"/>
    </xf>
    <xf numFmtId="171" fontId="2" fillId="8" borderId="125" xfId="7" applyNumberFormat="1" applyFont="1" applyFill="1" applyBorder="1" applyAlignment="1" applyProtection="1">
      <alignment horizontal="center" vertical="center"/>
    </xf>
    <xf numFmtId="0" fontId="2" fillId="8" borderId="120" xfId="7" applyFont="1" applyFill="1" applyBorder="1" applyAlignment="1" applyProtection="1">
      <alignment horizontal="center" vertical="center"/>
    </xf>
    <xf numFmtId="168" fontId="19" fillId="8" borderId="126" xfId="7" applyNumberFormat="1" applyFont="1" applyFill="1" applyBorder="1" applyAlignment="1" applyProtection="1">
      <alignment horizontal="center" vertical="center"/>
    </xf>
    <xf numFmtId="0" fontId="19" fillId="8" borderId="127" xfId="7" applyFont="1" applyFill="1" applyBorder="1" applyAlignment="1" applyProtection="1">
      <alignment vertical="center"/>
    </xf>
    <xf numFmtId="0" fontId="19" fillId="8" borderId="128" xfId="7" applyFont="1" applyFill="1" applyBorder="1" applyAlignment="1" applyProtection="1">
      <alignment horizontal="center" vertical="center"/>
    </xf>
    <xf numFmtId="0" fontId="2" fillId="0" borderId="129" xfId="7" applyFont="1" applyFill="1" applyBorder="1" applyAlignment="1" applyProtection="1">
      <alignment horizontal="center" vertical="center"/>
    </xf>
    <xf numFmtId="2" fontId="17" fillId="0" borderId="16" xfId="7" applyNumberFormat="1" applyFont="1" applyFill="1" applyBorder="1" applyAlignment="1" applyProtection="1">
      <alignment horizontal="center" vertical="center"/>
    </xf>
    <xf numFmtId="0" fontId="17" fillId="0" borderId="130" xfId="7" applyFont="1" applyFill="1" applyBorder="1" applyAlignment="1" applyProtection="1">
      <alignment horizontal="center" vertical="center"/>
    </xf>
    <xf numFmtId="0" fontId="2" fillId="6" borderId="130" xfId="7" applyFont="1" applyFill="1" applyBorder="1" applyAlignment="1" applyProtection="1">
      <alignment horizontal="center" vertical="center"/>
    </xf>
    <xf numFmtId="49" fontId="17" fillId="8" borderId="130" xfId="7" applyNumberFormat="1" applyFont="1" applyFill="1" applyBorder="1" applyAlignment="1" applyProtection="1">
      <alignment horizontal="center" vertical="center"/>
    </xf>
    <xf numFmtId="0" fontId="17" fillId="8" borderId="130" xfId="7" applyFont="1" applyFill="1" applyBorder="1" applyAlignment="1" applyProtection="1">
      <alignment horizontal="center" vertical="center"/>
    </xf>
    <xf numFmtId="0" fontId="18" fillId="8" borderId="130" xfId="7" applyFont="1" applyFill="1" applyBorder="1" applyAlignment="1" applyProtection="1">
      <alignment horizontal="center" vertical="center"/>
    </xf>
    <xf numFmtId="170" fontId="17" fillId="8" borderId="16" xfId="7" applyNumberFormat="1" applyFont="1" applyFill="1" applyBorder="1" applyAlignment="1" applyProtection="1">
      <alignment horizontal="right" vertical="center"/>
    </xf>
    <xf numFmtId="0" fontId="17" fillId="8" borderId="131" xfId="7" applyFont="1" applyFill="1" applyBorder="1" applyAlignment="1" applyProtection="1">
      <alignment horizontal="left" vertical="center"/>
    </xf>
    <xf numFmtId="49" fontId="2" fillId="8" borderId="132" xfId="7" applyNumberFormat="1" applyFont="1" applyFill="1" applyBorder="1" applyAlignment="1" applyProtection="1">
      <alignment horizontal="center" vertical="center"/>
    </xf>
    <xf numFmtId="0" fontId="2" fillId="8" borderId="133" xfId="7" applyFont="1" applyFill="1" applyBorder="1" applyAlignment="1" applyProtection="1">
      <alignment horizontal="center" vertical="center"/>
    </xf>
    <xf numFmtId="1" fontId="2" fillId="8" borderId="16" xfId="7" applyNumberFormat="1" applyFont="1" applyFill="1" applyBorder="1" applyAlignment="1" applyProtection="1">
      <alignment horizontal="center" vertical="center"/>
    </xf>
    <xf numFmtId="2" fontId="2" fillId="8" borderId="134" xfId="7" quotePrefix="1" applyNumberFormat="1" applyFont="1" applyFill="1" applyBorder="1" applyAlignment="1" applyProtection="1">
      <alignment horizontal="center" vertical="center"/>
    </xf>
    <xf numFmtId="2" fontId="2" fillId="8" borderId="16" xfId="7" quotePrefix="1" applyNumberFormat="1" applyFont="1" applyFill="1" applyBorder="1" applyAlignment="1" applyProtection="1">
      <alignment horizontal="center" vertical="center"/>
    </xf>
    <xf numFmtId="1" fontId="2" fillId="8" borderId="135" xfId="7" applyNumberFormat="1" applyFont="1" applyFill="1" applyBorder="1" applyAlignment="1" applyProtection="1">
      <alignment horizontal="center" vertical="center"/>
    </xf>
    <xf numFmtId="0" fontId="2" fillId="8" borderId="136" xfId="7" applyFont="1" applyFill="1" applyBorder="1" applyAlignment="1" applyProtection="1">
      <alignment horizontal="center" vertical="center"/>
    </xf>
    <xf numFmtId="0" fontId="2" fillId="8" borderId="137" xfId="7" applyFont="1" applyFill="1" applyBorder="1" applyAlignment="1" applyProtection="1">
      <alignment horizontal="center" vertical="center"/>
    </xf>
    <xf numFmtId="0" fontId="2" fillId="8" borderId="138" xfId="7" applyFont="1" applyFill="1" applyBorder="1" applyAlignment="1" applyProtection="1">
      <alignment horizontal="center" vertical="center"/>
    </xf>
    <xf numFmtId="0" fontId="2" fillId="8" borderId="135" xfId="7" applyFont="1" applyFill="1" applyBorder="1" applyAlignment="1" applyProtection="1">
      <alignment horizontal="center" vertical="center"/>
    </xf>
    <xf numFmtId="171" fontId="2" fillId="8" borderId="16" xfId="7" applyNumberFormat="1" applyFont="1" applyFill="1" applyBorder="1" applyAlignment="1" applyProtection="1">
      <alignment horizontal="center" vertical="center"/>
    </xf>
    <xf numFmtId="171" fontId="2" fillId="8" borderId="134" xfId="7" applyNumberFormat="1" applyFont="1" applyFill="1" applyBorder="1" applyAlignment="1" applyProtection="1">
      <alignment horizontal="center" vertical="center"/>
    </xf>
    <xf numFmtId="171" fontId="2" fillId="8" borderId="137" xfId="7" applyNumberFormat="1" applyFont="1" applyFill="1" applyBorder="1" applyAlignment="1" applyProtection="1">
      <alignment horizontal="center" vertical="center"/>
    </xf>
    <xf numFmtId="0" fontId="2" fillId="8" borderId="16" xfId="7" applyFont="1" applyFill="1" applyBorder="1" applyAlignment="1" applyProtection="1">
      <alignment horizontal="center" vertical="center"/>
    </xf>
    <xf numFmtId="0" fontId="2" fillId="8" borderId="134" xfId="7" applyFont="1" applyFill="1" applyBorder="1" applyAlignment="1" applyProtection="1">
      <alignment horizontal="center" vertical="center"/>
    </xf>
    <xf numFmtId="168" fontId="19" fillId="8" borderId="139" xfId="7" applyNumberFormat="1" applyFont="1" applyFill="1" applyBorder="1" applyAlignment="1" applyProtection="1">
      <alignment horizontal="center" vertical="center"/>
    </xf>
    <xf numFmtId="0" fontId="19" fillId="8" borderId="140" xfId="7" applyFont="1" applyFill="1" applyBorder="1" applyAlignment="1" applyProtection="1">
      <alignment vertical="center"/>
    </xf>
    <xf numFmtId="0" fontId="19" fillId="8" borderId="141" xfId="7" applyFont="1" applyFill="1" applyBorder="1" applyAlignment="1" applyProtection="1">
      <alignment horizontal="center" vertical="center"/>
    </xf>
    <xf numFmtId="0" fontId="2" fillId="0" borderId="0" xfId="7" applyAlignment="1" applyProtection="1">
      <alignment vertical="center"/>
    </xf>
    <xf numFmtId="0" fontId="2" fillId="0" borderId="0" xfId="7" applyAlignment="1" applyProtection="1">
      <alignment horizontal="center" vertical="center"/>
    </xf>
    <xf numFmtId="49" fontId="2" fillId="0" borderId="0" xfId="7" applyNumberFormat="1" applyFill="1" applyAlignment="1" applyProtection="1">
      <alignment horizontal="center" vertical="center"/>
    </xf>
    <xf numFmtId="0" fontId="11" fillId="0" borderId="0" xfId="7" applyFont="1" applyAlignment="1" applyProtection="1">
      <alignment horizontal="center" vertical="center"/>
    </xf>
    <xf numFmtId="0" fontId="2" fillId="0" borderId="0" xfId="7" applyAlignment="1" applyProtection="1">
      <alignment horizontal="right" vertical="center"/>
    </xf>
    <xf numFmtId="0" fontId="2" fillId="0" borderId="0" xfId="7" applyFill="1" applyAlignment="1" applyProtection="1">
      <alignment horizontal="center" vertical="center"/>
    </xf>
    <xf numFmtId="168" fontId="2" fillId="0" borderId="0" xfId="7" applyNumberFormat="1" applyAlignment="1" applyProtection="1">
      <alignment horizontal="center" vertical="center"/>
    </xf>
    <xf numFmtId="1" fontId="2" fillId="0" borderId="0" xfId="7" applyNumberFormat="1" applyAlignment="1" applyProtection="1">
      <alignment horizontal="center" vertical="center"/>
    </xf>
    <xf numFmtId="2" fontId="2" fillId="0" borderId="0" xfId="7" applyNumberFormat="1" applyAlignment="1" applyProtection="1">
      <alignment horizontal="center" vertical="center"/>
    </xf>
    <xf numFmtId="0" fontId="19" fillId="0" borderId="0" xfId="7" applyFont="1" applyAlignment="1" applyProtection="1">
      <alignment horizontal="center" vertical="center"/>
    </xf>
    <xf numFmtId="0" fontId="19" fillId="0" borderId="0" xfId="7" applyFont="1" applyAlignment="1" applyProtection="1">
      <alignment vertical="center"/>
    </xf>
    <xf numFmtId="0" fontId="2" fillId="9" borderId="0" xfId="7" applyFill="1" applyAlignment="1" applyProtection="1">
      <alignment horizontal="left" vertical="center"/>
    </xf>
    <xf numFmtId="0" fontId="2" fillId="4" borderId="0" xfId="7" applyFill="1" applyAlignment="1" applyProtection="1">
      <alignment horizontal="left" vertical="center"/>
    </xf>
    <xf numFmtId="49" fontId="2" fillId="0" borderId="0" xfId="7" applyNumberFormat="1" applyBorder="1" applyAlignment="1" applyProtection="1">
      <alignment horizontal="center" vertical="center"/>
    </xf>
    <xf numFmtId="0" fontId="2" fillId="10" borderId="0" xfId="7" applyFill="1" applyAlignment="1" applyProtection="1">
      <alignment horizontal="left" vertical="center"/>
    </xf>
    <xf numFmtId="0" fontId="2" fillId="10" borderId="0" xfId="7" applyFill="1" applyAlignment="1" applyProtection="1">
      <alignment horizontal="center" vertical="center"/>
    </xf>
    <xf numFmtId="0" fontId="17" fillId="0" borderId="0" xfId="7" applyFont="1" applyFill="1" applyAlignment="1" applyProtection="1">
      <alignment horizontal="left" vertical="center"/>
    </xf>
    <xf numFmtId="0" fontId="2" fillId="0" borderId="0" xfId="7" applyFill="1" applyAlignment="1" applyProtection="1">
      <alignment horizontal="left" vertical="center"/>
    </xf>
    <xf numFmtId="49" fontId="2" fillId="0" borderId="0" xfId="7" applyNumberFormat="1" applyAlignment="1" applyProtection="1">
      <alignment horizontal="center" vertical="center"/>
    </xf>
    <xf numFmtId="0" fontId="12" fillId="0" borderId="0" xfId="7" applyFont="1" applyAlignment="1" applyProtection="1">
      <alignment vertical="center"/>
    </xf>
    <xf numFmtId="0" fontId="3" fillId="0" borderId="142" xfId="0" applyFont="1" applyFill="1" applyBorder="1" applyAlignment="1" applyProtection="1">
      <alignment horizontal="center" vertical="center" wrapText="1"/>
    </xf>
    <xf numFmtId="0" fontId="0" fillId="0" borderId="1" xfId="0" applyFill="1" applyBorder="1"/>
    <xf numFmtId="164" fontId="0" fillId="0" borderId="1" xfId="9" applyNumberFormat="1" applyFont="1" applyFill="1" applyBorder="1" applyProtection="1">
      <protection locked="0"/>
    </xf>
    <xf numFmtId="0" fontId="1" fillId="0" borderId="4" xfId="0" applyFont="1" applyFill="1" applyBorder="1"/>
    <xf numFmtId="164" fontId="1" fillId="0" borderId="1" xfId="9" applyNumberFormat="1" applyFont="1" applyFill="1" applyBorder="1" applyProtection="1">
      <protection locked="0"/>
    </xf>
    <xf numFmtId="0" fontId="2" fillId="0" borderId="143" xfId="0" applyFont="1" applyFill="1" applyBorder="1" applyProtection="1">
      <protection locked="0"/>
    </xf>
    <xf numFmtId="0" fontId="0" fillId="0" borderId="1" xfId="0" applyFill="1" applyBorder="1" applyAlignment="1">
      <alignment wrapText="1"/>
    </xf>
    <xf numFmtId="0" fontId="0" fillId="0" borderId="144" xfId="0" applyFill="1" applyBorder="1"/>
    <xf numFmtId="0" fontId="1" fillId="0" borderId="144" xfId="0" applyFont="1" applyFill="1" applyBorder="1"/>
    <xf numFmtId="0" fontId="0" fillId="0" borderId="144" xfId="0" applyFill="1" applyBorder="1" applyAlignment="1">
      <alignment wrapText="1"/>
    </xf>
    <xf numFmtId="0" fontId="2" fillId="0" borderId="144" xfId="0" applyFont="1" applyFill="1" applyBorder="1"/>
    <xf numFmtId="0" fontId="3" fillId="0" borderId="143" xfId="0" applyFont="1" applyFill="1" applyBorder="1" applyProtection="1">
      <protection locked="0"/>
    </xf>
    <xf numFmtId="0" fontId="0" fillId="0" borderId="145" xfId="0" applyFill="1" applyBorder="1" applyProtection="1">
      <protection locked="0"/>
    </xf>
    <xf numFmtId="164" fontId="0" fillId="0" borderId="3" xfId="9" applyNumberFormat="1" applyFont="1" applyFill="1" applyBorder="1" applyProtection="1">
      <protection locked="0"/>
    </xf>
    <xf numFmtId="0" fontId="3" fillId="0" borderId="139" xfId="0" applyFont="1" applyFill="1" applyBorder="1" applyProtection="1"/>
    <xf numFmtId="164" fontId="0" fillId="0" borderId="6" xfId="9" applyNumberFormat="1" applyFont="1" applyFill="1" applyBorder="1" applyProtection="1"/>
    <xf numFmtId="44" fontId="0" fillId="0" borderId="0" xfId="0" applyNumberFormat="1"/>
    <xf numFmtId="0" fontId="1" fillId="0" borderId="0" xfId="0" applyFont="1" applyAlignment="1"/>
    <xf numFmtId="0" fontId="2" fillId="3" borderId="4" xfId="1" applyFont="1" applyFill="1" applyBorder="1" applyProtection="1">
      <protection locked="0"/>
    </xf>
    <xf numFmtId="43" fontId="0" fillId="3" borderId="146" xfId="4" applyFont="1" applyFill="1" applyBorder="1" applyProtection="1">
      <protection locked="0"/>
    </xf>
    <xf numFmtId="165" fontId="0" fillId="3" borderId="146" xfId="2" applyNumberFormat="1" applyFont="1" applyFill="1" applyBorder="1" applyProtection="1">
      <protection locked="0"/>
    </xf>
    <xf numFmtId="0" fontId="2" fillId="3" borderId="4" xfId="1" applyFill="1" applyBorder="1" applyProtection="1">
      <protection locked="0"/>
    </xf>
    <xf numFmtId="165" fontId="0" fillId="3" borderId="1" xfId="4" applyNumberFormat="1" applyFont="1" applyFill="1" applyBorder="1" applyProtection="1">
      <protection locked="0"/>
    </xf>
    <xf numFmtId="43" fontId="0" fillId="0" borderId="0" xfId="0" applyNumberFormat="1"/>
    <xf numFmtId="0" fontId="1" fillId="0" borderId="42" xfId="0" applyFont="1" applyBorder="1" applyAlignment="1">
      <alignment horizontal="center" wrapText="1"/>
    </xf>
    <xf numFmtId="0" fontId="1" fillId="0" borderId="42" xfId="0" applyFont="1" applyBorder="1" applyAlignment="1">
      <alignment horizontal="center"/>
    </xf>
    <xf numFmtId="0" fontId="1" fillId="0" borderId="16" xfId="0" applyFont="1" applyBorder="1"/>
    <xf numFmtId="0" fontId="0" fillId="0" borderId="0" xfId="0" applyAlignment="1">
      <alignment vertical="center"/>
    </xf>
    <xf numFmtId="0" fontId="0" fillId="0" borderId="0" xfId="4" applyNumberFormat="1" applyFont="1" applyAlignment="1">
      <alignment vertical="center" wrapText="1"/>
    </xf>
    <xf numFmtId="43" fontId="0" fillId="0" borderId="0" xfId="4" applyFont="1" applyAlignment="1">
      <alignment vertical="center"/>
    </xf>
    <xf numFmtId="0" fontId="7" fillId="0" borderId="0" xfId="0" applyFont="1" applyFill="1" applyProtection="1"/>
    <xf numFmtId="0" fontId="0" fillId="0" borderId="0" xfId="0" applyFill="1" applyProtection="1"/>
    <xf numFmtId="0" fontId="0" fillId="11" borderId="0" xfId="0" applyFill="1" applyProtection="1"/>
    <xf numFmtId="49" fontId="2" fillId="0" borderId="0" xfId="0" applyNumberFormat="1" applyFont="1" applyFill="1" applyAlignment="1" applyProtection="1">
      <alignment horizontal="center" vertical="center"/>
    </xf>
    <xf numFmtId="0" fontId="24" fillId="11" borderId="1" xfId="0" applyFont="1" applyFill="1" applyBorder="1" applyAlignment="1" applyProtection="1">
      <alignment horizontal="center" vertical="center" wrapText="1"/>
    </xf>
    <xf numFmtId="0" fontId="24" fillId="11" borderId="1" xfId="0" applyFont="1" applyFill="1" applyBorder="1" applyAlignment="1" applyProtection="1">
      <alignment horizontal="center" vertical="center"/>
    </xf>
    <xf numFmtId="0" fontId="25" fillId="9" borderId="1" xfId="0" applyFont="1" applyFill="1" applyBorder="1" applyAlignment="1" applyProtection="1">
      <alignment horizontal="center"/>
    </xf>
    <xf numFmtId="0" fontId="25" fillId="9" borderId="1" xfId="0" applyFont="1" applyFill="1" applyBorder="1" applyAlignment="1" applyProtection="1">
      <alignment horizontal="left"/>
    </xf>
    <xf numFmtId="173" fontId="14" fillId="0" borderId="1" xfId="10" applyNumberFormat="1" applyFont="1" applyFill="1" applyBorder="1" applyAlignment="1" applyProtection="1">
      <alignment horizontal="left"/>
    </xf>
    <xf numFmtId="173" fontId="14" fillId="3" borderId="1" xfId="10" applyNumberFormat="1" applyFont="1" applyFill="1" applyBorder="1" applyProtection="1">
      <protection locked="0"/>
    </xf>
    <xf numFmtId="173" fontId="14" fillId="0" borderId="1" xfId="10" applyNumberFormat="1" applyFont="1" applyFill="1" applyBorder="1" applyProtection="1"/>
    <xf numFmtId="2" fontId="14" fillId="0" borderId="1" xfId="10" applyNumberFormat="1" applyFont="1" applyFill="1" applyBorder="1" applyProtection="1"/>
    <xf numFmtId="9" fontId="26" fillId="0" borderId="1" xfId="11" applyNumberFormat="1" applyFont="1" applyFill="1" applyBorder="1" applyAlignment="1" applyProtection="1">
      <alignment horizontal="center"/>
    </xf>
    <xf numFmtId="174" fontId="14" fillId="0" borderId="1" xfId="10" applyNumberFormat="1" applyFont="1" applyFill="1" applyBorder="1" applyProtection="1"/>
    <xf numFmtId="0" fontId="25" fillId="11" borderId="1" xfId="0" applyFont="1" applyFill="1" applyBorder="1" applyAlignment="1" applyProtection="1">
      <alignment horizontal="center" wrapText="1"/>
    </xf>
    <xf numFmtId="0" fontId="25" fillId="3" borderId="1" xfId="0" applyFont="1" applyFill="1" applyBorder="1" applyAlignment="1" applyProtection="1">
      <alignment horizontal="center"/>
      <protection locked="0"/>
    </xf>
    <xf numFmtId="0" fontId="25" fillId="3" borderId="1" xfId="0" applyFont="1" applyFill="1" applyBorder="1" applyAlignment="1" applyProtection="1">
      <alignment horizontal="left"/>
      <protection locked="0"/>
    </xf>
    <xf numFmtId="173" fontId="14" fillId="0" borderId="1" xfId="10" applyNumberFormat="1" applyFont="1" applyFill="1" applyBorder="1" applyProtection="1">
      <protection locked="0"/>
    </xf>
    <xf numFmtId="9" fontId="26" fillId="3" borderId="1" xfId="11" applyNumberFormat="1" applyFont="1" applyFill="1" applyBorder="1" applyAlignment="1" applyProtection="1">
      <alignment horizontal="center"/>
      <protection locked="0"/>
    </xf>
    <xf numFmtId="0" fontId="26" fillId="11" borderId="147" xfId="0" applyFont="1" applyFill="1" applyBorder="1" applyProtection="1"/>
    <xf numFmtId="0" fontId="25" fillId="11" borderId="142" xfId="0" applyFont="1" applyFill="1" applyBorder="1" applyAlignment="1" applyProtection="1">
      <alignment wrapText="1"/>
    </xf>
    <xf numFmtId="173" fontId="25" fillId="0" borderId="142" xfId="10" applyNumberFormat="1" applyFont="1" applyFill="1" applyBorder="1" applyProtection="1"/>
    <xf numFmtId="3" fontId="25" fillId="0" borderId="142" xfId="0" applyNumberFormat="1" applyFont="1" applyFill="1" applyBorder="1" applyProtection="1"/>
    <xf numFmtId="173" fontId="25" fillId="12" borderId="148" xfId="10" applyNumberFormat="1" applyFont="1" applyFill="1" applyBorder="1" applyProtection="1"/>
    <xf numFmtId="173" fontId="25" fillId="0" borderId="148" xfId="10" applyNumberFormat="1" applyFont="1" applyFill="1" applyBorder="1" applyProtection="1"/>
    <xf numFmtId="10" fontId="25" fillId="12" borderId="149" xfId="11" applyNumberFormat="1" applyFont="1" applyFill="1" applyBorder="1" applyProtection="1"/>
    <xf numFmtId="173" fontId="25" fillId="12" borderId="149" xfId="10" applyNumberFormat="1" applyFont="1" applyFill="1" applyBorder="1" applyProtection="1"/>
    <xf numFmtId="0" fontId="1" fillId="0" borderId="0" xfId="0" applyFont="1" applyAlignment="1">
      <alignment horizontal="right"/>
    </xf>
    <xf numFmtId="0" fontId="0" fillId="0" borderId="2" xfId="0" applyFill="1" applyBorder="1"/>
    <xf numFmtId="164" fontId="0" fillId="0" borderId="2" xfId="9" applyNumberFormat="1" applyFont="1" applyFill="1" applyBorder="1" applyProtection="1">
      <protection locked="0"/>
    </xf>
    <xf numFmtId="0" fontId="3" fillId="0" borderId="147" xfId="0" applyFont="1" applyFill="1" applyBorder="1" applyAlignment="1" applyProtection="1">
      <alignment vertical="center"/>
      <protection locked="0"/>
    </xf>
    <xf numFmtId="0" fontId="3" fillId="0" borderId="148" xfId="0" applyFont="1" applyFill="1" applyBorder="1" applyAlignment="1" applyProtection="1">
      <alignment horizontal="center" vertical="center" wrapText="1"/>
    </xf>
    <xf numFmtId="0" fontId="1" fillId="0" borderId="1" xfId="0" applyFont="1" applyBorder="1"/>
    <xf numFmtId="0" fontId="1" fillId="0" borderId="1" xfId="0" applyFont="1" applyBorder="1" applyAlignment="1">
      <alignment horizontal="center" wrapText="1"/>
    </xf>
    <xf numFmtId="0" fontId="0" fillId="0" borderId="1" xfId="0" applyBorder="1"/>
    <xf numFmtId="0" fontId="41" fillId="0" borderId="1" xfId="0" applyFont="1" applyBorder="1"/>
    <xf numFmtId="0" fontId="1" fillId="0" borderId="1" xfId="0" applyFont="1" applyBorder="1" applyAlignment="1">
      <alignment horizontal="center"/>
    </xf>
    <xf numFmtId="166" fontId="0" fillId="0" borderId="1" xfId="5" applyFont="1" applyBorder="1"/>
    <xf numFmtId="0" fontId="2" fillId="3" borderId="1" xfId="1" applyFill="1" applyBorder="1" applyAlignment="1" applyProtection="1">
      <protection locked="0"/>
    </xf>
    <xf numFmtId="0" fontId="3" fillId="68" borderId="146" xfId="158" applyFont="1" applyFill="1" applyBorder="1" applyAlignment="1">
      <alignment horizontal="center"/>
    </xf>
    <xf numFmtId="166" fontId="2" fillId="12" borderId="1" xfId="5" applyFont="1" applyFill="1" applyBorder="1" applyAlignment="1">
      <alignment horizontal="center"/>
    </xf>
    <xf numFmtId="1" fontId="2" fillId="12" borderId="146" xfId="220" applyNumberFormat="1" applyFont="1" applyFill="1" applyBorder="1" applyAlignment="1">
      <alignment horizontal="center"/>
    </xf>
    <xf numFmtId="17" fontId="2" fillId="0" borderId="167" xfId="158" applyNumberFormat="1" applyFont="1" applyBorder="1" applyAlignment="1">
      <alignment horizontal="left"/>
    </xf>
    <xf numFmtId="1" fontId="2" fillId="12" borderId="13" xfId="158" applyNumberFormat="1" applyFont="1" applyFill="1" applyBorder="1" applyAlignment="1">
      <alignment horizontal="center"/>
    </xf>
    <xf numFmtId="0" fontId="24" fillId="66" borderId="167" xfId="223" applyFont="1" applyFill="1" applyBorder="1" applyAlignment="1">
      <alignment horizontal="center" vertical="center" wrapText="1"/>
    </xf>
    <xf numFmtId="1" fontId="2" fillId="12" borderId="146" xfId="158" applyNumberFormat="1" applyFont="1" applyFill="1" applyBorder="1" applyAlignment="1">
      <alignment horizontal="center"/>
    </xf>
    <xf numFmtId="1" fontId="2" fillId="12" borderId="1" xfId="220" applyNumberFormat="1" applyFont="1" applyFill="1" applyBorder="1" applyAlignment="1">
      <alignment horizontal="center"/>
    </xf>
    <xf numFmtId="0" fontId="0" fillId="0" borderId="18" xfId="0" applyBorder="1"/>
    <xf numFmtId="0" fontId="24" fillId="66" borderId="4" xfId="223" applyFont="1" applyFill="1" applyBorder="1" applyAlignment="1">
      <alignment horizontal="center" vertical="center" wrapText="1"/>
    </xf>
    <xf numFmtId="166" fontId="2" fillId="12" borderId="168" xfId="5" applyFont="1" applyFill="1" applyBorder="1" applyAlignment="1">
      <alignment horizontal="center"/>
    </xf>
    <xf numFmtId="166" fontId="2" fillId="12" borderId="143" xfId="5" applyFont="1" applyFill="1" applyBorder="1" applyAlignment="1">
      <alignment horizontal="center"/>
    </xf>
    <xf numFmtId="1" fontId="2" fillId="12" borderId="174" xfId="158" applyNumberFormat="1" applyFont="1" applyFill="1" applyBorder="1" applyAlignment="1">
      <alignment horizontal="center"/>
    </xf>
    <xf numFmtId="166" fontId="2" fillId="12" borderId="4" xfId="5" applyFont="1" applyFill="1" applyBorder="1" applyAlignment="1">
      <alignment horizontal="center"/>
    </xf>
    <xf numFmtId="0" fontId="3" fillId="68" borderId="1" xfId="158" applyFont="1" applyFill="1" applyBorder="1" applyAlignment="1">
      <alignment horizontal="center"/>
    </xf>
    <xf numFmtId="0" fontId="24" fillId="66" borderId="1" xfId="223" applyFont="1" applyFill="1" applyBorder="1" applyAlignment="1">
      <alignment horizontal="center" vertical="center" wrapText="1"/>
    </xf>
    <xf numFmtId="1" fontId="2" fillId="12" borderId="172" xfId="158" applyNumberFormat="1" applyFont="1" applyFill="1" applyBorder="1" applyAlignment="1">
      <alignment horizontal="center"/>
    </xf>
    <xf numFmtId="0" fontId="60" fillId="0" borderId="0" xfId="223"/>
    <xf numFmtId="1" fontId="2" fillId="12" borderId="167" xfId="158" applyNumberFormat="1" applyFont="1" applyFill="1" applyBorder="1" applyAlignment="1">
      <alignment horizontal="center"/>
    </xf>
    <xf numFmtId="1" fontId="2" fillId="0" borderId="0" xfId="222" applyNumberFormat="1" applyFont="1"/>
    <xf numFmtId="1" fontId="2" fillId="12" borderId="1" xfId="158" applyNumberFormat="1" applyFont="1" applyFill="1" applyBorder="1" applyAlignment="1">
      <alignment horizontal="center"/>
    </xf>
    <xf numFmtId="166" fontId="2" fillId="12" borderId="174" xfId="5" applyFont="1" applyFill="1" applyBorder="1" applyAlignment="1">
      <alignment horizontal="center"/>
    </xf>
    <xf numFmtId="17" fontId="2" fillId="0" borderId="172" xfId="158" applyNumberFormat="1" applyFont="1" applyBorder="1" applyAlignment="1">
      <alignment horizontal="left"/>
    </xf>
    <xf numFmtId="0" fontId="24" fillId="66" borderId="143" xfId="223" applyFont="1" applyFill="1" applyBorder="1" applyAlignment="1">
      <alignment horizontal="center" vertical="center" wrapText="1"/>
    </xf>
    <xf numFmtId="166" fontId="2" fillId="12" borderId="173" xfId="5" applyFont="1" applyFill="1" applyBorder="1" applyAlignment="1">
      <alignment horizontal="center"/>
    </xf>
    <xf numFmtId="0" fontId="2" fillId="3" borderId="1" xfId="1" applyFill="1" applyBorder="1" applyProtection="1">
      <protection locked="0"/>
    </xf>
    <xf numFmtId="0" fontId="2" fillId="3" borderId="1" xfId="1" applyFill="1" applyBorder="1" applyProtection="1">
      <protection locked="0"/>
    </xf>
    <xf numFmtId="0" fontId="24" fillId="66" borderId="13" xfId="223" applyFont="1" applyFill="1" applyBorder="1" applyAlignment="1">
      <alignment horizontal="center" vertical="center" wrapText="1"/>
    </xf>
    <xf numFmtId="166" fontId="2" fillId="12" borderId="15" xfId="5" applyFont="1" applyFill="1" applyBorder="1" applyAlignment="1">
      <alignment horizontal="center"/>
    </xf>
    <xf numFmtId="0" fontId="0" fillId="0" borderId="0" xfId="0" applyFont="1"/>
    <xf numFmtId="174" fontId="0" fillId="0" borderId="0" xfId="10" applyNumberFormat="1" applyFont="1"/>
    <xf numFmtId="0" fontId="1" fillId="0" borderId="8" xfId="0" applyFont="1" applyBorder="1" applyAlignment="1">
      <alignment horizontal="center" wrapText="1"/>
    </xf>
    <xf numFmtId="0" fontId="0" fillId="0" borderId="177" xfId="0" applyBorder="1"/>
    <xf numFmtId="0" fontId="1" fillId="0" borderId="177" xfId="0" applyFont="1" applyBorder="1" applyAlignment="1">
      <alignment horizontal="center" wrapText="1"/>
    </xf>
    <xf numFmtId="0" fontId="0" fillId="0" borderId="178" xfId="0" applyBorder="1"/>
    <xf numFmtId="0" fontId="0" fillId="0" borderId="179" xfId="0" applyBorder="1" applyAlignment="1">
      <alignment wrapText="1"/>
    </xf>
    <xf numFmtId="0" fontId="1" fillId="0" borderId="179" xfId="0" applyFont="1" applyBorder="1" applyAlignment="1">
      <alignment wrapText="1"/>
    </xf>
    <xf numFmtId="0" fontId="1" fillId="0" borderId="181" xfId="0" applyFont="1" applyBorder="1" applyAlignment="1">
      <alignment horizontal="center" wrapText="1"/>
    </xf>
    <xf numFmtId="0" fontId="1" fillId="0" borderId="178" xfId="0" applyFont="1" applyBorder="1" applyAlignment="1">
      <alignment horizontal="center" wrapText="1"/>
    </xf>
    <xf numFmtId="0" fontId="1" fillId="0" borderId="183" xfId="0" applyFont="1" applyBorder="1" applyAlignment="1">
      <alignment horizontal="center" wrapText="1"/>
    </xf>
    <xf numFmtId="174" fontId="1" fillId="0" borderId="180" xfId="0" applyNumberFormat="1" applyFont="1" applyBorder="1"/>
    <xf numFmtId="174" fontId="1" fillId="0" borderId="186" xfId="0" applyNumberFormat="1" applyFont="1" applyBorder="1"/>
    <xf numFmtId="174" fontId="1" fillId="0" borderId="187" xfId="0" applyNumberFormat="1" applyFont="1" applyBorder="1"/>
    <xf numFmtId="0" fontId="0" fillId="0" borderId="180" xfId="0" applyBorder="1"/>
    <xf numFmtId="183" fontId="0" fillId="0" borderId="186" xfId="11" applyNumberFormat="1" applyFont="1" applyBorder="1" applyAlignment="1">
      <alignment horizontal="center" vertical="center"/>
    </xf>
    <xf numFmtId="183" fontId="0" fillId="0" borderId="180" xfId="11" applyNumberFormat="1" applyFont="1" applyBorder="1" applyAlignment="1">
      <alignment horizontal="center" vertical="center"/>
    </xf>
    <xf numFmtId="183" fontId="0" fillId="0" borderId="187" xfId="11" applyNumberFormat="1" applyFont="1" applyBorder="1" applyAlignment="1">
      <alignment horizontal="center" vertical="center"/>
    </xf>
    <xf numFmtId="174" fontId="0" fillId="0" borderId="180" xfId="10" applyNumberFormat="1" applyFont="1" applyBorder="1"/>
    <xf numFmtId="174" fontId="0" fillId="0" borderId="186" xfId="10" applyNumberFormat="1" applyFont="1" applyBorder="1"/>
    <xf numFmtId="174" fontId="0" fillId="0" borderId="187" xfId="10" applyNumberFormat="1" applyFont="1" applyBorder="1"/>
    <xf numFmtId="174" fontId="0" fillId="69" borderId="185" xfId="10" applyNumberFormat="1" applyFont="1" applyFill="1" applyBorder="1"/>
    <xf numFmtId="174" fontId="0" fillId="69" borderId="0" xfId="10" applyNumberFormat="1" applyFont="1" applyFill="1" applyBorder="1"/>
    <xf numFmtId="174" fontId="0" fillId="69" borderId="179" xfId="10" applyNumberFormat="1" applyFont="1" applyFill="1" applyBorder="1"/>
    <xf numFmtId="174" fontId="1" fillId="69" borderId="185" xfId="10" applyNumberFormat="1" applyFont="1" applyFill="1" applyBorder="1"/>
    <xf numFmtId="174" fontId="1" fillId="69" borderId="0" xfId="10" applyNumberFormat="1" applyFont="1" applyFill="1" applyBorder="1"/>
    <xf numFmtId="174" fontId="1" fillId="69" borderId="179" xfId="10" applyNumberFormat="1" applyFont="1" applyFill="1" applyBorder="1"/>
    <xf numFmtId="0" fontId="0" fillId="69" borderId="185" xfId="0" applyFill="1" applyBorder="1"/>
    <xf numFmtId="0" fontId="0" fillId="69" borderId="0" xfId="0" applyFill="1" applyBorder="1"/>
    <xf numFmtId="183" fontId="0" fillId="69" borderId="185" xfId="11" applyNumberFormat="1" applyFont="1" applyFill="1" applyBorder="1" applyAlignment="1">
      <alignment horizontal="center" vertical="center"/>
    </xf>
    <xf numFmtId="183" fontId="0" fillId="69" borderId="179" xfId="11" applyNumberFormat="1" applyFont="1" applyFill="1" applyBorder="1" applyAlignment="1">
      <alignment horizontal="center" vertical="center"/>
    </xf>
    <xf numFmtId="0" fontId="0" fillId="69" borderId="184" xfId="0" applyFill="1" applyBorder="1"/>
    <xf numFmtId="183" fontId="0" fillId="69" borderId="177" xfId="11" applyNumberFormat="1" applyFont="1" applyFill="1" applyBorder="1" applyAlignment="1">
      <alignment horizontal="center" vertical="center"/>
    </xf>
    <xf numFmtId="183" fontId="0" fillId="69" borderId="184" xfId="11" applyNumberFormat="1" applyFont="1" applyFill="1" applyBorder="1" applyAlignment="1">
      <alignment horizontal="center" vertical="center"/>
    </xf>
    <xf numFmtId="183" fontId="0" fillId="69" borderId="182" xfId="11" applyNumberFormat="1" applyFont="1" applyFill="1" applyBorder="1" applyAlignment="1">
      <alignment horizontal="center" vertical="center"/>
    </xf>
    <xf numFmtId="0" fontId="0" fillId="0" borderId="179" xfId="0" applyFont="1" applyBorder="1" applyAlignment="1">
      <alignment wrapText="1"/>
    </xf>
    <xf numFmtId="174" fontId="4" fillId="69" borderId="185" xfId="10" applyNumberFormat="1" applyFont="1" applyFill="1" applyBorder="1"/>
    <xf numFmtId="174" fontId="4" fillId="69" borderId="0" xfId="10" applyNumberFormat="1" applyFont="1" applyFill="1" applyBorder="1"/>
    <xf numFmtId="174" fontId="4" fillId="69" borderId="179" xfId="10" applyNumberFormat="1" applyFont="1" applyFill="1" applyBorder="1"/>
    <xf numFmtId="174" fontId="0" fillId="0" borderId="180" xfId="0" applyNumberFormat="1" applyBorder="1"/>
    <xf numFmtId="174" fontId="1" fillId="0" borderId="180" xfId="10" applyNumberFormat="1" applyFont="1" applyBorder="1"/>
    <xf numFmtId="0" fontId="0" fillId="0" borderId="0" xfId="0" applyFill="1" applyBorder="1" applyAlignment="1">
      <alignment wrapText="1"/>
    </xf>
    <xf numFmtId="174" fontId="4" fillId="0" borderId="180" xfId="10" applyNumberFormat="1" applyFont="1" applyBorder="1"/>
    <xf numFmtId="174" fontId="4" fillId="0" borderId="186" xfId="10" applyNumberFormat="1" applyFont="1" applyBorder="1"/>
    <xf numFmtId="174" fontId="4" fillId="0" borderId="187" xfId="10" applyNumberFormat="1" applyFont="1" applyBorder="1"/>
    <xf numFmtId="174" fontId="0" fillId="0" borderId="180" xfId="0" applyNumberFormat="1" applyFont="1" applyBorder="1"/>
    <xf numFmtId="0" fontId="1" fillId="0" borderId="0" xfId="0" applyFont="1" applyFill="1" applyBorder="1" applyAlignment="1">
      <alignment wrapText="1"/>
    </xf>
    <xf numFmtId="174" fontId="4" fillId="0" borderId="186" xfId="10" applyNumberFormat="1" applyFont="1" applyBorder="1" applyAlignment="1">
      <alignment horizontal="center" vertical="center"/>
    </xf>
    <xf numFmtId="174" fontId="4" fillId="0" borderId="180" xfId="10" applyNumberFormat="1" applyFont="1" applyBorder="1" applyAlignment="1">
      <alignment horizontal="center" vertical="center"/>
    </xf>
    <xf numFmtId="174" fontId="4" fillId="0" borderId="187" xfId="10" applyNumberFormat="1" applyFont="1" applyBorder="1" applyAlignment="1">
      <alignment horizontal="center" vertical="center"/>
    </xf>
    <xf numFmtId="174" fontId="4" fillId="69" borderId="185" xfId="10" applyNumberFormat="1" applyFont="1" applyFill="1" applyBorder="1" applyAlignment="1">
      <alignment horizontal="center" vertical="center"/>
    </xf>
    <xf numFmtId="174" fontId="4" fillId="69" borderId="179" xfId="10" applyNumberFormat="1" applyFont="1" applyFill="1" applyBorder="1" applyAlignment="1">
      <alignment horizontal="center" vertical="center"/>
    </xf>
    <xf numFmtId="183" fontId="0" fillId="69" borderId="185" xfId="0" applyNumberFormat="1" applyFont="1" applyFill="1" applyBorder="1" applyAlignment="1">
      <alignment horizontal="center"/>
    </xf>
    <xf numFmtId="174" fontId="0" fillId="0" borderId="180" xfId="0" applyNumberFormat="1" applyFont="1" applyFill="1" applyBorder="1"/>
    <xf numFmtId="174" fontId="0" fillId="69" borderId="185" xfId="0" applyNumberFormat="1" applyFill="1" applyBorder="1"/>
    <xf numFmtId="0" fontId="0" fillId="0" borderId="0" xfId="0" applyAlignment="1"/>
    <xf numFmtId="0" fontId="1" fillId="0" borderId="8" xfId="0" applyFont="1" applyBorder="1"/>
    <xf numFmtId="0" fontId="1" fillId="0" borderId="8" xfId="0" applyFont="1" applyBorder="1" applyAlignment="1">
      <alignment horizontal="center"/>
    </xf>
    <xf numFmtId="174" fontId="0" fillId="0" borderId="0" xfId="10" applyNumberFormat="1" applyFont="1" applyFill="1"/>
    <xf numFmtId="184" fontId="0" fillId="0" borderId="0" xfId="10" applyNumberFormat="1" applyFont="1"/>
    <xf numFmtId="184" fontId="0" fillId="0" borderId="0" xfId="10" applyNumberFormat="1" applyFont="1" applyFill="1"/>
    <xf numFmtId="0" fontId="1" fillId="0" borderId="42" xfId="0" applyFont="1" applyBorder="1" applyAlignment="1">
      <alignment horizontal="center"/>
    </xf>
    <xf numFmtId="0" fontId="37" fillId="70" borderId="1" xfId="0" applyFont="1" applyFill="1" applyBorder="1"/>
    <xf numFmtId="0" fontId="37" fillId="70" borderId="1" xfId="0" applyFont="1" applyFill="1" applyBorder="1" applyAlignment="1">
      <alignment horizontal="center"/>
    </xf>
    <xf numFmtId="44" fontId="0" fillId="75" borderId="1" xfId="10" applyFont="1" applyFill="1" applyBorder="1"/>
    <xf numFmtId="0" fontId="1" fillId="76" borderId="1" xfId="0" applyFont="1" applyFill="1" applyBorder="1"/>
    <xf numFmtId="44" fontId="0" fillId="76" borderId="1" xfId="10" applyFont="1" applyFill="1" applyBorder="1"/>
    <xf numFmtId="0" fontId="1" fillId="66" borderId="1" xfId="0" applyFont="1" applyFill="1" applyBorder="1"/>
    <xf numFmtId="44" fontId="0" fillId="66" borderId="1" xfId="10" applyFont="1" applyFill="1" applyBorder="1"/>
    <xf numFmtId="185" fontId="0" fillId="0" borderId="0" xfId="5" applyNumberFormat="1" applyFont="1" applyAlignment="1">
      <alignment horizontal="center" vertical="center"/>
    </xf>
    <xf numFmtId="0" fontId="0" fillId="0" borderId="0" xfId="0" applyAlignment="1">
      <alignment horizontal="center" vertical="center"/>
    </xf>
    <xf numFmtId="185" fontId="0" fillId="0" borderId="1" xfId="0" applyNumberFormat="1" applyBorder="1"/>
    <xf numFmtId="185" fontId="0" fillId="0" borderId="1" xfId="5" applyNumberFormat="1" applyFont="1" applyBorder="1" applyAlignment="1">
      <alignment horizontal="center" vertical="center"/>
    </xf>
    <xf numFmtId="186"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11" applyFont="1" applyBorder="1" applyAlignment="1">
      <alignment horizontal="center" vertical="center"/>
    </xf>
    <xf numFmtId="17" fontId="0" fillId="0" borderId="1" xfId="0" applyNumberFormat="1" applyBorder="1"/>
    <xf numFmtId="0" fontId="1" fillId="0" borderId="0" xfId="0" applyFont="1" applyAlignment="1">
      <alignment horizontal="center" vertical="center"/>
    </xf>
    <xf numFmtId="0" fontId="1" fillId="0" borderId="1" xfId="0" applyFont="1" applyBorder="1" applyAlignment="1">
      <alignment horizontal="center" vertical="center" wrapText="1"/>
    </xf>
    <xf numFmtId="185" fontId="1" fillId="0" borderId="1" xfId="5" applyNumberFormat="1" applyFont="1" applyBorder="1" applyAlignment="1">
      <alignment horizontal="center" vertical="center" wrapText="1"/>
    </xf>
    <xf numFmtId="185" fontId="1" fillId="0" borderId="1" xfId="5" applyNumberFormat="1" applyFont="1" applyBorder="1" applyAlignment="1">
      <alignment horizontal="center" vertical="center"/>
    </xf>
    <xf numFmtId="0" fontId="1" fillId="0" borderId="1" xfId="0" applyFont="1" applyBorder="1" applyAlignment="1">
      <alignment horizontal="center" vertical="center"/>
    </xf>
    <xf numFmtId="43" fontId="0" fillId="0" borderId="16" xfId="0" applyNumberFormat="1" applyBorder="1"/>
    <xf numFmtId="43" fontId="0" fillId="0" borderId="8" xfId="4" applyFont="1" applyBorder="1"/>
    <xf numFmtId="0" fontId="0" fillId="0" borderId="0" xfId="0" applyNumberFormat="1" applyFill="1" applyBorder="1" applyAlignment="1">
      <alignment horizontal="center"/>
    </xf>
    <xf numFmtId="43" fontId="0" fillId="0" borderId="0" xfId="4" applyFont="1" applyBorder="1"/>
    <xf numFmtId="43" fontId="0" fillId="0" borderId="0" xfId="4" applyFont="1"/>
    <xf numFmtId="0" fontId="0" fillId="0" borderId="0" xfId="0" applyNumberFormat="1" applyAlignment="1">
      <alignment horizontal="center"/>
    </xf>
    <xf numFmtId="43" fontId="0" fillId="0" borderId="8" xfId="0" applyNumberFormat="1" applyBorder="1"/>
    <xf numFmtId="43" fontId="1" fillId="0" borderId="16" xfId="0" applyNumberFormat="1" applyFont="1" applyBorder="1"/>
    <xf numFmtId="0" fontId="1" fillId="0" borderId="0" xfId="0" applyFont="1"/>
    <xf numFmtId="187" fontId="0" fillId="0" borderId="0" xfId="10" applyNumberFormat="1" applyFont="1"/>
    <xf numFmtId="187" fontId="0" fillId="0" borderId="8" xfId="10" applyNumberFormat="1" applyFont="1" applyBorder="1"/>
    <xf numFmtId="44" fontId="1" fillId="0" borderId="16" xfId="10" applyFont="1" applyBorder="1"/>
    <xf numFmtId="0" fontId="1" fillId="0" borderId="42" xfId="0" applyFont="1" applyBorder="1" applyAlignment="1">
      <alignment horizontal="center" wrapText="1"/>
    </xf>
    <xf numFmtId="0" fontId="0" fillId="0" borderId="0" xfId="0" applyAlignment="1">
      <alignment horizontal="center"/>
    </xf>
    <xf numFmtId="0" fontId="0" fillId="0" borderId="147" xfId="0" applyBorder="1" applyProtection="1"/>
    <xf numFmtId="0" fontId="0" fillId="0" borderId="1" xfId="0" applyBorder="1" applyProtection="1"/>
    <xf numFmtId="185" fontId="2" fillId="3" borderId="1" xfId="165" applyNumberFormat="1" applyFill="1" applyBorder="1" applyProtection="1">
      <protection locked="0"/>
    </xf>
    <xf numFmtId="185" fontId="2" fillId="0" borderId="1" xfId="165" applyNumberFormat="1" applyBorder="1" applyProtection="1"/>
    <xf numFmtId="173" fontId="2" fillId="3" borderId="1" xfId="2" applyNumberFormat="1" applyFill="1" applyBorder="1" applyProtection="1">
      <protection locked="0"/>
    </xf>
    <xf numFmtId="173" fontId="2" fillId="0" borderId="1" xfId="2" applyNumberFormat="1" applyBorder="1" applyProtection="1"/>
    <xf numFmtId="0" fontId="1" fillId="0" borderId="42" xfId="0" applyFont="1" applyBorder="1"/>
    <xf numFmtId="165" fontId="0" fillId="0" borderId="0" xfId="4" applyNumberFormat="1" applyFont="1"/>
    <xf numFmtId="174" fontId="0" fillId="0" borderId="8" xfId="10" applyNumberFormat="1" applyFont="1" applyBorder="1"/>
    <xf numFmtId="174" fontId="1" fillId="0" borderId="16" xfId="0" applyNumberFormat="1" applyFont="1" applyBorder="1"/>
    <xf numFmtId="10" fontId="0" fillId="0" borderId="0" xfId="11" applyNumberFormat="1" applyFont="1"/>
    <xf numFmtId="0" fontId="1" fillId="0" borderId="16" xfId="0" applyFont="1" applyBorder="1" applyAlignment="1">
      <alignment horizontal="center" wrapText="1"/>
    </xf>
    <xf numFmtId="10" fontId="0" fillId="0" borderId="0" xfId="0" applyNumberFormat="1"/>
    <xf numFmtId="0" fontId="41" fillId="77" borderId="143" xfId="0" applyFont="1" applyFill="1" applyBorder="1"/>
    <xf numFmtId="43" fontId="0" fillId="77" borderId="1" xfId="5" applyNumberFormat="1" applyFont="1" applyFill="1" applyBorder="1" applyAlignment="1">
      <alignment horizontal="center"/>
    </xf>
    <xf numFmtId="0" fontId="41" fillId="77" borderId="173" xfId="0" applyFont="1" applyFill="1" applyBorder="1"/>
    <xf numFmtId="43" fontId="0" fillId="77" borderId="2" xfId="5" applyNumberFormat="1" applyFont="1" applyFill="1" applyBorder="1" applyAlignment="1">
      <alignment horizontal="center"/>
    </xf>
    <xf numFmtId="0" fontId="1" fillId="0" borderId="175" xfId="0" applyFont="1" applyBorder="1" applyAlignment="1">
      <alignment horizontal="center" wrapText="1"/>
    </xf>
    <xf numFmtId="0" fontId="1" fillId="0" borderId="169" xfId="0" applyFont="1" applyBorder="1" applyAlignment="1">
      <alignment horizontal="center"/>
    </xf>
    <xf numFmtId="0" fontId="1" fillId="0" borderId="0" xfId="0" applyFont="1" applyAlignment="1">
      <alignment horizontal="center"/>
    </xf>
    <xf numFmtId="0" fontId="1" fillId="0" borderId="9" xfId="0" applyFont="1" applyBorder="1" applyAlignment="1">
      <alignment horizontal="center"/>
    </xf>
    <xf numFmtId="0" fontId="1" fillId="0" borderId="42" xfId="0" applyFont="1" applyBorder="1" applyAlignment="1">
      <alignment horizontal="center"/>
    </xf>
    <xf numFmtId="0" fontId="1" fillId="0" borderId="10" xfId="0" applyFont="1" applyBorder="1" applyAlignment="1">
      <alignment horizontal="center"/>
    </xf>
    <xf numFmtId="0" fontId="10" fillId="66" borderId="1" xfId="223" applyFont="1" applyFill="1" applyBorder="1" applyAlignment="1">
      <alignment horizontal="center" vertical="center" wrapText="1"/>
    </xf>
    <xf numFmtId="0" fontId="10" fillId="66" borderId="147" xfId="223" applyFont="1" applyFill="1" applyBorder="1" applyAlignment="1">
      <alignment horizontal="center" vertical="center" wrapText="1"/>
    </xf>
    <xf numFmtId="0" fontId="10" fillId="66" borderId="142" xfId="223" applyFont="1" applyFill="1" applyBorder="1" applyAlignment="1">
      <alignment horizontal="center" vertical="center" wrapText="1"/>
    </xf>
    <xf numFmtId="0" fontId="24" fillId="66" borderId="8" xfId="223" applyFont="1" applyFill="1" applyBorder="1" applyAlignment="1">
      <alignment horizontal="center" vertical="center" wrapText="1"/>
    </xf>
    <xf numFmtId="0" fontId="24" fillId="66" borderId="171" xfId="223" applyFont="1" applyFill="1" applyBorder="1" applyAlignment="1">
      <alignment horizontal="center" vertical="center" wrapText="1"/>
    </xf>
    <xf numFmtId="0" fontId="24" fillId="66" borderId="170" xfId="223" applyFont="1" applyFill="1" applyBorder="1" applyAlignment="1">
      <alignment horizontal="center" vertical="center" wrapText="1"/>
    </xf>
    <xf numFmtId="0" fontId="24" fillId="66" borderId="169" xfId="223" applyFont="1" applyFill="1" applyBorder="1" applyAlignment="1">
      <alignment horizontal="center" vertical="center" wrapText="1"/>
    </xf>
    <xf numFmtId="0" fontId="24" fillId="66" borderId="175" xfId="223" applyFont="1" applyFill="1" applyBorder="1" applyAlignment="1">
      <alignment horizontal="center" vertical="center" wrapText="1"/>
    </xf>
    <xf numFmtId="0" fontId="24" fillId="66" borderId="176" xfId="223" applyFont="1" applyFill="1" applyBorder="1" applyAlignment="1">
      <alignment horizontal="center" vertical="center" wrapText="1"/>
    </xf>
    <xf numFmtId="49" fontId="24" fillId="66" borderId="169" xfId="223" applyNumberFormat="1" applyFont="1" applyFill="1" applyBorder="1" applyAlignment="1">
      <alignment horizontal="center" vertical="center" wrapText="1"/>
    </xf>
    <xf numFmtId="49" fontId="24" fillId="66" borderId="175" xfId="223" applyNumberFormat="1" applyFont="1" applyFill="1" applyBorder="1" applyAlignment="1">
      <alignment horizontal="center" vertical="center" wrapText="1"/>
    </xf>
    <xf numFmtId="0" fontId="1" fillId="0" borderId="9" xfId="0" applyFont="1" applyBorder="1" applyAlignment="1">
      <alignment horizontal="center" wrapText="1"/>
    </xf>
    <xf numFmtId="0" fontId="1" fillId="0" borderId="42" xfId="0" applyFont="1" applyBorder="1" applyAlignment="1">
      <alignment horizontal="center" wrapText="1"/>
    </xf>
    <xf numFmtId="0" fontId="1" fillId="0" borderId="10" xfId="0" applyFont="1" applyBorder="1" applyAlignment="1">
      <alignment horizontal="center" wrapText="1"/>
    </xf>
    <xf numFmtId="44" fontId="1" fillId="0" borderId="9" xfId="0" applyNumberFormat="1" applyFont="1" applyBorder="1" applyAlignment="1">
      <alignment horizontal="center"/>
    </xf>
    <xf numFmtId="0" fontId="0" fillId="0" borderId="0" xfId="0" applyAlignment="1">
      <alignment horizontal="center"/>
    </xf>
    <xf numFmtId="0" fontId="0" fillId="0" borderId="0" xfId="0" applyNumberFormat="1" applyAlignment="1">
      <alignment horizontal="center" vertical="center"/>
    </xf>
    <xf numFmtId="0" fontId="1" fillId="0" borderId="0" xfId="0" applyFont="1" applyBorder="1" applyAlignment="1">
      <alignment horizontal="center"/>
    </xf>
    <xf numFmtId="0" fontId="1" fillId="0" borderId="9" xfId="6" applyFont="1" applyBorder="1" applyAlignment="1">
      <alignment horizontal="center"/>
    </xf>
    <xf numFmtId="0" fontId="1" fillId="0" borderId="10" xfId="6" applyFont="1" applyBorder="1" applyAlignment="1">
      <alignment horizontal="center"/>
    </xf>
    <xf numFmtId="0" fontId="1" fillId="0" borderId="9" xfId="6" applyFont="1" applyBorder="1" applyAlignment="1">
      <alignment horizontal="center" vertical="center"/>
    </xf>
    <xf numFmtId="0" fontId="1" fillId="0" borderId="10" xfId="6" applyFont="1" applyBorder="1" applyAlignment="1">
      <alignment horizontal="center" vertical="center"/>
    </xf>
    <xf numFmtId="0" fontId="1" fillId="0" borderId="9" xfId="6" applyFont="1" applyFill="1" applyBorder="1" applyAlignment="1">
      <alignment horizontal="center"/>
    </xf>
    <xf numFmtId="0" fontId="1" fillId="0" borderId="10" xfId="6" applyFont="1" applyFill="1" applyBorder="1" applyAlignment="1">
      <alignment horizontal="center"/>
    </xf>
    <xf numFmtId="0" fontId="10" fillId="0" borderId="50" xfId="7" applyFont="1" applyFill="1" applyBorder="1" applyAlignment="1" applyProtection="1">
      <alignment horizontal="center" vertical="center" wrapText="1"/>
    </xf>
    <xf numFmtId="49" fontId="8" fillId="0" borderId="0" xfId="7" applyNumberFormat="1" applyFont="1" applyBorder="1" applyAlignment="1" applyProtection="1">
      <alignment horizontal="center" vertical="center"/>
    </xf>
    <xf numFmtId="0" fontId="11" fillId="4" borderId="14" xfId="7" applyFont="1" applyFill="1" applyBorder="1" applyAlignment="1" applyProtection="1">
      <alignment horizontal="left" vertical="center"/>
    </xf>
    <xf numFmtId="169" fontId="11" fillId="4" borderId="15" xfId="7" applyNumberFormat="1" applyFont="1" applyFill="1" applyBorder="1" applyAlignment="1" applyProtection="1">
      <alignment horizontal="left" vertical="center" wrapText="1"/>
    </xf>
    <xf numFmtId="0" fontId="2" fillId="0" borderId="9" xfId="7" applyFill="1" applyBorder="1" applyAlignment="1" applyProtection="1">
      <alignment horizontal="center" vertical="center"/>
    </xf>
    <xf numFmtId="0" fontId="2" fillId="0" borderId="40" xfId="7" applyBorder="1" applyAlignment="1" applyProtection="1">
      <alignment horizontal="center" vertical="center"/>
    </xf>
    <xf numFmtId="0" fontId="2" fillId="0" borderId="41" xfId="7" applyFill="1" applyBorder="1" applyAlignment="1" applyProtection="1">
      <alignment horizontal="center" vertical="center"/>
    </xf>
    <xf numFmtId="0" fontId="2" fillId="0" borderId="10" xfId="7" applyBorder="1" applyAlignment="1" applyProtection="1">
      <alignment horizontal="center" vertical="center"/>
    </xf>
    <xf numFmtId="0" fontId="2" fillId="0" borderId="42" xfId="7" applyBorder="1" applyAlignment="1" applyProtection="1">
      <alignment horizontal="center" vertical="center"/>
    </xf>
    <xf numFmtId="49" fontId="20" fillId="0" borderId="49" xfId="7" applyNumberFormat="1" applyFont="1" applyFill="1" applyBorder="1" applyAlignment="1" applyProtection="1">
      <alignment horizontal="center" vertical="center"/>
    </xf>
    <xf numFmtId="49" fontId="20" fillId="0" borderId="0" xfId="7" applyNumberFormat="1" applyFont="1" applyFill="1" applyBorder="1" applyAlignment="1" applyProtection="1">
      <alignment horizontal="center" vertical="center"/>
    </xf>
    <xf numFmtId="49" fontId="20" fillId="0" borderId="48" xfId="7" applyNumberFormat="1" applyFont="1" applyFill="1" applyBorder="1" applyAlignment="1" applyProtection="1">
      <alignment horizontal="center" vertical="center"/>
    </xf>
    <xf numFmtId="49" fontId="7" fillId="0" borderId="49" xfId="7" applyNumberFormat="1" applyFont="1" applyFill="1" applyBorder="1" applyAlignment="1" applyProtection="1">
      <alignment horizontal="center" vertical="center"/>
    </xf>
    <xf numFmtId="49" fontId="7" fillId="0" borderId="0" xfId="7" applyNumberFormat="1" applyFont="1" applyFill="1" applyBorder="1" applyAlignment="1" applyProtection="1">
      <alignment horizontal="center" vertical="center"/>
    </xf>
    <xf numFmtId="49" fontId="7" fillId="0" borderId="48" xfId="7" applyNumberFormat="1" applyFont="1" applyFill="1" applyBorder="1" applyAlignment="1" applyProtection="1">
      <alignment horizontal="center" vertical="center"/>
    </xf>
    <xf numFmtId="0" fontId="1" fillId="0" borderId="188" xfId="0" applyFont="1" applyBorder="1" applyAlignment="1">
      <alignment horizontal="center"/>
    </xf>
    <xf numFmtId="0" fontId="1" fillId="0" borderId="13" xfId="0" applyFont="1" applyBorder="1" applyAlignment="1">
      <alignment horizontal="center"/>
    </xf>
    <xf numFmtId="0" fontId="1" fillId="0" borderId="4" xfId="0" applyFont="1" applyBorder="1" applyAlignment="1">
      <alignment horizontal="center"/>
    </xf>
    <xf numFmtId="0" fontId="37" fillId="75" borderId="1" xfId="0" applyFont="1" applyFill="1" applyBorder="1" applyAlignment="1">
      <alignment horizontal="center"/>
    </xf>
    <xf numFmtId="0" fontId="37" fillId="72" borderId="1" xfId="0" applyFont="1" applyFill="1" applyBorder="1" applyAlignment="1">
      <alignment horizontal="left" vertical="center"/>
    </xf>
    <xf numFmtId="0" fontId="37" fillId="73" borderId="1" xfId="0" applyFont="1" applyFill="1" applyBorder="1" applyAlignment="1">
      <alignment horizontal="left" vertical="center"/>
    </xf>
    <xf numFmtId="0" fontId="1" fillId="71" borderId="1" xfId="0" applyFont="1" applyFill="1" applyBorder="1" applyAlignment="1">
      <alignment horizontal="left" vertical="center"/>
    </xf>
    <xf numFmtId="0" fontId="37" fillId="74" borderId="1" xfId="0" applyFont="1" applyFill="1" applyBorder="1" applyAlignment="1">
      <alignment horizontal="left" vertical="center"/>
    </xf>
    <xf numFmtId="0" fontId="3" fillId="5" borderId="189" xfId="0" applyFont="1" applyFill="1" applyBorder="1" applyAlignment="1" applyProtection="1">
      <alignment horizontal="left"/>
    </xf>
    <xf numFmtId="0" fontId="3" fillId="5" borderId="8" xfId="0" applyFont="1" applyFill="1" applyBorder="1" applyAlignment="1" applyProtection="1">
      <alignment horizontal="left"/>
    </xf>
    <xf numFmtId="0" fontId="3" fillId="5" borderId="144" xfId="0" applyFont="1" applyFill="1" applyBorder="1" applyAlignment="1" applyProtection="1">
      <alignment horizontal="left"/>
    </xf>
    <xf numFmtId="0" fontId="3" fillId="5" borderId="188" xfId="0" applyFont="1" applyFill="1" applyBorder="1" applyAlignment="1" applyProtection="1">
      <alignment horizontal="left"/>
    </xf>
    <xf numFmtId="0" fontId="3" fillId="5" borderId="13" xfId="0" applyFont="1" applyFill="1" applyBorder="1" applyAlignment="1" applyProtection="1">
      <alignment horizontal="left"/>
    </xf>
    <xf numFmtId="0" fontId="3" fillId="5" borderId="4" xfId="0" applyFont="1" applyFill="1" applyBorder="1" applyAlignment="1" applyProtection="1">
      <alignment horizontal="left"/>
    </xf>
  </cellXfs>
  <cellStyles count="231">
    <cellStyle name="$" xfId="106"/>
    <cellStyle name="$.00" xfId="107"/>
    <cellStyle name="$_9. Rev2Cost_GDPIPI" xfId="108"/>
    <cellStyle name="$_lists" xfId="109"/>
    <cellStyle name="$_lists_4. Current Monthly Fixed Charge" xfId="110"/>
    <cellStyle name="$_Sheet4" xfId="111"/>
    <cellStyle name="$M" xfId="112"/>
    <cellStyle name="$M.00" xfId="113"/>
    <cellStyle name="$M_9. Rev2Cost_GDPIPI" xfId="114"/>
    <cellStyle name="20% - Accent1 2" xfId="75"/>
    <cellStyle name="20% - Accent1 2 2" xfId="174"/>
    <cellStyle name="20% - Accent1 3" xfId="12"/>
    <cellStyle name="20% - Accent2 2" xfId="79"/>
    <cellStyle name="20% - Accent2 2 2" xfId="176"/>
    <cellStyle name="20% - Accent2 3" xfId="13"/>
    <cellStyle name="20% - Accent3 2" xfId="83"/>
    <cellStyle name="20% - Accent3 2 2" xfId="178"/>
    <cellStyle name="20% - Accent3 3" xfId="14"/>
    <cellStyle name="20% - Accent4 2" xfId="87"/>
    <cellStyle name="20% - Accent4 2 2" xfId="180"/>
    <cellStyle name="20% - Accent4 3" xfId="15"/>
    <cellStyle name="20% - Accent5 2" xfId="91"/>
    <cellStyle name="20% - Accent5 2 2" xfId="182"/>
    <cellStyle name="20% - Accent5 3" xfId="16"/>
    <cellStyle name="20% - Accent6 2" xfId="95"/>
    <cellStyle name="20% - Accent6 2 2" xfId="184"/>
    <cellStyle name="20% - Accent6 3" xfId="17"/>
    <cellStyle name="40% - Accent1 2" xfId="76"/>
    <cellStyle name="40% - Accent1 2 2" xfId="175"/>
    <cellStyle name="40% - Accent1 3" xfId="18"/>
    <cellStyle name="40% - Accent2 2" xfId="80"/>
    <cellStyle name="40% - Accent2 2 2" xfId="177"/>
    <cellStyle name="40% - Accent2 3" xfId="19"/>
    <cellStyle name="40% - Accent3 2" xfId="84"/>
    <cellStyle name="40% - Accent3 2 2" xfId="179"/>
    <cellStyle name="40% - Accent3 3" xfId="20"/>
    <cellStyle name="40% - Accent4 2" xfId="88"/>
    <cellStyle name="40% - Accent4 2 2" xfId="181"/>
    <cellStyle name="40% - Accent4 3" xfId="21"/>
    <cellStyle name="40% - Accent5 2" xfId="92"/>
    <cellStyle name="40% - Accent5 2 2" xfId="183"/>
    <cellStyle name="40% - Accent5 3" xfId="22"/>
    <cellStyle name="40% - Accent6 2" xfId="96"/>
    <cellStyle name="40% - Accent6 2 2" xfId="185"/>
    <cellStyle name="40% - Accent6 3" xfId="23"/>
    <cellStyle name="60% - Accent1 2" xfId="77"/>
    <cellStyle name="60% - Accent1 3" xfId="24"/>
    <cellStyle name="60% - Accent2 2" xfId="81"/>
    <cellStyle name="60% - Accent2 3" xfId="25"/>
    <cellStyle name="60% - Accent3 2" xfId="85"/>
    <cellStyle name="60% - Accent3 3" xfId="26"/>
    <cellStyle name="60% - Accent4 2" xfId="89"/>
    <cellStyle name="60% - Accent4 3" xfId="27"/>
    <cellStyle name="60% - Accent5 2" xfId="93"/>
    <cellStyle name="60% - Accent5 3" xfId="28"/>
    <cellStyle name="60% - Accent6 2" xfId="97"/>
    <cellStyle name="60% - Accent6 3" xfId="29"/>
    <cellStyle name="Accent1 2" xfId="74"/>
    <cellStyle name="Accent1 3" xfId="30"/>
    <cellStyle name="Accent2 2" xfId="78"/>
    <cellStyle name="Accent2 3" xfId="31"/>
    <cellStyle name="Accent3 2" xfId="82"/>
    <cellStyle name="Accent3 3" xfId="32"/>
    <cellStyle name="Accent4 2" xfId="86"/>
    <cellStyle name="Accent4 3" xfId="33"/>
    <cellStyle name="Accent5 2" xfId="90"/>
    <cellStyle name="Accent5 3" xfId="34"/>
    <cellStyle name="Accent6 2" xfId="94"/>
    <cellStyle name="Accent6 3" xfId="35"/>
    <cellStyle name="Bad 2" xfId="63"/>
    <cellStyle name="Bad 3" xfId="36"/>
    <cellStyle name="Calculation 2" xfId="67"/>
    <cellStyle name="Calculation 3" xfId="37"/>
    <cellStyle name="Check Cell 2" xfId="69"/>
    <cellStyle name="Check Cell 3" xfId="38"/>
    <cellStyle name="Comma" xfId="4" builtinId="3"/>
    <cellStyle name="Comma 2" xfId="5"/>
    <cellStyle name="Comma 2 10" xfId="154"/>
    <cellStyle name="Comma 2 10 2" xfId="220"/>
    <cellStyle name="Comma 2 2" xfId="187"/>
    <cellStyle name="Comma 2 6 2" xfId="165"/>
    <cellStyle name="Comma 3" xfId="101"/>
    <cellStyle name="Comma 3 2" xfId="130"/>
    <cellStyle name="Comma 3 2 2" xfId="134"/>
    <cellStyle name="Comma 3 2 2 2" xfId="200"/>
    <cellStyle name="Comma 3 2 3" xfId="197"/>
    <cellStyle name="Comma 3 3" xfId="190"/>
    <cellStyle name="Comma 4" xfId="105"/>
    <cellStyle name="Comma 4 2" xfId="195"/>
    <cellStyle name="Comma 4 2 2" xfId="3"/>
    <cellStyle name="Comma 5" xfId="138"/>
    <cellStyle name="Comma 5 2" xfId="153"/>
    <cellStyle name="Comma 5 3" xfId="204"/>
    <cellStyle name="Comma 6" xfId="141"/>
    <cellStyle name="Comma 7" xfId="145"/>
    <cellStyle name="Comma 7 2" xfId="163"/>
    <cellStyle name="Comma 7 3" xfId="208"/>
    <cellStyle name="Comma 8" xfId="150"/>
    <cellStyle name="Comma 8 2" xfId="161"/>
    <cellStyle name="Comma 8 3" xfId="212"/>
    <cellStyle name="Comma 9" xfId="39"/>
    <cellStyle name="Comma0" xfId="115"/>
    <cellStyle name="Currency" xfId="10" builtinId="4"/>
    <cellStyle name="Currency 2" xfId="9"/>
    <cellStyle name="Currency 2 10" xfId="2"/>
    <cellStyle name="Currency 2 2" xfId="140"/>
    <cellStyle name="Currency 2 3" xfId="194"/>
    <cellStyle name="Currency 2 4" xfId="159"/>
    <cellStyle name="Currency 2 6 2" xfId="157"/>
    <cellStyle name="Currency 3" xfId="132"/>
    <cellStyle name="Currency 4" xfId="137"/>
    <cellStyle name="Currency 4 2" xfId="203"/>
    <cellStyle name="Currency 5" xfId="144"/>
    <cellStyle name="Currency 5 2" xfId="207"/>
    <cellStyle name="Currency 5 2 2" xfId="164"/>
    <cellStyle name="Currency 5 2 2 2" xfId="214"/>
    <cellStyle name="Currency 5 5" xfId="160"/>
    <cellStyle name="Currency 6" xfId="156"/>
    <cellStyle name="Currency0" xfId="116"/>
    <cellStyle name="Date" xfId="117"/>
    <cellStyle name="Explanatory Text 2" xfId="72"/>
    <cellStyle name="Explanatory Text 3" xfId="40"/>
    <cellStyle name="Fixed" xfId="118"/>
    <cellStyle name="Good 2" xfId="62"/>
    <cellStyle name="Good 3" xfId="41"/>
    <cellStyle name="Grey" xfId="119"/>
    <cellStyle name="Heading 1 2" xfId="58"/>
    <cellStyle name="Heading 1 3" xfId="42"/>
    <cellStyle name="Heading 1 4" xfId="226"/>
    <cellStyle name="Heading 2 2" xfId="57"/>
    <cellStyle name="Heading 2 3" xfId="43"/>
    <cellStyle name="Heading 2 4" xfId="227"/>
    <cellStyle name="Heading 3 2" xfId="60"/>
    <cellStyle name="Heading 3 3" xfId="44"/>
    <cellStyle name="Heading 4 2" xfId="61"/>
    <cellStyle name="Heading 4 3" xfId="45"/>
    <cellStyle name="Input [yellow]" xfId="120"/>
    <cellStyle name="Input 2" xfId="65"/>
    <cellStyle name="Input 3" xfId="46"/>
    <cellStyle name="Input 4" xfId="217"/>
    <cellStyle name="Input 5" xfId="224"/>
    <cellStyle name="Linked Cell 2" xfId="68"/>
    <cellStyle name="Linked Cell 3" xfId="47"/>
    <cellStyle name="M" xfId="121"/>
    <cellStyle name="M.00" xfId="122"/>
    <cellStyle name="M_9. Rev2Cost_GDPIPI" xfId="123"/>
    <cellStyle name="M_lists" xfId="124"/>
    <cellStyle name="M_lists_4. Current Monthly Fixed Charge" xfId="125"/>
    <cellStyle name="M_Sheet4" xfId="126"/>
    <cellStyle name="Neutral 2" xfId="64"/>
    <cellStyle name="Neutral 3" xfId="48"/>
    <cellStyle name="Normal" xfId="0" builtinId="0"/>
    <cellStyle name="Normal - Style1" xfId="127"/>
    <cellStyle name="Normal 10" xfId="148"/>
    <cellStyle name="Normal 10 2" xfId="210"/>
    <cellStyle name="Normal 11" xfId="149"/>
    <cellStyle name="Normal 11 2" xfId="211"/>
    <cellStyle name="Normal 12" xfId="166"/>
    <cellStyle name="Normal 12 2" xfId="215"/>
    <cellStyle name="Normal 13" xfId="167"/>
    <cellStyle name="Normal 14" xfId="172"/>
    <cellStyle name="Normal 15" xfId="213"/>
    <cellStyle name="Normal 16" xfId="170"/>
    <cellStyle name="Normal 17" xfId="216"/>
    <cellStyle name="Normal 18" xfId="171"/>
    <cellStyle name="Normal 19" xfId="152"/>
    <cellStyle name="Normal 2" xfId="6"/>
    <cellStyle name="Normal 2 2" xfId="158"/>
    <cellStyle name="Normal 2 2 3" xfId="155"/>
    <cellStyle name="Normal 2 3" xfId="55"/>
    <cellStyle name="Normal 2 4" xfId="222"/>
    <cellStyle name="Normal 20" xfId="219"/>
    <cellStyle name="Normal 21" xfId="225"/>
    <cellStyle name="Normal 3" xfId="7"/>
    <cellStyle name="Normal 3 2" xfId="169"/>
    <cellStyle name="Normal 3 3" xfId="59"/>
    <cellStyle name="Normal 4" xfId="98"/>
    <cellStyle name="Normal 4 2" xfId="143"/>
    <cellStyle name="Normal 4 2 2" xfId="151"/>
    <cellStyle name="Normal 4 2 3" xfId="206"/>
    <cellStyle name="Normal 4 3" xfId="186"/>
    <cellStyle name="Normal 5" xfId="100"/>
    <cellStyle name="Normal 5 2" xfId="129"/>
    <cellStyle name="Normal 5 2 2" xfId="133"/>
    <cellStyle name="Normal 5 2 2 2" xfId="199"/>
    <cellStyle name="Normal 5 2 3" xfId="196"/>
    <cellStyle name="Normal 5 3" xfId="189"/>
    <cellStyle name="Normal 6" xfId="103"/>
    <cellStyle name="Normal 6 2" xfId="192"/>
    <cellStyle name="Normal 7" xfId="136"/>
    <cellStyle name="Normal 7 2" xfId="202"/>
    <cellStyle name="Normal 70" xfId="1"/>
    <cellStyle name="Normal 8" xfId="146"/>
    <cellStyle name="Normal 81" xfId="223"/>
    <cellStyle name="Normal 9" xfId="147"/>
    <cellStyle name="Normal 9 2" xfId="209"/>
    <cellStyle name="Normal_Sheet1" xfId="8"/>
    <cellStyle name="Note 2" xfId="71"/>
    <cellStyle name="Note 2 2" xfId="173"/>
    <cellStyle name="Note 3" xfId="168"/>
    <cellStyle name="Note 4" xfId="49"/>
    <cellStyle name="Output 2" xfId="66"/>
    <cellStyle name="Output 3" xfId="50"/>
    <cellStyle name="Percent" xfId="11" builtinId="5"/>
    <cellStyle name="Percent [2]" xfId="128"/>
    <cellStyle name="Percent 10" xfId="228"/>
    <cellStyle name="Percent 10 2" xfId="230"/>
    <cellStyle name="Percent 10 3" xfId="162"/>
    <cellStyle name="Percent 2" xfId="99"/>
    <cellStyle name="Percent 2 2" xfId="188"/>
    <cellStyle name="Percent 3" xfId="102"/>
    <cellStyle name="Percent 3 2" xfId="131"/>
    <cellStyle name="Percent 3 2 2" xfId="135"/>
    <cellStyle name="Percent 3 2 2 2" xfId="201"/>
    <cellStyle name="Percent 3 2 3" xfId="198"/>
    <cellStyle name="Percent 3 3" xfId="191"/>
    <cellStyle name="Percent 4" xfId="104"/>
    <cellStyle name="Percent 4 2" xfId="193"/>
    <cellStyle name="Percent 5" xfId="139"/>
    <cellStyle name="Percent 5 2" xfId="205"/>
    <cellStyle name="Percent 6" xfId="142"/>
    <cellStyle name="Percent 7" xfId="51"/>
    <cellStyle name="Percent 8" xfId="218"/>
    <cellStyle name="Percent 9" xfId="221"/>
    <cellStyle name="Title 2" xfId="56"/>
    <cellStyle name="Title 3" xfId="52"/>
    <cellStyle name="Total 2" xfId="73"/>
    <cellStyle name="Total 3" xfId="53"/>
    <cellStyle name="Total 4" xfId="229"/>
    <cellStyle name="Warning Text 2" xfId="70"/>
    <cellStyle name="Warning Text 3" xfId="54"/>
  </cellStyles>
  <dxfs count="12">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2</xdr:row>
      <xdr:rowOff>304800</xdr:rowOff>
    </xdr:from>
    <xdr:to>
      <xdr:col>30</xdr:col>
      <xdr:colOff>0</xdr:colOff>
      <xdr:row>2</xdr:row>
      <xdr:rowOff>304800</xdr:rowOff>
    </xdr:to>
    <xdr:sp macro="" textlink="">
      <xdr:nvSpPr>
        <xdr:cNvPr id="2" name="Line 1"/>
        <xdr:cNvSpPr>
          <a:spLocks noChangeShapeType="1"/>
        </xdr:cNvSpPr>
      </xdr:nvSpPr>
      <xdr:spPr bwMode="auto">
        <a:xfrm>
          <a:off x="21755100" y="601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xdr:row>
      <xdr:rowOff>0</xdr:rowOff>
    </xdr:from>
    <xdr:to>
      <xdr:col>7</xdr:col>
      <xdr:colOff>487680</xdr:colOff>
      <xdr:row>4</xdr:row>
      <xdr:rowOff>0</xdr:rowOff>
    </xdr:to>
    <xdr:sp macro="" textlink="">
      <xdr:nvSpPr>
        <xdr:cNvPr id="3" name="Line 2"/>
        <xdr:cNvSpPr>
          <a:spLocks noChangeShapeType="1"/>
        </xdr:cNvSpPr>
      </xdr:nvSpPr>
      <xdr:spPr bwMode="auto">
        <a:xfrm>
          <a:off x="5722620" y="815340"/>
          <a:ext cx="16459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PC%20Files/Front%20Office/Finance/F05-Rates/2022%20Rates/Error%20Checking/EB-2021-0052_ORPC_2022_Filing_Requirements_Chapter_2_Appendices_Revised_202111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tozer\Downloads\ORPC_2022_Filing_Requirements_Chapter_2_Appendices_202109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2.1.4_ServiceQuality"/>
      <sheetName val="2016 Adjusted SAIDI and SAIFI"/>
      <sheetName val="2017 Adjusted SAIDI and SAIFI"/>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App.2-JA_OM&amp;A_Summary_Analys"/>
      <sheetName val="Hidden_OM&amp;A Summary"/>
      <sheetName val="OM&amp;A_Expenses"/>
      <sheetName val="App.2-JB_OM&amp;A_Cost _Drivers"/>
      <sheetName val="App.2-JC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4">
          <cell r="E24">
            <v>2022</v>
          </cell>
        </row>
        <row r="26">
          <cell r="E26">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2.1.4_ServiceQuality"/>
      <sheetName val="2016 Adjusted SAIDI and SAIFI"/>
      <sheetName val="2017 Adjusted SAIDI and SAIFI"/>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App.2-JA_OM&amp;A_Summary_Analys"/>
      <sheetName val="Hidden_OM&amp;A Summary"/>
      <sheetName val="OM&amp;A_Expenses"/>
      <sheetName val="App.2-JB_OM&amp;A_Cost _Drivers"/>
      <sheetName val="App.2-JC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8">
          <cell r="E28">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tabSelected="1" workbookViewId="0">
      <pane xSplit="1" ySplit="6" topLeftCell="B109" activePane="bottomRight" state="frozen"/>
      <selection pane="topRight" activeCell="B1" sqref="B1"/>
      <selection pane="bottomLeft" activeCell="A7" sqref="A7"/>
      <selection pane="bottomRight" activeCell="E21" sqref="E21"/>
    </sheetView>
  </sheetViews>
  <sheetFormatPr defaultRowHeight="14.4"/>
  <cols>
    <col min="1" max="1" width="49.21875" bestFit="1" customWidth="1"/>
    <col min="2" max="3" width="17" customWidth="1"/>
    <col min="4" max="4" width="16.5546875" bestFit="1" customWidth="1"/>
    <col min="5" max="5" width="17" customWidth="1"/>
  </cols>
  <sheetData>
    <row r="1" spans="1:5">
      <c r="A1" s="763" t="s">
        <v>39</v>
      </c>
      <c r="B1" s="763"/>
      <c r="C1" s="763"/>
      <c r="D1" s="763"/>
      <c r="E1" s="763"/>
    </row>
    <row r="2" spans="1:5">
      <c r="A2" s="763" t="s">
        <v>40</v>
      </c>
      <c r="B2" s="763"/>
      <c r="C2" s="763"/>
      <c r="D2" s="763"/>
      <c r="E2" s="763"/>
    </row>
    <row r="5" spans="1:5">
      <c r="A5" s="1" t="s">
        <v>0</v>
      </c>
      <c r="B5" s="2">
        <v>2019</v>
      </c>
      <c r="C5" s="2">
        <v>2020</v>
      </c>
      <c r="D5" s="2">
        <v>2021</v>
      </c>
      <c r="E5" s="2">
        <v>2021</v>
      </c>
    </row>
    <row r="6" spans="1:5" ht="57.6">
      <c r="A6" s="3" t="s">
        <v>1</v>
      </c>
      <c r="B6" s="21" t="s">
        <v>384</v>
      </c>
      <c r="C6" s="21" t="s">
        <v>385</v>
      </c>
      <c r="D6" s="21" t="s">
        <v>68</v>
      </c>
      <c r="E6" s="21" t="s">
        <v>67</v>
      </c>
    </row>
    <row r="7" spans="1:5">
      <c r="A7" s="3"/>
      <c r="B7" s="4"/>
      <c r="C7" s="4"/>
      <c r="D7" s="4"/>
      <c r="E7" s="4"/>
    </row>
    <row r="8" spans="1:5">
      <c r="A8" s="3" t="s">
        <v>3</v>
      </c>
      <c r="B8" s="5"/>
      <c r="C8" s="5"/>
      <c r="D8" s="5"/>
      <c r="E8" s="5"/>
    </row>
    <row r="9" spans="1:5">
      <c r="A9" s="6" t="s">
        <v>4</v>
      </c>
      <c r="B9" s="7">
        <f>31962.61+151106.64+66700.65+34715.66+120624</f>
        <v>405109.56</v>
      </c>
      <c r="C9" s="7">
        <f>41176.17+4001.98-2378</f>
        <v>42800.15</v>
      </c>
      <c r="D9" s="7">
        <f>52936.77+2512.57+873.28+4052.5+4681.9+5095.94+241.35</f>
        <v>70394.31</v>
      </c>
      <c r="E9" s="7">
        <f>D9+10000</f>
        <v>80394.31</v>
      </c>
    </row>
    <row r="10" spans="1:5">
      <c r="A10" s="6" t="s">
        <v>434</v>
      </c>
      <c r="B10" s="7"/>
      <c r="C10" s="7">
        <f>100</f>
        <v>100</v>
      </c>
      <c r="D10" s="7"/>
      <c r="E10" s="7"/>
    </row>
    <row r="11" spans="1:5">
      <c r="A11" s="6" t="s">
        <v>435</v>
      </c>
      <c r="B11" s="7"/>
      <c r="C11" s="7">
        <f>23562.84-3600</f>
        <v>19962.84</v>
      </c>
      <c r="D11" s="7"/>
      <c r="E11" s="7"/>
    </row>
    <row r="12" spans="1:5">
      <c r="A12" s="6" t="s">
        <v>436</v>
      </c>
      <c r="B12" s="7"/>
      <c r="C12" s="7">
        <f>39795.4</f>
        <v>39795.4</v>
      </c>
      <c r="D12" s="7"/>
      <c r="E12" s="7"/>
    </row>
    <row r="13" spans="1:5">
      <c r="A13" s="6" t="s">
        <v>437</v>
      </c>
      <c r="B13" s="7"/>
      <c r="C13" s="7">
        <f>14853.95</f>
        <v>14853.95</v>
      </c>
      <c r="D13" s="7"/>
      <c r="E13" s="7"/>
    </row>
    <row r="14" spans="1:5">
      <c r="A14" s="6" t="s">
        <v>438</v>
      </c>
      <c r="B14" s="7"/>
      <c r="C14" s="7">
        <f>1171.34</f>
        <v>1171.3399999999999</v>
      </c>
      <c r="D14" s="7"/>
      <c r="E14" s="7"/>
    </row>
    <row r="15" spans="1:5">
      <c r="A15" s="6" t="s">
        <v>439</v>
      </c>
      <c r="B15" s="7"/>
      <c r="C15" s="7">
        <v>-23050</v>
      </c>
      <c r="D15" s="7"/>
      <c r="E15" s="7"/>
    </row>
    <row r="16" spans="1:5">
      <c r="A16" s="618" t="s">
        <v>482</v>
      </c>
      <c r="B16" s="7">
        <f>2605.79</f>
        <v>2605.79</v>
      </c>
      <c r="C16" s="7"/>
      <c r="D16" s="7"/>
      <c r="E16" s="7"/>
    </row>
    <row r="17" spans="1:5">
      <c r="A17" s="645" t="s">
        <v>483</v>
      </c>
      <c r="B17" s="7">
        <f>45499.73</f>
        <v>45499.73</v>
      </c>
      <c r="C17" s="7"/>
      <c r="D17" s="7"/>
      <c r="E17" s="7"/>
    </row>
    <row r="18" spans="1:5">
      <c r="A18" s="645" t="s">
        <v>484</v>
      </c>
      <c r="B18" s="7">
        <f>12156.88</f>
        <v>12156.88</v>
      </c>
      <c r="C18" s="7"/>
      <c r="D18" s="7"/>
      <c r="E18" s="7"/>
    </row>
    <row r="19" spans="1:5">
      <c r="A19" s="645" t="s">
        <v>485</v>
      </c>
      <c r="B19" s="7">
        <f>38230.21</f>
        <v>38230.21</v>
      </c>
      <c r="C19" s="7"/>
      <c r="D19" s="7"/>
      <c r="E19" s="7"/>
    </row>
    <row r="20" spans="1:5">
      <c r="A20" s="645" t="s">
        <v>486</v>
      </c>
      <c r="B20" s="7">
        <f>4513.62</f>
        <v>4513.62</v>
      </c>
      <c r="C20" s="7"/>
      <c r="D20" s="7"/>
      <c r="E20" s="7"/>
    </row>
    <row r="21" spans="1:5">
      <c r="A21" s="645" t="s">
        <v>487</v>
      </c>
      <c r="B21" s="7">
        <f>-183075+16739.52</f>
        <v>-166335.48000000001</v>
      </c>
      <c r="C21" s="7"/>
      <c r="D21" s="7">
        <f>-SUM(D22:D30)</f>
        <v>-65173.760000000002</v>
      </c>
      <c r="E21" s="7">
        <f>-SUM(E22:E30)</f>
        <v>-75173.760000000009</v>
      </c>
    </row>
    <row r="22" spans="1:5">
      <c r="A22" s="6" t="s">
        <v>5</v>
      </c>
      <c r="B22" s="7"/>
      <c r="C22" s="7"/>
      <c r="D22" s="7">
        <f>10561.38</f>
        <v>10561.38</v>
      </c>
      <c r="E22" s="7">
        <f>D22</f>
        <v>10561.38</v>
      </c>
    </row>
    <row r="23" spans="1:5">
      <c r="A23" s="6" t="s">
        <v>6</v>
      </c>
      <c r="B23" s="7"/>
      <c r="C23" s="7"/>
      <c r="D23" s="7">
        <f>6628.26</f>
        <v>6628.26</v>
      </c>
      <c r="E23" s="7">
        <f>D23</f>
        <v>6628.26</v>
      </c>
    </row>
    <row r="24" spans="1:5">
      <c r="A24" s="6" t="s">
        <v>7</v>
      </c>
      <c r="B24" s="7"/>
      <c r="C24" s="7"/>
      <c r="D24" s="7">
        <f>62564.58-47904</f>
        <v>14660.580000000002</v>
      </c>
      <c r="E24" s="7">
        <f>D24+10000</f>
        <v>24660.58</v>
      </c>
    </row>
    <row r="25" spans="1:5">
      <c r="A25" s="6" t="s">
        <v>8</v>
      </c>
      <c r="B25" s="8"/>
      <c r="C25" s="8"/>
      <c r="D25" s="7">
        <v>12426.03</v>
      </c>
      <c r="E25" s="8">
        <f>D25</f>
        <v>12426.03</v>
      </c>
    </row>
    <row r="26" spans="1:5">
      <c r="A26" s="6" t="s">
        <v>9</v>
      </c>
      <c r="B26" s="7"/>
      <c r="C26" s="7"/>
      <c r="D26" s="7">
        <v>0</v>
      </c>
      <c r="E26" s="7">
        <v>0</v>
      </c>
    </row>
    <row r="27" spans="1:5">
      <c r="A27" s="6" t="s">
        <v>10</v>
      </c>
      <c r="B27" s="7"/>
      <c r="C27" s="7"/>
      <c r="D27" s="7">
        <v>0</v>
      </c>
      <c r="E27" s="7">
        <v>0</v>
      </c>
    </row>
    <row r="28" spans="1:5">
      <c r="A28" s="6" t="s">
        <v>11</v>
      </c>
      <c r="B28" s="7"/>
      <c r="C28" s="7"/>
      <c r="D28" s="7">
        <v>0</v>
      </c>
      <c r="E28" s="7">
        <v>0</v>
      </c>
    </row>
    <row r="29" spans="1:5">
      <c r="A29" s="6" t="s">
        <v>56</v>
      </c>
      <c r="B29" s="7"/>
      <c r="C29" s="7"/>
      <c r="D29" s="7">
        <v>9274.02</v>
      </c>
      <c r="E29" s="7">
        <f>D29</f>
        <v>9274.02</v>
      </c>
    </row>
    <row r="30" spans="1:5">
      <c r="A30" s="6" t="s">
        <v>57</v>
      </c>
      <c r="B30" s="7"/>
      <c r="C30" s="7"/>
      <c r="D30" s="7">
        <f>11623.49</f>
        <v>11623.49</v>
      </c>
      <c r="E30" s="7">
        <f>D30</f>
        <v>11623.49</v>
      </c>
    </row>
    <row r="31" spans="1:5">
      <c r="A31" s="6" t="s">
        <v>63</v>
      </c>
      <c r="B31" s="7"/>
      <c r="C31" s="7"/>
      <c r="D31" s="7">
        <f>25579.16</f>
        <v>25579.16</v>
      </c>
      <c r="E31" s="7">
        <f>D31</f>
        <v>25579.16</v>
      </c>
    </row>
    <row r="32" spans="1:5">
      <c r="A32" s="9"/>
      <c r="B32" s="7"/>
      <c r="C32" s="7"/>
      <c r="D32" s="7"/>
      <c r="E32" s="7"/>
    </row>
    <row r="33" spans="1:5">
      <c r="A33" s="1" t="s">
        <v>12</v>
      </c>
      <c r="B33" s="10">
        <f>SUM(B9:B32)</f>
        <v>341780.30999999994</v>
      </c>
      <c r="C33" s="10">
        <f>SUM(C9:C32)</f>
        <v>95633.680000000008</v>
      </c>
      <c r="D33" s="10">
        <f>SUM(D9:D32)</f>
        <v>95973.47</v>
      </c>
      <c r="E33" s="10">
        <f>SUM(E9:E32)</f>
        <v>105973.47</v>
      </c>
    </row>
    <row r="34" spans="1:5">
      <c r="A34" s="11" t="s">
        <v>13</v>
      </c>
      <c r="B34" s="12"/>
      <c r="C34" s="12"/>
      <c r="D34" s="12"/>
      <c r="E34" s="12"/>
    </row>
    <row r="35" spans="1:5">
      <c r="A35" s="6" t="s">
        <v>14</v>
      </c>
      <c r="B35" s="8">
        <f>137689.81+9825.57+5507.67+1332.82-71995.32</f>
        <v>82360.550000000017</v>
      </c>
      <c r="C35" s="8">
        <f>43078.27+2834.88+7436.88-6431.45+107606.3-81413</f>
        <v>73111.88</v>
      </c>
      <c r="D35" s="8">
        <f>130626.63+2829.33+3435.45+4749.54+3305.07+4051.66+4343.99+3911.29+3397.01+3213+3258.78+4956.27+4136.14+21720-32418.62</f>
        <v>165515.54000000004</v>
      </c>
      <c r="E35" s="8">
        <f>D35+3000</f>
        <v>168515.54000000004</v>
      </c>
    </row>
    <row r="36" spans="1:5">
      <c r="A36" s="6" t="s">
        <v>440</v>
      </c>
      <c r="B36" s="8">
        <f>2222.03+375.42</f>
        <v>2597.4500000000003</v>
      </c>
      <c r="C36" s="8"/>
      <c r="D36" s="8"/>
      <c r="E36" s="8"/>
    </row>
    <row r="37" spans="1:5">
      <c r="A37" s="6" t="s">
        <v>441</v>
      </c>
      <c r="B37" s="8">
        <f>55662.68</f>
        <v>55662.68</v>
      </c>
      <c r="C37" s="8"/>
      <c r="D37" s="8"/>
      <c r="E37" s="8"/>
    </row>
    <row r="38" spans="1:5">
      <c r="A38" s="6" t="s">
        <v>442</v>
      </c>
      <c r="B38" s="8">
        <f>35885.63</f>
        <v>35885.629999999997</v>
      </c>
      <c r="C38" s="8"/>
      <c r="D38" s="8"/>
      <c r="E38" s="8"/>
    </row>
    <row r="39" spans="1:5">
      <c r="A39" s="6" t="s">
        <v>443</v>
      </c>
      <c r="B39" s="8">
        <f>26653.65</f>
        <v>26653.65</v>
      </c>
      <c r="C39" s="8"/>
      <c r="D39" s="8"/>
      <c r="E39" s="8"/>
    </row>
    <row r="40" spans="1:5">
      <c r="A40" s="6" t="s">
        <v>444</v>
      </c>
      <c r="B40" s="8">
        <f>23154.34</f>
        <v>23154.34</v>
      </c>
      <c r="C40" s="8"/>
      <c r="D40" s="8"/>
      <c r="E40" s="8"/>
    </row>
    <row r="41" spans="1:5">
      <c r="A41" s="6" t="s">
        <v>445</v>
      </c>
      <c r="B41" s="8">
        <f>254.47</f>
        <v>254.47</v>
      </c>
      <c r="C41" s="8"/>
      <c r="D41" s="8"/>
      <c r="E41" s="8"/>
    </row>
    <row r="42" spans="1:5">
      <c r="A42" s="6" t="s">
        <v>446</v>
      </c>
      <c r="B42" s="8">
        <f>9320.32</f>
        <v>9320.32</v>
      </c>
      <c r="C42" s="8"/>
      <c r="D42" s="8"/>
      <c r="E42" s="8"/>
    </row>
    <row r="43" spans="1:5">
      <c r="A43" s="6" t="s">
        <v>447</v>
      </c>
      <c r="B43" s="8">
        <f>53375.89</f>
        <v>53375.89</v>
      </c>
      <c r="C43" s="8"/>
      <c r="D43" s="8"/>
      <c r="E43" s="8"/>
    </row>
    <row r="44" spans="1:5">
      <c r="A44" s="6" t="s">
        <v>448</v>
      </c>
      <c r="B44" s="8">
        <v>16023</v>
      </c>
      <c r="C44" s="8"/>
      <c r="D44" s="8"/>
      <c r="E44" s="8"/>
    </row>
    <row r="45" spans="1:5">
      <c r="A45" s="644" t="s">
        <v>440</v>
      </c>
      <c r="B45" s="8"/>
      <c r="C45" s="8">
        <f>254.47</f>
        <v>254.47</v>
      </c>
      <c r="D45" s="8"/>
      <c r="E45" s="8"/>
    </row>
    <row r="46" spans="1:5">
      <c r="A46" s="644" t="s">
        <v>441</v>
      </c>
      <c r="B46" s="8"/>
      <c r="C46" s="8">
        <f>776.79</f>
        <v>776.79</v>
      </c>
      <c r="D46" s="8"/>
      <c r="E46" s="8"/>
    </row>
    <row r="47" spans="1:5">
      <c r="A47" s="644" t="s">
        <v>449</v>
      </c>
      <c r="B47" s="8"/>
      <c r="C47" s="8">
        <f>2911.74</f>
        <v>2911.74</v>
      </c>
      <c r="D47" s="8"/>
      <c r="E47" s="8"/>
    </row>
    <row r="48" spans="1:5">
      <c r="A48" s="644" t="s">
        <v>450</v>
      </c>
      <c r="B48" s="8"/>
      <c r="C48" s="8">
        <f>966.47</f>
        <v>966.47</v>
      </c>
      <c r="D48" s="8"/>
      <c r="E48" s="8"/>
    </row>
    <row r="49" spans="1:5">
      <c r="A49" s="644" t="s">
        <v>451</v>
      </c>
      <c r="B49" s="8"/>
      <c r="C49" s="8">
        <f>1451.54</f>
        <v>1451.54</v>
      </c>
      <c r="D49" s="8"/>
      <c r="E49" s="8"/>
    </row>
    <row r="50" spans="1:5">
      <c r="A50" s="644" t="s">
        <v>452</v>
      </c>
      <c r="B50" s="8"/>
      <c r="C50" s="8">
        <f>3704.82</f>
        <v>3704.82</v>
      </c>
      <c r="D50" s="8"/>
      <c r="E50" s="8"/>
    </row>
    <row r="51" spans="1:5">
      <c r="A51" s="644" t="s">
        <v>453</v>
      </c>
      <c r="B51" s="8"/>
      <c r="C51" s="8">
        <v>1687.77</v>
      </c>
      <c r="D51" s="8"/>
      <c r="E51" s="8"/>
    </row>
    <row r="52" spans="1:5">
      <c r="A52" s="644" t="s">
        <v>454</v>
      </c>
      <c r="B52" s="8"/>
      <c r="C52" s="8">
        <f>8948.08</f>
        <v>8948.08</v>
      </c>
      <c r="D52" s="8"/>
      <c r="E52" s="8"/>
    </row>
    <row r="53" spans="1:5">
      <c r="A53" s="644" t="s">
        <v>455</v>
      </c>
      <c r="B53" s="8"/>
      <c r="C53" s="8">
        <f>16353.11</f>
        <v>16353.11</v>
      </c>
      <c r="D53" s="8"/>
      <c r="E53" s="8"/>
    </row>
    <row r="54" spans="1:5">
      <c r="A54" s="644" t="s">
        <v>456</v>
      </c>
      <c r="B54" s="8"/>
      <c r="C54" s="8">
        <f>3032.37</f>
        <v>3032.37</v>
      </c>
      <c r="D54" s="8"/>
      <c r="E54" s="8"/>
    </row>
    <row r="55" spans="1:5">
      <c r="A55" s="644" t="s">
        <v>457</v>
      </c>
      <c r="B55" s="8"/>
      <c r="C55" s="8">
        <f>12232.07</f>
        <v>12232.07</v>
      </c>
      <c r="D55" s="8"/>
      <c r="E55" s="8"/>
    </row>
    <row r="56" spans="1:5">
      <c r="A56" s="644" t="s">
        <v>458</v>
      </c>
      <c r="B56" s="8"/>
      <c r="C56" s="8">
        <f>2481.12</f>
        <v>2481.12</v>
      </c>
      <c r="D56" s="8"/>
      <c r="E56" s="8"/>
    </row>
    <row r="57" spans="1:5">
      <c r="A57" s="644" t="s">
        <v>459</v>
      </c>
      <c r="B57" s="8"/>
      <c r="C57" s="8">
        <f>5432.21</f>
        <v>5432.21</v>
      </c>
      <c r="D57" s="8"/>
      <c r="E57" s="8"/>
    </row>
    <row r="58" spans="1:5">
      <c r="A58" s="644" t="s">
        <v>460</v>
      </c>
      <c r="B58" s="8"/>
      <c r="C58" s="8">
        <f>7301.34</f>
        <v>7301.34</v>
      </c>
      <c r="D58" s="8"/>
      <c r="E58" s="8"/>
    </row>
    <row r="59" spans="1:5">
      <c r="A59" s="644" t="s">
        <v>461</v>
      </c>
      <c r="B59" s="8"/>
      <c r="C59" s="8">
        <f>7386.96</f>
        <v>7386.96</v>
      </c>
      <c r="D59" s="8"/>
      <c r="E59" s="8"/>
    </row>
    <row r="60" spans="1:5">
      <c r="A60" s="644" t="s">
        <v>462</v>
      </c>
      <c r="B60" s="8"/>
      <c r="C60" s="8">
        <f>3452.83</f>
        <v>3452.83</v>
      </c>
      <c r="D60" s="8"/>
      <c r="E60" s="8"/>
    </row>
    <row r="61" spans="1:5">
      <c r="A61" s="644" t="s">
        <v>463</v>
      </c>
      <c r="B61" s="8"/>
      <c r="C61" s="8">
        <f>3692.11</f>
        <v>3692.11</v>
      </c>
      <c r="D61" s="8"/>
      <c r="E61" s="8"/>
    </row>
    <row r="62" spans="1:5">
      <c r="A62" s="6" t="s">
        <v>66</v>
      </c>
      <c r="B62" s="7"/>
      <c r="C62" s="7"/>
      <c r="D62" s="7">
        <f>6144.88</f>
        <v>6144.88</v>
      </c>
      <c r="E62" s="7">
        <f t="shared" ref="E62:E71" si="0">D62</f>
        <v>6144.88</v>
      </c>
    </row>
    <row r="63" spans="1:5">
      <c r="A63" s="6" t="s">
        <v>15</v>
      </c>
      <c r="B63" s="7"/>
      <c r="C63" s="7"/>
      <c r="D63" s="7">
        <f>4863.79</f>
        <v>4863.79</v>
      </c>
      <c r="E63" s="7">
        <f t="shared" si="0"/>
        <v>4863.79</v>
      </c>
    </row>
    <row r="64" spans="1:5">
      <c r="A64" s="6" t="s">
        <v>16</v>
      </c>
      <c r="B64" s="7"/>
      <c r="C64" s="7"/>
      <c r="D64" s="7">
        <f>11683.13</f>
        <v>11683.13</v>
      </c>
      <c r="E64" s="7">
        <f t="shared" si="0"/>
        <v>11683.13</v>
      </c>
    </row>
    <row r="65" spans="1:5">
      <c r="A65" s="6" t="s">
        <v>17</v>
      </c>
      <c r="B65" s="7"/>
      <c r="C65" s="7"/>
      <c r="D65" s="7">
        <f>10937.31</f>
        <v>10937.31</v>
      </c>
      <c r="E65" s="7">
        <f t="shared" si="0"/>
        <v>10937.31</v>
      </c>
    </row>
    <row r="66" spans="1:5">
      <c r="A66" s="6" t="s">
        <v>18</v>
      </c>
      <c r="B66" s="13"/>
      <c r="C66" s="13"/>
      <c r="D66" s="13">
        <f>6009.71</f>
        <v>6009.71</v>
      </c>
      <c r="E66" s="7">
        <f t="shared" si="0"/>
        <v>6009.71</v>
      </c>
    </row>
    <row r="67" spans="1:5">
      <c r="A67" s="6" t="s">
        <v>19</v>
      </c>
      <c r="B67" s="7"/>
      <c r="C67" s="7"/>
      <c r="D67" s="7">
        <f>8721.88</f>
        <v>8721.8799999999992</v>
      </c>
      <c r="E67" s="7">
        <f t="shared" si="0"/>
        <v>8721.8799999999992</v>
      </c>
    </row>
    <row r="68" spans="1:5">
      <c r="A68" s="6" t="s">
        <v>43</v>
      </c>
      <c r="B68" s="7"/>
      <c r="C68" s="7"/>
      <c r="D68" s="7">
        <f>11019.76+4385.65</f>
        <v>15405.41</v>
      </c>
      <c r="E68" s="7">
        <f t="shared" si="0"/>
        <v>15405.41</v>
      </c>
    </row>
    <row r="69" spans="1:5">
      <c r="A69" s="6" t="s">
        <v>20</v>
      </c>
      <c r="B69" s="7"/>
      <c r="C69" s="7"/>
      <c r="D69" s="7">
        <f>10151.72</f>
        <v>10151.719999999999</v>
      </c>
      <c r="E69" s="7">
        <f t="shared" si="0"/>
        <v>10151.719999999999</v>
      </c>
    </row>
    <row r="70" spans="1:5">
      <c r="A70" s="6" t="s">
        <v>21</v>
      </c>
      <c r="B70" s="7"/>
      <c r="C70" s="7"/>
      <c r="D70" s="7">
        <f>19305</f>
        <v>19305</v>
      </c>
      <c r="E70" s="7">
        <f t="shared" si="0"/>
        <v>19305</v>
      </c>
    </row>
    <row r="71" spans="1:5">
      <c r="A71" s="6" t="s">
        <v>22</v>
      </c>
      <c r="B71" s="7"/>
      <c r="C71" s="7"/>
      <c r="D71" s="7">
        <f>4711.22</f>
        <v>4711.22</v>
      </c>
      <c r="E71" s="7">
        <f t="shared" si="0"/>
        <v>4711.22</v>
      </c>
    </row>
    <row r="72" spans="1:5">
      <c r="A72" s="6" t="s">
        <v>23</v>
      </c>
      <c r="B72" s="8"/>
      <c r="C72" s="8"/>
      <c r="D72" s="8">
        <f>74709.5</f>
        <v>74709.5</v>
      </c>
      <c r="E72" s="7">
        <f>D72</f>
        <v>74709.5</v>
      </c>
    </row>
    <row r="73" spans="1:5">
      <c r="A73" s="6" t="s">
        <v>24</v>
      </c>
      <c r="B73" s="7"/>
      <c r="C73" s="7">
        <f>254.47+776.79</f>
        <v>1031.26</v>
      </c>
      <c r="D73" s="7"/>
      <c r="E73" s="7"/>
    </row>
    <row r="74" spans="1:5">
      <c r="A74" s="22" t="s">
        <v>44</v>
      </c>
      <c r="B74" s="7"/>
      <c r="C74" s="7"/>
      <c r="D74" s="7">
        <f>14073.04</f>
        <v>14073.04</v>
      </c>
      <c r="E74" s="7">
        <f>D74</f>
        <v>14073.04</v>
      </c>
    </row>
    <row r="75" spans="1:5">
      <c r="A75" s="22" t="s">
        <v>45</v>
      </c>
      <c r="B75" s="7"/>
      <c r="C75" s="7"/>
      <c r="D75" s="7">
        <f>8538.46</f>
        <v>8538.4599999999991</v>
      </c>
      <c r="E75" s="7">
        <f t="shared" ref="E75:E90" si="1">D75</f>
        <v>8538.4599999999991</v>
      </c>
    </row>
    <row r="76" spans="1:5">
      <c r="A76" s="22" t="s">
        <v>47</v>
      </c>
      <c r="B76" s="7"/>
      <c r="C76" s="7"/>
      <c r="D76" s="7">
        <f>9036.39</f>
        <v>9036.39</v>
      </c>
      <c r="E76" s="7">
        <f t="shared" si="1"/>
        <v>9036.39</v>
      </c>
    </row>
    <row r="77" spans="1:5">
      <c r="A77" s="22" t="s">
        <v>46</v>
      </c>
      <c r="B77" s="7"/>
      <c r="C77" s="7"/>
      <c r="D77" s="7">
        <f>9351.04</f>
        <v>9351.0400000000009</v>
      </c>
      <c r="E77" s="7">
        <f t="shared" si="1"/>
        <v>9351.0400000000009</v>
      </c>
    </row>
    <row r="78" spans="1:5">
      <c r="A78" s="22" t="s">
        <v>48</v>
      </c>
      <c r="B78" s="7"/>
      <c r="C78" s="7"/>
      <c r="D78" s="7">
        <v>9459.82</v>
      </c>
      <c r="E78" s="7">
        <f t="shared" si="1"/>
        <v>9459.82</v>
      </c>
    </row>
    <row r="79" spans="1:5">
      <c r="A79" s="22" t="s">
        <v>49</v>
      </c>
      <c r="B79" s="7"/>
      <c r="C79" s="7"/>
      <c r="D79" s="7">
        <f>6419.85</f>
        <v>6419.85</v>
      </c>
      <c r="E79" s="7">
        <f t="shared" si="1"/>
        <v>6419.85</v>
      </c>
    </row>
    <row r="80" spans="1:5">
      <c r="A80" s="22" t="s">
        <v>50</v>
      </c>
      <c r="B80" s="7"/>
      <c r="C80" s="7"/>
      <c r="D80" s="7">
        <f>6437.05</f>
        <v>6437.05</v>
      </c>
      <c r="E80" s="7">
        <f t="shared" si="1"/>
        <v>6437.05</v>
      </c>
    </row>
    <row r="81" spans="1:5">
      <c r="A81" s="22" t="s">
        <v>51</v>
      </c>
      <c r="B81" s="7"/>
      <c r="C81" s="7"/>
      <c r="D81" s="7">
        <f>9018.07</f>
        <v>9018.07</v>
      </c>
      <c r="E81" s="7">
        <f t="shared" si="1"/>
        <v>9018.07</v>
      </c>
    </row>
    <row r="82" spans="1:5">
      <c r="A82" s="22" t="s">
        <v>52</v>
      </c>
      <c r="B82" s="7"/>
      <c r="C82" s="7"/>
      <c r="D82" s="7">
        <f>6786.07</f>
        <v>6786.07</v>
      </c>
      <c r="E82" s="7">
        <f t="shared" si="1"/>
        <v>6786.07</v>
      </c>
    </row>
    <row r="83" spans="1:5">
      <c r="A83" s="22" t="s">
        <v>53</v>
      </c>
      <c r="B83" s="7"/>
      <c r="C83" s="7"/>
      <c r="D83" s="7">
        <f>5349.95</f>
        <v>5349.95</v>
      </c>
      <c r="E83" s="7">
        <f t="shared" si="1"/>
        <v>5349.95</v>
      </c>
    </row>
    <row r="84" spans="1:5">
      <c r="A84" s="22" t="s">
        <v>55</v>
      </c>
      <c r="B84" s="7"/>
      <c r="C84" s="7"/>
      <c r="D84" s="7">
        <f>5336.42</f>
        <v>5336.42</v>
      </c>
      <c r="E84" s="7">
        <f t="shared" si="1"/>
        <v>5336.42</v>
      </c>
    </row>
    <row r="85" spans="1:5">
      <c r="A85" s="22" t="s">
        <v>54</v>
      </c>
      <c r="B85" s="7"/>
      <c r="C85" s="7"/>
      <c r="D85" s="7">
        <f>10000.91</f>
        <v>10000.91</v>
      </c>
      <c r="E85" s="7">
        <f t="shared" si="1"/>
        <v>10000.91</v>
      </c>
    </row>
    <row r="86" spans="1:5">
      <c r="A86" s="22" t="s">
        <v>58</v>
      </c>
      <c r="B86" s="7"/>
      <c r="C86" s="7"/>
      <c r="D86" s="7">
        <v>7101.28</v>
      </c>
      <c r="E86" s="7">
        <f t="shared" si="1"/>
        <v>7101.28</v>
      </c>
    </row>
    <row r="87" spans="1:5">
      <c r="A87" s="22" t="s">
        <v>59</v>
      </c>
      <c r="B87" s="7"/>
      <c r="C87" s="7"/>
      <c r="D87" s="7">
        <f>6051.96</f>
        <v>6051.96</v>
      </c>
      <c r="E87" s="7">
        <f t="shared" si="1"/>
        <v>6051.96</v>
      </c>
    </row>
    <row r="88" spans="1:5">
      <c r="A88" s="22" t="s">
        <v>60</v>
      </c>
      <c r="B88" s="7"/>
      <c r="C88" s="7"/>
      <c r="D88" s="7">
        <v>10206.01</v>
      </c>
      <c r="E88" s="7">
        <f t="shared" si="1"/>
        <v>10206.01</v>
      </c>
    </row>
    <row r="89" spans="1:5">
      <c r="A89" s="22" t="s">
        <v>61</v>
      </c>
      <c r="B89" s="7"/>
      <c r="C89" s="7"/>
      <c r="D89" s="7">
        <f>6884.81</f>
        <v>6884.81</v>
      </c>
      <c r="E89" s="7">
        <f t="shared" si="1"/>
        <v>6884.81</v>
      </c>
    </row>
    <row r="90" spans="1:5">
      <c r="A90" s="22" t="s">
        <v>62</v>
      </c>
      <c r="B90" s="7"/>
      <c r="C90" s="7"/>
      <c r="D90" s="7">
        <f>12301.76</f>
        <v>12301.76</v>
      </c>
      <c r="E90" s="7">
        <f t="shared" si="1"/>
        <v>12301.76</v>
      </c>
    </row>
    <row r="91" spans="1:5">
      <c r="A91" s="22" t="s">
        <v>69</v>
      </c>
      <c r="B91" s="7"/>
      <c r="C91" s="7"/>
      <c r="D91" s="7">
        <v>0</v>
      </c>
      <c r="E91" s="7">
        <v>51472</v>
      </c>
    </row>
    <row r="92" spans="1:5">
      <c r="A92" s="22"/>
      <c r="B92" s="7"/>
      <c r="C92" s="7"/>
      <c r="D92" s="7"/>
      <c r="E92" s="7"/>
    </row>
    <row r="93" spans="1:5">
      <c r="A93" s="15" t="s">
        <v>12</v>
      </c>
      <c r="B93" s="10">
        <f>SUM(B35:B92)</f>
        <v>305287.98000000004</v>
      </c>
      <c r="C93" s="10">
        <f>SUM(C35:C92)</f>
        <v>156208.93999999997</v>
      </c>
      <c r="D93" s="10">
        <f>SUM(D35:D92)</f>
        <v>480511.98000000004</v>
      </c>
      <c r="E93" s="10">
        <f>SUM(E35:E92)</f>
        <v>534983.98</v>
      </c>
    </row>
    <row r="94" spans="1:5">
      <c r="A94" s="11" t="s">
        <v>25</v>
      </c>
      <c r="B94" s="12"/>
      <c r="C94" s="12"/>
      <c r="D94" s="12"/>
      <c r="E94" s="12"/>
    </row>
    <row r="95" spans="1:5">
      <c r="A95" s="6" t="s">
        <v>26</v>
      </c>
      <c r="B95" s="7"/>
      <c r="C95" s="7"/>
      <c r="D95" s="7">
        <v>1134</v>
      </c>
      <c r="E95" s="7">
        <f>D95</f>
        <v>1134</v>
      </c>
    </row>
    <row r="96" spans="1:5">
      <c r="A96" s="6" t="s">
        <v>65</v>
      </c>
      <c r="B96" s="7"/>
      <c r="C96" s="7"/>
      <c r="D96" s="7">
        <f>46250</f>
        <v>46250</v>
      </c>
      <c r="E96" s="7">
        <f>D96</f>
        <v>46250</v>
      </c>
    </row>
    <row r="97" spans="1:5">
      <c r="A97" s="645" t="s">
        <v>465</v>
      </c>
      <c r="B97" s="7">
        <f>64350</f>
        <v>64350</v>
      </c>
      <c r="C97" s="7">
        <f>15502.91-31941</f>
        <v>-16438.09</v>
      </c>
      <c r="D97" s="7"/>
      <c r="E97" s="7"/>
    </row>
    <row r="98" spans="1:5">
      <c r="A98" s="645" t="s">
        <v>466</v>
      </c>
      <c r="B98" s="7">
        <f>21016.89</f>
        <v>21016.89</v>
      </c>
      <c r="C98" s="7"/>
      <c r="D98" s="7"/>
      <c r="E98" s="7"/>
    </row>
    <row r="99" spans="1:5">
      <c r="A99" s="645" t="s">
        <v>464</v>
      </c>
      <c r="B99" s="7">
        <v>-58854</v>
      </c>
      <c r="C99" s="7"/>
      <c r="D99" s="7"/>
      <c r="E99" s="7"/>
    </row>
    <row r="100" spans="1:5">
      <c r="A100" s="645" t="s">
        <v>467</v>
      </c>
      <c r="B100" s="7"/>
      <c r="C100" s="7">
        <f>4840.14</f>
        <v>4840.1400000000003</v>
      </c>
      <c r="D100" s="7"/>
      <c r="E100" s="7"/>
    </row>
    <row r="101" spans="1:5">
      <c r="A101" s="645" t="s">
        <v>468</v>
      </c>
      <c r="B101" s="7"/>
      <c r="C101" s="7">
        <f>12161.77</f>
        <v>12161.77</v>
      </c>
      <c r="D101" s="7"/>
      <c r="E101" s="7"/>
    </row>
    <row r="102" spans="1:5">
      <c r="A102" s="645" t="s">
        <v>469</v>
      </c>
      <c r="B102" s="7"/>
      <c r="C102" s="7">
        <f>9727.12</f>
        <v>9727.1200000000008</v>
      </c>
      <c r="D102" s="7"/>
      <c r="E102" s="7"/>
    </row>
    <row r="103" spans="1:5">
      <c r="A103" s="645" t="s">
        <v>466</v>
      </c>
      <c r="B103" s="7"/>
      <c r="C103" s="7">
        <f>16226.12</f>
        <v>16226.12</v>
      </c>
      <c r="D103" s="7"/>
      <c r="E103" s="7"/>
    </row>
    <row r="104" spans="1:5">
      <c r="A104" s="9"/>
      <c r="B104" s="7"/>
      <c r="C104" s="7"/>
      <c r="D104" s="7"/>
      <c r="E104" s="7"/>
    </row>
    <row r="105" spans="1:5">
      <c r="A105" s="15" t="s">
        <v>12</v>
      </c>
      <c r="B105" s="16">
        <f>SUM(B95:B104)</f>
        <v>26512.89</v>
      </c>
      <c r="C105" s="16">
        <f>SUM(C95:C104)</f>
        <v>26517.06</v>
      </c>
      <c r="D105" s="16">
        <f>SUM(D95:D104)</f>
        <v>47384</v>
      </c>
      <c r="E105" s="16">
        <f>SUM(E95:E104)</f>
        <v>47384</v>
      </c>
    </row>
    <row r="106" spans="1:5">
      <c r="A106" s="11" t="s">
        <v>27</v>
      </c>
      <c r="B106" s="12"/>
      <c r="C106" s="12"/>
      <c r="D106" s="12"/>
      <c r="E106" s="12"/>
    </row>
    <row r="107" spans="1:5">
      <c r="A107" s="6" t="s">
        <v>28</v>
      </c>
      <c r="B107" s="7"/>
      <c r="C107" s="7"/>
      <c r="D107" s="7">
        <f>106585.32</f>
        <v>106585.32</v>
      </c>
      <c r="E107" s="7">
        <f>D107</f>
        <v>106585.32</v>
      </c>
    </row>
    <row r="108" spans="1:5">
      <c r="A108" s="6" t="s">
        <v>488</v>
      </c>
      <c r="B108" s="7">
        <f>13428.49-2696.64</f>
        <v>10731.85</v>
      </c>
      <c r="C108" s="7">
        <f>32756.85-9779.78</f>
        <v>22977.07</v>
      </c>
      <c r="D108" s="7">
        <f>158781.94-106585.32+1550.95</f>
        <v>53747.569999999992</v>
      </c>
      <c r="E108" s="7">
        <f>D108+2000</f>
        <v>55747.569999999992</v>
      </c>
    </row>
    <row r="109" spans="1:5">
      <c r="A109" s="6" t="s">
        <v>29</v>
      </c>
      <c r="B109" s="7"/>
      <c r="C109" s="7"/>
      <c r="D109" s="7">
        <f>536.19+9643.89+7539.17</f>
        <v>17719.25</v>
      </c>
      <c r="E109" s="7">
        <f>D109</f>
        <v>17719.25</v>
      </c>
    </row>
    <row r="110" spans="1:5">
      <c r="A110" s="6" t="s">
        <v>30</v>
      </c>
      <c r="B110" s="7"/>
      <c r="C110" s="7"/>
      <c r="D110" s="7">
        <v>3000</v>
      </c>
      <c r="E110" s="7">
        <f>D110</f>
        <v>3000</v>
      </c>
    </row>
    <row r="111" spans="1:5">
      <c r="A111" s="6" t="s">
        <v>31</v>
      </c>
      <c r="B111" s="7"/>
      <c r="C111" s="7"/>
      <c r="D111" s="7">
        <v>0</v>
      </c>
      <c r="E111" s="7">
        <v>76153</v>
      </c>
    </row>
    <row r="112" spans="1:5">
      <c r="A112" s="6" t="s">
        <v>32</v>
      </c>
      <c r="B112" s="7"/>
      <c r="C112" s="7"/>
      <c r="D112" s="7">
        <f>3602.08</f>
        <v>3602.08</v>
      </c>
      <c r="E112" s="7">
        <f t="shared" ref="E112:E121" si="2">D112</f>
        <v>3602.08</v>
      </c>
    </row>
    <row r="113" spans="1:5">
      <c r="A113" s="6" t="s">
        <v>33</v>
      </c>
      <c r="B113" s="7"/>
      <c r="C113" s="7"/>
      <c r="D113" s="7">
        <v>0</v>
      </c>
      <c r="E113" s="7">
        <f t="shared" si="2"/>
        <v>0</v>
      </c>
    </row>
    <row r="114" spans="1:5">
      <c r="A114" s="6" t="s">
        <v>34</v>
      </c>
      <c r="B114" s="7"/>
      <c r="C114" s="7"/>
      <c r="D114" s="7">
        <v>0</v>
      </c>
      <c r="E114" s="7">
        <f t="shared" si="2"/>
        <v>0</v>
      </c>
    </row>
    <row r="115" spans="1:5">
      <c r="A115" s="6" t="s">
        <v>35</v>
      </c>
      <c r="B115" s="14"/>
      <c r="C115" s="14"/>
      <c r="D115" s="14">
        <f>12700</f>
        <v>12700</v>
      </c>
      <c r="E115" s="7">
        <f t="shared" si="2"/>
        <v>12700</v>
      </c>
    </row>
    <row r="116" spans="1:5">
      <c r="A116" s="6" t="s">
        <v>36</v>
      </c>
      <c r="B116" s="7"/>
      <c r="C116" s="7"/>
      <c r="D116" s="7">
        <f>31902+28711.8</f>
        <v>60613.8</v>
      </c>
      <c r="E116" s="7">
        <f t="shared" si="2"/>
        <v>60613.8</v>
      </c>
    </row>
    <row r="117" spans="1:5">
      <c r="A117" s="6" t="s">
        <v>37</v>
      </c>
      <c r="B117" s="7"/>
      <c r="C117" s="7"/>
      <c r="D117" s="7">
        <v>16833.96</v>
      </c>
      <c r="E117" s="7">
        <f t="shared" si="2"/>
        <v>16833.96</v>
      </c>
    </row>
    <row r="118" spans="1:5">
      <c r="A118" s="6" t="s">
        <v>38</v>
      </c>
      <c r="B118" s="7"/>
      <c r="C118" s="7"/>
      <c r="D118" s="7">
        <v>19726.740000000002</v>
      </c>
      <c r="E118" s="7">
        <f t="shared" si="2"/>
        <v>19726.740000000002</v>
      </c>
    </row>
    <row r="119" spans="1:5">
      <c r="A119" s="6" t="s">
        <v>41</v>
      </c>
      <c r="B119" s="7"/>
      <c r="C119" s="7">
        <f>119.99</f>
        <v>119.99</v>
      </c>
      <c r="D119" s="7">
        <v>1492</v>
      </c>
      <c r="E119" s="7">
        <f t="shared" si="2"/>
        <v>1492</v>
      </c>
    </row>
    <row r="120" spans="1:5">
      <c r="A120" s="6" t="s">
        <v>42</v>
      </c>
      <c r="B120" s="7"/>
      <c r="C120" s="7">
        <f>4971.36</f>
        <v>4971.3599999999997</v>
      </c>
      <c r="D120" s="7">
        <v>2680</v>
      </c>
      <c r="E120" s="7">
        <f t="shared" si="2"/>
        <v>2680</v>
      </c>
    </row>
    <row r="121" spans="1:5">
      <c r="A121" s="6" t="s">
        <v>64</v>
      </c>
      <c r="B121" s="7"/>
      <c r="C121" s="7"/>
      <c r="D121" s="7">
        <f>16465</f>
        <v>16465</v>
      </c>
      <c r="E121" s="7">
        <f t="shared" si="2"/>
        <v>16465</v>
      </c>
    </row>
    <row r="122" spans="1:5">
      <c r="A122" s="645" t="s">
        <v>470</v>
      </c>
      <c r="B122" s="7">
        <f>11265.5-127.26</f>
        <v>11138.24</v>
      </c>
      <c r="C122" s="7">
        <f>4958.34+515</f>
        <v>5473.34</v>
      </c>
      <c r="D122" s="7"/>
      <c r="E122" s="7"/>
    </row>
    <row r="123" spans="1:5">
      <c r="A123" s="645" t="s">
        <v>489</v>
      </c>
      <c r="B123" s="7">
        <f>5394.66</f>
        <v>5394.66</v>
      </c>
      <c r="C123" s="7"/>
      <c r="D123" s="7"/>
      <c r="E123" s="7"/>
    </row>
    <row r="124" spans="1:5">
      <c r="A124" s="645" t="s">
        <v>471</v>
      </c>
      <c r="B124" s="7">
        <f>1834</f>
        <v>1834</v>
      </c>
      <c r="C124" s="7"/>
      <c r="D124" s="7"/>
      <c r="E124" s="7"/>
    </row>
    <row r="125" spans="1:5">
      <c r="A125" s="645" t="s">
        <v>472</v>
      </c>
      <c r="B125" s="7">
        <f>254920+109565+26500</f>
        <v>390985</v>
      </c>
      <c r="C125" s="7">
        <f>53553.9-43871.2</f>
        <v>9682.7000000000044</v>
      </c>
      <c r="D125" s="7"/>
      <c r="E125" s="7"/>
    </row>
    <row r="126" spans="1:5">
      <c r="A126" s="645" t="s">
        <v>473</v>
      </c>
      <c r="B126" s="7"/>
      <c r="C126" s="7"/>
      <c r="D126" s="7"/>
      <c r="E126" s="7"/>
    </row>
    <row r="127" spans="1:5">
      <c r="A127" s="645" t="s">
        <v>474</v>
      </c>
      <c r="B127" s="7"/>
      <c r="C127" s="7">
        <f>2499</f>
        <v>2499</v>
      </c>
      <c r="D127" s="7"/>
      <c r="E127" s="7"/>
    </row>
    <row r="128" spans="1:5">
      <c r="A128" s="645" t="s">
        <v>475</v>
      </c>
      <c r="B128" s="7"/>
      <c r="C128" s="7">
        <f>3247</f>
        <v>3247</v>
      </c>
      <c r="D128" s="7"/>
      <c r="E128" s="7"/>
    </row>
    <row r="129" spans="1:5">
      <c r="A129" s="645" t="s">
        <v>476</v>
      </c>
      <c r="B129" s="7"/>
      <c r="C129" s="7">
        <v>10265</v>
      </c>
      <c r="D129" s="7"/>
      <c r="E129" s="7"/>
    </row>
    <row r="130" spans="1:5">
      <c r="A130" s="645" t="s">
        <v>477</v>
      </c>
      <c r="B130" s="7"/>
      <c r="C130" s="7">
        <v>8776</v>
      </c>
      <c r="D130" s="7"/>
      <c r="E130" s="7"/>
    </row>
    <row r="131" spans="1:5">
      <c r="A131" s="645" t="s">
        <v>478</v>
      </c>
      <c r="B131" s="7"/>
      <c r="C131" s="7">
        <v>16500</v>
      </c>
      <c r="D131" s="7"/>
      <c r="E131" s="7"/>
    </row>
    <row r="132" spans="1:5">
      <c r="A132" s="645" t="s">
        <v>479</v>
      </c>
      <c r="B132" s="7"/>
      <c r="C132" s="7"/>
      <c r="D132" s="7"/>
      <c r="E132" s="7"/>
    </row>
    <row r="133" spans="1:5">
      <c r="A133" s="645" t="s">
        <v>480</v>
      </c>
      <c r="B133" s="7"/>
      <c r="C133" s="7">
        <v>2942</v>
      </c>
      <c r="D133" s="7"/>
      <c r="E133" s="7"/>
    </row>
    <row r="134" spans="1:5">
      <c r="A134" s="645" t="s">
        <v>481</v>
      </c>
      <c r="B134" s="7"/>
      <c r="C134" s="7">
        <v>10542</v>
      </c>
      <c r="D134" s="7"/>
      <c r="E134" s="7"/>
    </row>
    <row r="135" spans="1:5">
      <c r="A135" s="9"/>
      <c r="B135" s="7"/>
      <c r="C135" s="7"/>
      <c r="D135" s="7"/>
      <c r="E135" s="7"/>
    </row>
    <row r="136" spans="1:5" ht="15" thickBot="1">
      <c r="A136" s="17" t="s">
        <v>12</v>
      </c>
      <c r="B136" s="18">
        <f>SUM(B107:B135)</f>
        <v>420083.75</v>
      </c>
      <c r="C136" s="18">
        <f>SUM(C107:C135)</f>
        <v>97995.46</v>
      </c>
      <c r="D136" s="18">
        <f>SUM(D107:D135)</f>
        <v>315165.72000000003</v>
      </c>
      <c r="E136" s="18">
        <f>SUM(E107:E135)</f>
        <v>393318.72000000003</v>
      </c>
    </row>
    <row r="137" spans="1:5" ht="15.6" thickTop="1" thickBot="1">
      <c r="A137" s="19" t="s">
        <v>2</v>
      </c>
      <c r="B137" s="20">
        <f>B33+B93+B105+B136</f>
        <v>1093664.9300000002</v>
      </c>
      <c r="C137" s="20">
        <f>C33+C93+C105+C136</f>
        <v>376355.14</v>
      </c>
      <c r="D137" s="20">
        <f>D33+D93+D105+D136</f>
        <v>939035.17000000016</v>
      </c>
      <c r="E137" s="20">
        <f>E33+E93+E105+E136</f>
        <v>1081660.17</v>
      </c>
    </row>
  </sheetData>
  <mergeCells count="2">
    <mergeCell ref="A1:E1"/>
    <mergeCell ref="A2:E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election sqref="A1:L1"/>
    </sheetView>
  </sheetViews>
  <sheetFormatPr defaultRowHeight="14.4"/>
  <cols>
    <col min="1" max="1" width="38.77734375" customWidth="1"/>
    <col min="2" max="12" width="12.77734375" customWidth="1"/>
  </cols>
  <sheetData>
    <row r="1" spans="1:19">
      <c r="A1" s="763" t="s">
        <v>39</v>
      </c>
      <c r="B1" s="763"/>
      <c r="C1" s="763"/>
      <c r="D1" s="763"/>
      <c r="E1" s="763"/>
      <c r="F1" s="763"/>
      <c r="G1" s="763"/>
      <c r="H1" s="763"/>
      <c r="I1" s="763"/>
      <c r="J1" s="763"/>
      <c r="K1" s="763"/>
      <c r="L1" s="763"/>
      <c r="M1" s="567"/>
      <c r="N1" s="567"/>
      <c r="O1" s="567"/>
      <c r="P1" s="567"/>
      <c r="Q1" s="567"/>
      <c r="R1" s="567"/>
      <c r="S1" s="567"/>
    </row>
    <row r="2" spans="1:19">
      <c r="A2" s="763" t="s">
        <v>529</v>
      </c>
      <c r="B2" s="763"/>
      <c r="C2" s="763"/>
      <c r="D2" s="763"/>
      <c r="E2" s="763"/>
      <c r="F2" s="763"/>
      <c r="G2" s="763"/>
      <c r="H2" s="763"/>
      <c r="I2" s="763"/>
      <c r="J2" s="763"/>
      <c r="K2" s="763"/>
      <c r="L2" s="763"/>
      <c r="M2" s="567"/>
      <c r="N2" s="567"/>
      <c r="O2" s="567"/>
      <c r="P2" s="567"/>
      <c r="Q2" s="567"/>
      <c r="R2" s="567"/>
      <c r="S2" s="567"/>
    </row>
    <row r="4" spans="1:19">
      <c r="A4" s="763" t="s">
        <v>559</v>
      </c>
      <c r="B4" s="763"/>
      <c r="C4" s="763"/>
      <c r="D4" s="763"/>
      <c r="E4" s="763"/>
      <c r="F4" s="763"/>
      <c r="G4" s="763"/>
      <c r="H4" s="763"/>
      <c r="I4" s="763"/>
      <c r="J4" s="763"/>
      <c r="K4" s="763"/>
      <c r="L4" s="763"/>
    </row>
    <row r="5" spans="1:19" ht="28.8">
      <c r="A5" s="651"/>
      <c r="B5" s="652" t="s">
        <v>530</v>
      </c>
      <c r="C5" s="652">
        <v>2016</v>
      </c>
      <c r="D5" s="652">
        <v>2017</v>
      </c>
      <c r="E5" s="652">
        <v>2018</v>
      </c>
      <c r="F5" s="652" t="s">
        <v>556</v>
      </c>
      <c r="G5" s="652">
        <v>2019</v>
      </c>
      <c r="H5" s="652" t="s">
        <v>555</v>
      </c>
      <c r="I5" s="652">
        <v>2020</v>
      </c>
      <c r="J5" s="652" t="s">
        <v>554</v>
      </c>
      <c r="K5" s="652">
        <v>2021</v>
      </c>
      <c r="L5" s="652">
        <v>2022</v>
      </c>
    </row>
    <row r="6" spans="1:19">
      <c r="A6" s="653"/>
      <c r="B6" s="658"/>
      <c r="C6" s="656"/>
      <c r="D6" s="658"/>
      <c r="E6" s="656"/>
      <c r="F6" s="658"/>
      <c r="G6" s="658"/>
      <c r="H6" s="656"/>
      <c r="I6" s="658"/>
      <c r="J6" s="656"/>
      <c r="K6" s="658"/>
      <c r="L6" s="657"/>
    </row>
    <row r="7" spans="1:19">
      <c r="A7" s="654" t="s">
        <v>531</v>
      </c>
      <c r="B7" s="669"/>
      <c r="C7" s="670"/>
      <c r="D7" s="669"/>
      <c r="E7" s="670"/>
      <c r="F7" s="669"/>
      <c r="G7" s="669"/>
      <c r="H7" s="670"/>
      <c r="I7" s="669"/>
      <c r="J7" s="670"/>
      <c r="K7" s="669"/>
      <c r="L7" s="671"/>
    </row>
    <row r="8" spans="1:19">
      <c r="A8" s="654" t="s">
        <v>532</v>
      </c>
      <c r="B8" s="666">
        <v>30265128</v>
      </c>
      <c r="C8" s="667">
        <v>12684917</v>
      </c>
      <c r="D8" s="666">
        <v>13833139</v>
      </c>
      <c r="E8" s="667">
        <v>15197310</v>
      </c>
      <c r="F8" s="666">
        <f>(15942839*2+1093665-277695)/2</f>
        <v>16350824</v>
      </c>
      <c r="G8" s="666">
        <v>16364217</v>
      </c>
      <c r="H8" s="667">
        <f>(16758809+17161951)/2</f>
        <v>16960380</v>
      </c>
      <c r="I8" s="666">
        <v>16989599</v>
      </c>
      <c r="J8" s="667">
        <f>(18197810+17161951)/2</f>
        <v>17679880.5</v>
      </c>
      <c r="K8" s="667">
        <v>17724210</v>
      </c>
      <c r="L8" s="666">
        <v>19205663</v>
      </c>
    </row>
    <row r="9" spans="1:19">
      <c r="A9" s="683" t="s">
        <v>533</v>
      </c>
      <c r="B9" s="684">
        <v>-20539657</v>
      </c>
      <c r="C9" s="685">
        <v>-2746384</v>
      </c>
      <c r="D9" s="684">
        <v>-3600161</v>
      </c>
      <c r="E9" s="685">
        <v>-4448158</v>
      </c>
      <c r="F9" s="684">
        <f>-(4865487+(927291-277695)/12*11+4865487)/2</f>
        <v>-5163218.5</v>
      </c>
      <c r="G9" s="684">
        <v>-5190285</v>
      </c>
      <c r="H9" s="685">
        <f>-(5515083*2+878121/12*11)/2</f>
        <v>-5917555.125</v>
      </c>
      <c r="I9" s="684">
        <v>-5882601</v>
      </c>
      <c r="J9" s="685">
        <f>-(6250119*2+872625/12*11)/2</f>
        <v>-6650072.125</v>
      </c>
      <c r="K9" s="684">
        <v>-6686437</v>
      </c>
      <c r="L9" s="686">
        <v>-7678773</v>
      </c>
    </row>
    <row r="10" spans="1:19">
      <c r="A10" s="655" t="s">
        <v>534</v>
      </c>
      <c r="B10" s="687">
        <f t="shared" ref="B10:L10" si="0">SUM(B8:B9)</f>
        <v>9725471</v>
      </c>
      <c r="C10" s="687">
        <f t="shared" si="0"/>
        <v>9938533</v>
      </c>
      <c r="D10" s="687">
        <f t="shared" si="0"/>
        <v>10232978</v>
      </c>
      <c r="E10" s="687">
        <f t="shared" si="0"/>
        <v>10749152</v>
      </c>
      <c r="F10" s="687">
        <f t="shared" si="0"/>
        <v>11187605.5</v>
      </c>
      <c r="G10" s="687">
        <f t="shared" si="0"/>
        <v>11173932</v>
      </c>
      <c r="H10" s="687">
        <f t="shared" si="0"/>
        <v>11042824.875</v>
      </c>
      <c r="I10" s="687">
        <f t="shared" si="0"/>
        <v>11106998</v>
      </c>
      <c r="J10" s="687">
        <f t="shared" si="0"/>
        <v>11029808.375</v>
      </c>
      <c r="K10" s="687">
        <f t="shared" si="0"/>
        <v>11037773</v>
      </c>
      <c r="L10" s="687">
        <f t="shared" si="0"/>
        <v>11526890</v>
      </c>
    </row>
    <row r="11" spans="1:19">
      <c r="A11" s="654" t="s">
        <v>535</v>
      </c>
      <c r="B11" s="702">
        <f>B25</f>
        <v>2076814</v>
      </c>
      <c r="C11" s="702">
        <f t="shared" ref="C11:L11" si="1">C25</f>
        <v>2073726</v>
      </c>
      <c r="D11" s="702">
        <f t="shared" si="1"/>
        <v>1932615</v>
      </c>
      <c r="E11" s="702">
        <f t="shared" si="1"/>
        <v>1828968</v>
      </c>
      <c r="F11" s="702">
        <f t="shared" si="1"/>
        <v>1702857</v>
      </c>
      <c r="G11" s="702">
        <f t="shared" si="1"/>
        <v>1825450</v>
      </c>
      <c r="H11" s="702">
        <f t="shared" si="1"/>
        <v>1976922</v>
      </c>
      <c r="I11" s="702">
        <f t="shared" si="1"/>
        <v>2183328</v>
      </c>
      <c r="J11" s="702">
        <f t="shared" si="1"/>
        <v>1812318</v>
      </c>
      <c r="K11" s="702">
        <f t="shared" si="1"/>
        <v>1779541</v>
      </c>
      <c r="L11" s="702">
        <f t="shared" si="1"/>
        <v>1755507</v>
      </c>
    </row>
    <row r="12" spans="1:19">
      <c r="A12" s="655" t="s">
        <v>536</v>
      </c>
      <c r="B12" s="688">
        <f>B10+B11</f>
        <v>11802285</v>
      </c>
      <c r="C12" s="688">
        <f t="shared" ref="C12:L12" si="2">C10+C11</f>
        <v>12012259</v>
      </c>
      <c r="D12" s="688">
        <f t="shared" si="2"/>
        <v>12165593</v>
      </c>
      <c r="E12" s="688">
        <f t="shared" si="2"/>
        <v>12578120</v>
      </c>
      <c r="F12" s="688">
        <f t="shared" si="2"/>
        <v>12890462.5</v>
      </c>
      <c r="G12" s="688">
        <f t="shared" si="2"/>
        <v>12999382</v>
      </c>
      <c r="H12" s="688">
        <f t="shared" si="2"/>
        <v>13019746.875</v>
      </c>
      <c r="I12" s="688">
        <f t="shared" si="2"/>
        <v>13290326</v>
      </c>
      <c r="J12" s="688">
        <f t="shared" si="2"/>
        <v>12842126.375</v>
      </c>
      <c r="K12" s="688">
        <f t="shared" si="2"/>
        <v>12817314</v>
      </c>
      <c r="L12" s="688">
        <f t="shared" si="2"/>
        <v>13282397</v>
      </c>
    </row>
    <row r="14" spans="1:19">
      <c r="A14" s="689" t="s">
        <v>537</v>
      </c>
      <c r="B14" s="684"/>
      <c r="C14" s="685"/>
      <c r="D14" s="684"/>
      <c r="E14" s="685"/>
      <c r="F14" s="684"/>
      <c r="G14" s="684"/>
      <c r="H14" s="685"/>
      <c r="I14" s="684"/>
      <c r="J14" s="685"/>
      <c r="K14" s="684"/>
      <c r="L14" s="686"/>
    </row>
    <row r="15" spans="1:19">
      <c r="A15" s="689" t="s">
        <v>538</v>
      </c>
      <c r="B15" s="690">
        <v>572467</v>
      </c>
      <c r="C15" s="691">
        <v>630729</v>
      </c>
      <c r="D15" s="690">
        <v>565513</v>
      </c>
      <c r="E15" s="691">
        <v>484252</v>
      </c>
      <c r="F15" s="690">
        <v>396469.93000000005</v>
      </c>
      <c r="G15" s="690">
        <v>513327</v>
      </c>
      <c r="H15" s="691">
        <v>563885.28</v>
      </c>
      <c r="I15" s="690">
        <v>785741</v>
      </c>
      <c r="J15" s="691">
        <v>484109.86000000004</v>
      </c>
      <c r="K15" s="690">
        <v>815322</v>
      </c>
      <c r="L15" s="692">
        <v>901091</v>
      </c>
    </row>
    <row r="16" spans="1:19">
      <c r="A16" s="689" t="s">
        <v>539</v>
      </c>
      <c r="B16" s="684">
        <v>728123</v>
      </c>
      <c r="C16" s="685">
        <v>613081</v>
      </c>
      <c r="D16" s="684">
        <v>692292</v>
      </c>
      <c r="E16" s="685">
        <v>500384</v>
      </c>
      <c r="F16" s="684">
        <v>600834.30000000005</v>
      </c>
      <c r="G16" s="684">
        <v>645567</v>
      </c>
      <c r="H16" s="685">
        <v>478533.52999999997</v>
      </c>
      <c r="I16" s="684">
        <v>501236</v>
      </c>
      <c r="J16" s="685">
        <v>580037.48</v>
      </c>
      <c r="K16" s="684">
        <v>562975</v>
      </c>
      <c r="L16" s="686">
        <v>576747</v>
      </c>
    </row>
    <row r="17" spans="1:12">
      <c r="A17" s="689" t="s">
        <v>540</v>
      </c>
      <c r="B17" s="666">
        <v>733000</v>
      </c>
      <c r="C17" s="695">
        <v>747071</v>
      </c>
      <c r="D17" s="696">
        <v>804067</v>
      </c>
      <c r="E17" s="695">
        <v>668041</v>
      </c>
      <c r="F17" s="696">
        <v>611084.69000000018</v>
      </c>
      <c r="G17" s="696">
        <v>748224</v>
      </c>
      <c r="H17" s="695">
        <v>788280.83000000007</v>
      </c>
      <c r="I17" s="696">
        <v>837380</v>
      </c>
      <c r="J17" s="695">
        <v>649268.66999999993</v>
      </c>
      <c r="K17" s="696">
        <v>951322</v>
      </c>
      <c r="L17" s="697">
        <v>962860</v>
      </c>
    </row>
    <row r="18" spans="1:12">
      <c r="A18" s="689" t="s">
        <v>541</v>
      </c>
      <c r="B18" s="669">
        <v>67000</v>
      </c>
      <c r="C18" s="670">
        <v>55936</v>
      </c>
      <c r="D18" s="669">
        <v>79674</v>
      </c>
      <c r="E18" s="670">
        <v>71838</v>
      </c>
      <c r="F18" s="669">
        <v>54055.479999999996</v>
      </c>
      <c r="G18" s="669">
        <v>64147</v>
      </c>
      <c r="H18" s="670">
        <v>28313.879999999997</v>
      </c>
      <c r="I18" s="669">
        <v>30338</v>
      </c>
      <c r="J18" s="670">
        <v>19767.939999999999</v>
      </c>
      <c r="K18" s="698">
        <v>41362</v>
      </c>
      <c r="L18" s="699">
        <v>42318</v>
      </c>
    </row>
    <row r="19" spans="1:12">
      <c r="A19" s="689" t="s">
        <v>542</v>
      </c>
      <c r="B19" s="690">
        <v>964375</v>
      </c>
      <c r="C19" s="691">
        <v>886993</v>
      </c>
      <c r="D19" s="690">
        <v>1121542</v>
      </c>
      <c r="E19" s="691">
        <v>1076915</v>
      </c>
      <c r="F19" s="690">
        <v>1113725.18</v>
      </c>
      <c r="G19" s="690">
        <v>1235810</v>
      </c>
      <c r="H19" s="691">
        <v>1110522.3800000001</v>
      </c>
      <c r="I19" s="690">
        <v>1203797</v>
      </c>
      <c r="J19" s="691">
        <v>1188099.27</v>
      </c>
      <c r="K19" s="690">
        <v>1158155</v>
      </c>
      <c r="L19" s="692">
        <v>1225378</v>
      </c>
    </row>
    <row r="20" spans="1:12">
      <c r="B20" s="684"/>
      <c r="C20" s="685"/>
      <c r="D20" s="684"/>
      <c r="E20" s="685"/>
      <c r="F20" s="684"/>
      <c r="G20" s="684"/>
      <c r="H20" s="685"/>
      <c r="I20" s="684"/>
      <c r="J20" s="685"/>
      <c r="K20" s="684"/>
      <c r="L20" s="686"/>
    </row>
    <row r="21" spans="1:12">
      <c r="A21" s="694" t="s">
        <v>543</v>
      </c>
      <c r="B21" s="690">
        <f>SUM(B15:B19)</f>
        <v>3064965</v>
      </c>
      <c r="C21" s="690">
        <f t="shared" ref="C21:L21" si="3">SUM(C15:C19)</f>
        <v>2933810</v>
      </c>
      <c r="D21" s="690">
        <f t="shared" si="3"/>
        <v>3263088</v>
      </c>
      <c r="E21" s="690">
        <f t="shared" si="3"/>
        <v>2801430</v>
      </c>
      <c r="F21" s="690">
        <f t="shared" si="3"/>
        <v>2776169.58</v>
      </c>
      <c r="G21" s="690">
        <f t="shared" si="3"/>
        <v>3207075</v>
      </c>
      <c r="H21" s="690">
        <f t="shared" si="3"/>
        <v>2969535.9000000004</v>
      </c>
      <c r="I21" s="690">
        <f t="shared" si="3"/>
        <v>3358492</v>
      </c>
      <c r="J21" s="690">
        <f t="shared" si="3"/>
        <v>2921283.2199999997</v>
      </c>
      <c r="K21" s="690">
        <f t="shared" si="3"/>
        <v>3529136</v>
      </c>
      <c r="L21" s="690">
        <f t="shared" si="3"/>
        <v>3708394</v>
      </c>
    </row>
    <row r="22" spans="1:12">
      <c r="A22" s="689" t="s">
        <v>544</v>
      </c>
      <c r="B22" s="684">
        <v>24625882</v>
      </c>
      <c r="C22" s="685">
        <v>24715874</v>
      </c>
      <c r="D22" s="684">
        <v>22505110</v>
      </c>
      <c r="E22" s="685">
        <v>21584813</v>
      </c>
      <c r="F22" s="684">
        <v>19928593</v>
      </c>
      <c r="G22" s="684">
        <v>21132260</v>
      </c>
      <c r="H22" s="685">
        <v>23389424</v>
      </c>
      <c r="I22" s="684">
        <v>25752551</v>
      </c>
      <c r="J22" s="685">
        <v>21242953</v>
      </c>
      <c r="K22" s="684">
        <v>20198073</v>
      </c>
      <c r="L22" s="686">
        <v>19698362</v>
      </c>
    </row>
    <row r="23" spans="1:12">
      <c r="A23" s="694" t="s">
        <v>545</v>
      </c>
      <c r="B23" s="693">
        <f>SUM(B21:B22)</f>
        <v>27690847</v>
      </c>
      <c r="C23" s="693">
        <f t="shared" ref="C23:L23" si="4">SUM(C21:C22)</f>
        <v>27649684</v>
      </c>
      <c r="D23" s="693">
        <f t="shared" si="4"/>
        <v>25768198</v>
      </c>
      <c r="E23" s="693">
        <f t="shared" si="4"/>
        <v>24386243</v>
      </c>
      <c r="F23" s="693">
        <f t="shared" si="4"/>
        <v>22704762.579999998</v>
      </c>
      <c r="G23" s="693">
        <f t="shared" si="4"/>
        <v>24339335</v>
      </c>
      <c r="H23" s="693">
        <f t="shared" si="4"/>
        <v>26358959.899999999</v>
      </c>
      <c r="I23" s="693">
        <f t="shared" si="4"/>
        <v>29111043</v>
      </c>
      <c r="J23" s="693">
        <f t="shared" si="4"/>
        <v>24164236.219999999</v>
      </c>
      <c r="K23" s="693">
        <f t="shared" si="4"/>
        <v>23727209</v>
      </c>
      <c r="L23" s="693">
        <f t="shared" si="4"/>
        <v>23406756</v>
      </c>
    </row>
    <row r="24" spans="1:12">
      <c r="A24" s="689" t="s">
        <v>546</v>
      </c>
      <c r="B24" s="700">
        <v>7.4999999999999997E-2</v>
      </c>
      <c r="C24" s="700">
        <v>7.4999999999999997E-2</v>
      </c>
      <c r="D24" s="700">
        <v>7.4999999999999997E-2</v>
      </c>
      <c r="E24" s="700">
        <v>7.4999999999999997E-2</v>
      </c>
      <c r="F24" s="700">
        <v>7.4999999999999997E-2</v>
      </c>
      <c r="G24" s="700">
        <v>7.4999999999999997E-2</v>
      </c>
      <c r="H24" s="700">
        <v>7.4999999999999997E-2</v>
      </c>
      <c r="I24" s="700">
        <v>7.4999999999999997E-2</v>
      </c>
      <c r="J24" s="700">
        <v>7.4999999999999997E-2</v>
      </c>
      <c r="K24" s="700">
        <v>7.4999999999999997E-2</v>
      </c>
      <c r="L24" s="700">
        <v>7.4999999999999997E-2</v>
      </c>
    </row>
    <row r="25" spans="1:12">
      <c r="A25" s="694" t="s">
        <v>547</v>
      </c>
      <c r="B25" s="693">
        <f>ROUND(B23*B24,0)</f>
        <v>2076814</v>
      </c>
      <c r="C25" s="693">
        <f t="shared" ref="C25:L25" si="5">ROUND(C23*C24,0)</f>
        <v>2073726</v>
      </c>
      <c r="D25" s="693">
        <f t="shared" si="5"/>
        <v>1932615</v>
      </c>
      <c r="E25" s="693">
        <f t="shared" si="5"/>
        <v>1828968</v>
      </c>
      <c r="F25" s="701">
        <f t="shared" si="5"/>
        <v>1702857</v>
      </c>
      <c r="G25" s="693">
        <f t="shared" si="5"/>
        <v>1825450</v>
      </c>
      <c r="H25" s="701">
        <f t="shared" si="5"/>
        <v>1976922</v>
      </c>
      <c r="I25" s="693">
        <f t="shared" si="5"/>
        <v>2183328</v>
      </c>
      <c r="J25" s="701">
        <f t="shared" si="5"/>
        <v>1812318</v>
      </c>
      <c r="K25" s="693">
        <f t="shared" si="5"/>
        <v>1779541</v>
      </c>
      <c r="L25" s="693">
        <f t="shared" si="5"/>
        <v>1755507</v>
      </c>
    </row>
    <row r="27" spans="1:12">
      <c r="A27" t="s">
        <v>548</v>
      </c>
      <c r="B27" s="703" t="s">
        <v>553</v>
      </c>
      <c r="C27" s="703"/>
      <c r="D27" s="703"/>
      <c r="E27" s="703"/>
      <c r="F27" s="703"/>
      <c r="G27" s="703"/>
      <c r="H27" s="703"/>
      <c r="I27" s="703"/>
      <c r="J27" s="703"/>
      <c r="K27" s="703"/>
      <c r="L27" s="703"/>
    </row>
    <row r="28" spans="1:12">
      <c r="A28" t="s">
        <v>549</v>
      </c>
      <c r="B28" t="s">
        <v>550</v>
      </c>
    </row>
    <row r="29" spans="1:12">
      <c r="A29" t="s">
        <v>551</v>
      </c>
      <c r="B29" t="s">
        <v>552</v>
      </c>
    </row>
    <row r="30" spans="1:12">
      <c r="A30" t="s">
        <v>557</v>
      </c>
      <c r="B30" t="s">
        <v>558</v>
      </c>
    </row>
  </sheetData>
  <mergeCells count="3">
    <mergeCell ref="A1:L1"/>
    <mergeCell ref="A2:L2"/>
    <mergeCell ref="A4:L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workbookViewId="0">
      <selection sqref="A1:L1"/>
    </sheetView>
  </sheetViews>
  <sheetFormatPr defaultRowHeight="14.4"/>
  <cols>
    <col min="1" max="1" width="20.6640625" customWidth="1"/>
    <col min="2" max="12" width="12.77734375" customWidth="1"/>
  </cols>
  <sheetData>
    <row r="1" spans="1:19">
      <c r="A1" s="763" t="s">
        <v>39</v>
      </c>
      <c r="B1" s="763"/>
      <c r="C1" s="763"/>
      <c r="D1" s="763"/>
      <c r="E1" s="763"/>
      <c r="F1" s="763"/>
      <c r="G1" s="763"/>
      <c r="H1" s="763"/>
      <c r="I1" s="763"/>
      <c r="J1" s="763"/>
      <c r="K1" s="763"/>
      <c r="L1" s="763"/>
      <c r="M1" s="567"/>
      <c r="N1" s="567"/>
      <c r="O1" s="567"/>
      <c r="P1" s="567"/>
      <c r="Q1" s="567"/>
      <c r="R1" s="567"/>
      <c r="S1" s="567"/>
    </row>
    <row r="2" spans="1:19">
      <c r="A2" s="763" t="s">
        <v>529</v>
      </c>
      <c r="B2" s="763"/>
      <c r="C2" s="763"/>
      <c r="D2" s="763"/>
      <c r="E2" s="763"/>
      <c r="F2" s="763"/>
      <c r="G2" s="763"/>
      <c r="H2" s="763"/>
      <c r="I2" s="763"/>
      <c r="J2" s="763"/>
      <c r="K2" s="763"/>
      <c r="L2" s="763"/>
      <c r="M2" s="567"/>
      <c r="N2" s="567"/>
      <c r="O2" s="567"/>
      <c r="P2" s="567"/>
      <c r="Q2" s="567"/>
      <c r="R2" s="567"/>
      <c r="S2" s="567"/>
    </row>
    <row r="4" spans="1:19">
      <c r="A4" s="763" t="s">
        <v>521</v>
      </c>
      <c r="B4" s="763"/>
      <c r="C4" s="763"/>
      <c r="D4" s="763"/>
      <c r="E4" s="763"/>
      <c r="F4" s="763"/>
      <c r="G4" s="763"/>
      <c r="H4" s="763"/>
      <c r="I4" s="763"/>
      <c r="J4" s="763"/>
      <c r="K4" s="763"/>
      <c r="L4" s="763"/>
    </row>
    <row r="5" spans="1:19" ht="28.8">
      <c r="A5" s="651"/>
      <c r="B5" s="652" t="s">
        <v>530</v>
      </c>
      <c r="C5" s="652">
        <v>2016</v>
      </c>
      <c r="D5" s="652">
        <v>2017</v>
      </c>
      <c r="E5" s="652">
        <v>2018</v>
      </c>
      <c r="F5" s="652" t="s">
        <v>518</v>
      </c>
      <c r="G5" s="652">
        <v>2019</v>
      </c>
      <c r="H5" s="652" t="s">
        <v>519</v>
      </c>
      <c r="I5" s="652">
        <v>2020</v>
      </c>
      <c r="J5" s="652" t="s">
        <v>520</v>
      </c>
      <c r="K5" s="652">
        <v>2021</v>
      </c>
      <c r="L5" s="652">
        <v>2022</v>
      </c>
    </row>
    <row r="6" spans="1:19">
      <c r="A6" s="653"/>
      <c r="B6" s="658"/>
      <c r="C6" s="656"/>
      <c r="D6" s="658"/>
      <c r="E6" s="656"/>
      <c r="F6" s="658"/>
      <c r="G6" s="658"/>
      <c r="H6" s="656"/>
      <c r="I6" s="658"/>
      <c r="J6" s="656"/>
      <c r="K6" s="658"/>
      <c r="L6" s="657"/>
    </row>
    <row r="7" spans="1:19">
      <c r="A7" s="654" t="s">
        <v>522</v>
      </c>
      <c r="B7" s="669">
        <v>529246</v>
      </c>
      <c r="C7" s="670">
        <v>630729</v>
      </c>
      <c r="D7" s="669">
        <v>565513</v>
      </c>
      <c r="E7" s="670">
        <v>484252</v>
      </c>
      <c r="F7" s="669">
        <f>'4-Staff-30'!B23</f>
        <v>396469.93000000005</v>
      </c>
      <c r="G7" s="669">
        <v>513327</v>
      </c>
      <c r="H7" s="670">
        <f>'4-Staff-30'!C23</f>
        <v>563885.28</v>
      </c>
      <c r="I7" s="669">
        <v>785741</v>
      </c>
      <c r="J7" s="670">
        <f>'4-Staff-30'!D23</f>
        <v>484109.86000000004</v>
      </c>
      <c r="K7" s="669">
        <v>815322</v>
      </c>
      <c r="L7" s="671">
        <v>901091</v>
      </c>
    </row>
    <row r="8" spans="1:19">
      <c r="A8" s="654" t="s">
        <v>523</v>
      </c>
      <c r="B8" s="666">
        <v>673343</v>
      </c>
      <c r="C8" s="667">
        <v>613081</v>
      </c>
      <c r="D8" s="666">
        <v>692292</v>
      </c>
      <c r="E8" s="667">
        <v>500384</v>
      </c>
      <c r="F8" s="666">
        <f>'4-Staff-30'!B37</f>
        <v>600834.30000000005</v>
      </c>
      <c r="G8" s="666">
        <v>645567</v>
      </c>
      <c r="H8" s="667">
        <f>'4-Staff-30'!C37</f>
        <v>478533.52999999997</v>
      </c>
      <c r="I8" s="666">
        <v>501236</v>
      </c>
      <c r="J8" s="667">
        <f>'4-Staff-30'!D37</f>
        <v>580037.48</v>
      </c>
      <c r="K8" s="666">
        <v>562975</v>
      </c>
      <c r="L8" s="668">
        <v>576747</v>
      </c>
    </row>
    <row r="9" spans="1:19">
      <c r="A9" s="655" t="s">
        <v>304</v>
      </c>
      <c r="B9" s="672">
        <f>SUM(B7:B8)</f>
        <v>1202589</v>
      </c>
      <c r="C9" s="673">
        <f t="shared" ref="C9:L9" si="0">SUM(C7:C8)</f>
        <v>1243810</v>
      </c>
      <c r="D9" s="672">
        <f t="shared" si="0"/>
        <v>1257805</v>
      </c>
      <c r="E9" s="673">
        <f t="shared" si="0"/>
        <v>984636</v>
      </c>
      <c r="F9" s="672">
        <f t="shared" si="0"/>
        <v>997304.2300000001</v>
      </c>
      <c r="G9" s="672">
        <f t="shared" si="0"/>
        <v>1158894</v>
      </c>
      <c r="H9" s="673">
        <f t="shared" si="0"/>
        <v>1042418.81</v>
      </c>
      <c r="I9" s="672">
        <f t="shared" si="0"/>
        <v>1286977</v>
      </c>
      <c r="J9" s="673">
        <f t="shared" si="0"/>
        <v>1064147.3400000001</v>
      </c>
      <c r="K9" s="672">
        <f t="shared" si="0"/>
        <v>1378297</v>
      </c>
      <c r="L9" s="674">
        <f t="shared" si="0"/>
        <v>1477838</v>
      </c>
    </row>
    <row r="10" spans="1:19" ht="28.8">
      <c r="A10" s="654" t="s">
        <v>524</v>
      </c>
      <c r="B10" s="662"/>
      <c r="C10" s="663">
        <f>C9/B9-1</f>
        <v>3.4276880962656353E-2</v>
      </c>
      <c r="D10" s="664">
        <f t="shared" ref="D10:L10" si="1">D9/C9-1</f>
        <v>1.1251718510061792E-2</v>
      </c>
      <c r="E10" s="663">
        <f t="shared" si="1"/>
        <v>-0.21717913349048545</v>
      </c>
      <c r="F10" s="664"/>
      <c r="G10" s="664">
        <f>G9/E9-1</f>
        <v>0.17697707579247557</v>
      </c>
      <c r="H10" s="663">
        <f>H9/F9-1</f>
        <v>4.5236527273126992E-2</v>
      </c>
      <c r="I10" s="664">
        <f>I9/G9-1</f>
        <v>0.11052175608813219</v>
      </c>
      <c r="J10" s="663">
        <f>J9/H9-1</f>
        <v>2.0844337987339312E-2</v>
      </c>
      <c r="K10" s="664">
        <f>K9/I9-1</f>
        <v>7.0956979029151324E-2</v>
      </c>
      <c r="L10" s="665">
        <f t="shared" si="1"/>
        <v>7.2220283436733812E-2</v>
      </c>
    </row>
    <row r="11" spans="1:19" ht="43.2">
      <c r="A11" s="654" t="s">
        <v>525</v>
      </c>
      <c r="B11" s="675"/>
      <c r="C11" s="676"/>
      <c r="D11" s="675"/>
      <c r="E11" s="676"/>
      <c r="F11" s="675"/>
      <c r="G11" s="675"/>
      <c r="H11" s="676"/>
      <c r="I11" s="675"/>
      <c r="J11" s="676"/>
      <c r="K11" s="677">
        <f>K9/B9-1</f>
        <v>0.14610810509658734</v>
      </c>
      <c r="L11" s="678">
        <f>L9/B9-1</f>
        <v>0.22888035729580092</v>
      </c>
    </row>
    <row r="12" spans="1:19">
      <c r="A12" s="654" t="s">
        <v>526</v>
      </c>
      <c r="B12" s="666">
        <v>733000</v>
      </c>
      <c r="C12" s="667">
        <v>747071</v>
      </c>
      <c r="D12" s="666">
        <v>804067</v>
      </c>
      <c r="E12" s="667">
        <v>668041</v>
      </c>
      <c r="F12" s="666">
        <f>'4-Staff-30'!B47</f>
        <v>611084.69000000018</v>
      </c>
      <c r="G12" s="666">
        <v>748224</v>
      </c>
      <c r="H12" s="667">
        <f>'4-Staff-30'!C47</f>
        <v>788280.83000000007</v>
      </c>
      <c r="I12" s="666">
        <v>837380</v>
      </c>
      <c r="J12" s="667">
        <f>'4-Staff-30'!D47</f>
        <v>649268.66999999993</v>
      </c>
      <c r="K12" s="666">
        <v>951322</v>
      </c>
      <c r="L12" s="668">
        <v>962860</v>
      </c>
    </row>
    <row r="13" spans="1:19">
      <c r="A13" s="654" t="s">
        <v>527</v>
      </c>
      <c r="B13" s="669">
        <v>67000</v>
      </c>
      <c r="C13" s="670">
        <v>55936</v>
      </c>
      <c r="D13" s="669">
        <v>79674</v>
      </c>
      <c r="E13" s="670">
        <v>71838</v>
      </c>
      <c r="F13" s="669">
        <f>'4-Staff-30'!B52</f>
        <v>54055.479999999996</v>
      </c>
      <c r="G13" s="669">
        <v>64147</v>
      </c>
      <c r="H13" s="670">
        <f>'4-Staff-30'!C52</f>
        <v>28313.879999999997</v>
      </c>
      <c r="I13" s="669">
        <v>30338</v>
      </c>
      <c r="J13" s="670">
        <f>'4-Staff-30'!D52</f>
        <v>19767.939999999999</v>
      </c>
      <c r="K13" s="669">
        <v>41362</v>
      </c>
      <c r="L13" s="671">
        <v>42318</v>
      </c>
    </row>
    <row r="14" spans="1:19" ht="28.8">
      <c r="A14" s="654" t="s">
        <v>528</v>
      </c>
      <c r="B14" s="666">
        <v>1062375</v>
      </c>
      <c r="C14" s="667">
        <v>886993</v>
      </c>
      <c r="D14" s="666">
        <v>1121542</v>
      </c>
      <c r="E14" s="667">
        <v>1076915</v>
      </c>
      <c r="F14" s="666">
        <f>'4-Staff-30'!B67</f>
        <v>1113725.18</v>
      </c>
      <c r="G14" s="666">
        <v>1235810</v>
      </c>
      <c r="H14" s="667">
        <f>'4-Staff-30'!C67</f>
        <v>1110522.3800000001</v>
      </c>
      <c r="I14" s="666">
        <v>1203797</v>
      </c>
      <c r="J14" s="667">
        <f>'4-Staff-30'!D67</f>
        <v>1188099.27</v>
      </c>
      <c r="K14" s="666">
        <v>1158155</v>
      </c>
      <c r="L14" s="668">
        <v>1225378</v>
      </c>
    </row>
    <row r="15" spans="1:19">
      <c r="A15" s="655" t="s">
        <v>304</v>
      </c>
      <c r="B15" s="672">
        <f>SUM(B12:B14)</f>
        <v>1862375</v>
      </c>
      <c r="C15" s="673">
        <f t="shared" ref="C15:L15" si="2">SUM(C12:C14)</f>
        <v>1690000</v>
      </c>
      <c r="D15" s="672">
        <f t="shared" si="2"/>
        <v>2005283</v>
      </c>
      <c r="E15" s="673">
        <f t="shared" si="2"/>
        <v>1816794</v>
      </c>
      <c r="F15" s="672">
        <f t="shared" si="2"/>
        <v>1778865.35</v>
      </c>
      <c r="G15" s="672">
        <f t="shared" si="2"/>
        <v>2048181</v>
      </c>
      <c r="H15" s="673">
        <f t="shared" si="2"/>
        <v>1927117.0900000003</v>
      </c>
      <c r="I15" s="672">
        <f t="shared" si="2"/>
        <v>2071515</v>
      </c>
      <c r="J15" s="673">
        <f t="shared" si="2"/>
        <v>1857135.88</v>
      </c>
      <c r="K15" s="672">
        <f t="shared" si="2"/>
        <v>2150839</v>
      </c>
      <c r="L15" s="674">
        <f t="shared" si="2"/>
        <v>2230556</v>
      </c>
    </row>
    <row r="16" spans="1:19" ht="28.8">
      <c r="A16" s="654" t="s">
        <v>524</v>
      </c>
      <c r="B16" s="662"/>
      <c r="C16" s="663">
        <f>C15/B15-1</f>
        <v>-9.255654741928987E-2</v>
      </c>
      <c r="D16" s="664">
        <f t="shared" ref="D16" si="3">D15/C15-1</f>
        <v>0.18655798816568048</v>
      </c>
      <c r="E16" s="663">
        <f t="shared" ref="E16" si="4">E15/D15-1</f>
        <v>-9.3996209013889831E-2</v>
      </c>
      <c r="F16" s="664"/>
      <c r="G16" s="664">
        <f t="shared" ref="G16:J16" si="5">G15/E15-1</f>
        <v>0.12736006393680288</v>
      </c>
      <c r="H16" s="663">
        <f t="shared" si="5"/>
        <v>8.334061934479764E-2</v>
      </c>
      <c r="I16" s="664">
        <f t="shared" ref="I16" si="6">I15/G15-1</f>
        <v>1.1392547826583721E-2</v>
      </c>
      <c r="J16" s="663">
        <f t="shared" si="5"/>
        <v>-3.6313937727572299E-2</v>
      </c>
      <c r="K16" s="664">
        <f t="shared" ref="K16" si="7">K15/I15-1</f>
        <v>3.8292747095724611E-2</v>
      </c>
      <c r="L16" s="665">
        <f t="shared" ref="L16" si="8">L15/K15-1</f>
        <v>3.7063211146906028E-2</v>
      </c>
    </row>
    <row r="17" spans="1:12" ht="43.2">
      <c r="A17" s="654" t="s">
        <v>525</v>
      </c>
      <c r="B17" s="675"/>
      <c r="C17" s="676"/>
      <c r="D17" s="675"/>
      <c r="E17" s="676"/>
      <c r="F17" s="675"/>
      <c r="G17" s="675"/>
      <c r="H17" s="676"/>
      <c r="I17" s="675"/>
      <c r="J17" s="676"/>
      <c r="K17" s="677">
        <f>K15/B15-1</f>
        <v>0.15489039532854565</v>
      </c>
      <c r="L17" s="678">
        <f>L15/B15-1</f>
        <v>0.19769434190214108</v>
      </c>
    </row>
    <row r="18" spans="1:12">
      <c r="A18" s="655" t="s">
        <v>2</v>
      </c>
      <c r="B18" s="659">
        <f>B9+B15</f>
        <v>3064964</v>
      </c>
      <c r="C18" s="660">
        <f t="shared" ref="C18:L18" si="9">C9+C15</f>
        <v>2933810</v>
      </c>
      <c r="D18" s="659">
        <f t="shared" si="9"/>
        <v>3263088</v>
      </c>
      <c r="E18" s="660">
        <f t="shared" si="9"/>
        <v>2801430</v>
      </c>
      <c r="F18" s="659">
        <f t="shared" si="9"/>
        <v>2776169.58</v>
      </c>
      <c r="G18" s="659">
        <f t="shared" si="9"/>
        <v>3207075</v>
      </c>
      <c r="H18" s="660">
        <f t="shared" si="9"/>
        <v>2969535.9000000004</v>
      </c>
      <c r="I18" s="659">
        <f t="shared" si="9"/>
        <v>3358492</v>
      </c>
      <c r="J18" s="660">
        <f t="shared" si="9"/>
        <v>2921283.2199999997</v>
      </c>
      <c r="K18" s="659">
        <f t="shared" si="9"/>
        <v>3529136</v>
      </c>
      <c r="L18" s="661">
        <f t="shared" si="9"/>
        <v>3708394</v>
      </c>
    </row>
    <row r="19" spans="1:12" ht="28.8">
      <c r="A19" s="654" t="s">
        <v>524</v>
      </c>
      <c r="B19" s="679"/>
      <c r="C19" s="680">
        <f>C18/B18-1</f>
        <v>-4.2791367206923114E-2</v>
      </c>
      <c r="D19" s="681">
        <f t="shared" ref="D19" si="10">D18/C18-1</f>
        <v>0.11223562534724474</v>
      </c>
      <c r="E19" s="680">
        <f t="shared" ref="E19" si="11">E18/D18-1</f>
        <v>-0.14147886909577678</v>
      </c>
      <c r="F19" s="681"/>
      <c r="G19" s="681">
        <f t="shared" ref="G19" si="12">G18/E18-1</f>
        <v>0.14479926323342007</v>
      </c>
      <c r="H19" s="680">
        <f>H18/F18-1</f>
        <v>6.9652200425018851E-2</v>
      </c>
      <c r="I19" s="681">
        <f t="shared" ref="I19" si="13">I18/G18-1</f>
        <v>4.7213426564704619E-2</v>
      </c>
      <c r="J19" s="680">
        <f>J18/H18-1</f>
        <v>-1.6249232750478182E-2</v>
      </c>
      <c r="K19" s="681">
        <f t="shared" ref="K19" si="14">K18/I18-1</f>
        <v>5.0809708643045681E-2</v>
      </c>
      <c r="L19" s="682">
        <f t="shared" ref="L19" si="15">L18/K18-1</f>
        <v>5.0793735350522118E-2</v>
      </c>
    </row>
  </sheetData>
  <mergeCells count="3">
    <mergeCell ref="A4:L4"/>
    <mergeCell ref="A1:L1"/>
    <mergeCell ref="A2:L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E22" sqref="E22"/>
    </sheetView>
  </sheetViews>
  <sheetFormatPr defaultRowHeight="14.4"/>
  <cols>
    <col min="1" max="1" width="12.88671875" customWidth="1"/>
    <col min="2" max="16" width="10.77734375" customWidth="1"/>
  </cols>
  <sheetData>
    <row r="1" spans="1:16">
      <c r="A1" s="763" t="s">
        <v>39</v>
      </c>
      <c r="B1" s="763"/>
      <c r="C1" s="763"/>
      <c r="D1" s="763"/>
      <c r="E1" s="763"/>
      <c r="F1" s="763"/>
      <c r="G1" s="763"/>
      <c r="H1" s="763"/>
      <c r="I1" s="763"/>
      <c r="J1" s="763"/>
      <c r="K1" s="763"/>
      <c r="L1" s="763"/>
      <c r="M1" s="763"/>
      <c r="N1" s="763"/>
      <c r="O1" s="763"/>
      <c r="P1" s="763"/>
    </row>
    <row r="2" spans="1:16">
      <c r="A2" s="763" t="s">
        <v>561</v>
      </c>
      <c r="B2" s="763"/>
      <c r="C2" s="763"/>
      <c r="D2" s="763"/>
      <c r="E2" s="763"/>
      <c r="F2" s="763"/>
      <c r="G2" s="763"/>
      <c r="H2" s="763"/>
      <c r="I2" s="763"/>
      <c r="J2" s="763"/>
      <c r="K2" s="763"/>
      <c r="L2" s="763"/>
      <c r="M2" s="763"/>
      <c r="N2" s="763"/>
      <c r="O2" s="763"/>
      <c r="P2" s="763"/>
    </row>
    <row r="5" spans="1:16">
      <c r="A5" s="806" t="s">
        <v>562</v>
      </c>
      <c r="B5" s="807"/>
      <c r="C5" s="807"/>
      <c r="D5" s="807"/>
      <c r="E5" s="807"/>
      <c r="F5" s="807"/>
      <c r="G5" s="807"/>
      <c r="H5" s="807"/>
      <c r="I5" s="807"/>
      <c r="J5" s="807"/>
      <c r="K5" s="807"/>
      <c r="L5" s="807"/>
      <c r="M5" s="807"/>
      <c r="N5" s="807"/>
      <c r="O5" s="807"/>
      <c r="P5" s="808"/>
    </row>
    <row r="6" spans="1:16" ht="28.8">
      <c r="A6" s="704" t="s">
        <v>106</v>
      </c>
      <c r="B6" s="705">
        <v>2015</v>
      </c>
      <c r="C6" s="705">
        <v>2016</v>
      </c>
      <c r="D6" s="705">
        <v>2017</v>
      </c>
      <c r="E6" s="705">
        <v>2018</v>
      </c>
      <c r="F6" s="650" t="s">
        <v>518</v>
      </c>
      <c r="G6" s="705">
        <v>2019</v>
      </c>
      <c r="H6" s="650" t="s">
        <v>519</v>
      </c>
      <c r="I6" s="705">
        <v>2020</v>
      </c>
      <c r="J6" s="650" t="s">
        <v>520</v>
      </c>
      <c r="K6" s="705">
        <v>2021</v>
      </c>
      <c r="L6" s="705">
        <v>2022</v>
      </c>
      <c r="M6" s="705">
        <v>2023</v>
      </c>
      <c r="N6" s="705">
        <v>2024</v>
      </c>
      <c r="O6" s="705">
        <v>2025</v>
      </c>
      <c r="P6" s="705">
        <v>2026</v>
      </c>
    </row>
    <row r="7" spans="1:16">
      <c r="A7" s="648" t="s">
        <v>517</v>
      </c>
      <c r="B7" s="707">
        <v>56.3</v>
      </c>
      <c r="C7" s="707">
        <v>7</v>
      </c>
      <c r="D7" s="707">
        <v>35.4</v>
      </c>
      <c r="E7" s="707">
        <v>91.4</v>
      </c>
      <c r="F7" s="708">
        <v>98.1</v>
      </c>
      <c r="G7" s="707">
        <v>101</v>
      </c>
      <c r="H7" s="708">
        <v>23.9</v>
      </c>
      <c r="I7" s="707">
        <v>39.200000000000003</v>
      </c>
      <c r="J7" s="708">
        <v>84.2</v>
      </c>
      <c r="K7" s="707">
        <v>60</v>
      </c>
      <c r="L7" s="707">
        <v>95.4</v>
      </c>
      <c r="M7" s="707">
        <v>86.1</v>
      </c>
      <c r="N7" s="707">
        <v>68.8</v>
      </c>
      <c r="O7" s="707">
        <v>88.8</v>
      </c>
      <c r="P7" s="707">
        <v>56.5</v>
      </c>
    </row>
  </sheetData>
  <mergeCells count="3">
    <mergeCell ref="A1:P1"/>
    <mergeCell ref="A2:P2"/>
    <mergeCell ref="A5:P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election activeCell="H13" sqref="H13"/>
    </sheetView>
  </sheetViews>
  <sheetFormatPr defaultRowHeight="14.4"/>
  <cols>
    <col min="1" max="1" width="12.88671875" customWidth="1"/>
    <col min="2" max="16" width="10.77734375" customWidth="1"/>
  </cols>
  <sheetData>
    <row r="1" spans="1:16">
      <c r="A1" s="763" t="s">
        <v>39</v>
      </c>
      <c r="B1" s="763"/>
      <c r="C1" s="763"/>
      <c r="D1" s="763"/>
      <c r="E1" s="763"/>
      <c r="F1" s="763"/>
      <c r="G1" s="763"/>
      <c r="H1" s="763"/>
      <c r="I1" s="763"/>
      <c r="J1" s="763"/>
      <c r="K1" s="763"/>
      <c r="L1" s="763"/>
      <c r="M1" s="763"/>
      <c r="N1" s="763"/>
      <c r="O1" s="763"/>
      <c r="P1" s="763"/>
    </row>
    <row r="2" spans="1:16">
      <c r="A2" s="763" t="s">
        <v>516</v>
      </c>
      <c r="B2" s="763"/>
      <c r="C2" s="763"/>
      <c r="D2" s="763"/>
      <c r="E2" s="763"/>
      <c r="F2" s="763"/>
      <c r="G2" s="763"/>
      <c r="H2" s="763"/>
      <c r="I2" s="763"/>
      <c r="J2" s="763"/>
      <c r="K2" s="763"/>
      <c r="L2" s="763"/>
      <c r="M2" s="763"/>
      <c r="N2" s="763"/>
      <c r="O2" s="763"/>
      <c r="P2" s="763"/>
    </row>
    <row r="5" spans="1:16">
      <c r="A5" s="806" t="s">
        <v>560</v>
      </c>
      <c r="B5" s="807"/>
      <c r="C5" s="807"/>
      <c r="D5" s="807"/>
      <c r="E5" s="807"/>
      <c r="F5" s="807"/>
      <c r="G5" s="807"/>
      <c r="H5" s="807"/>
      <c r="I5" s="807"/>
      <c r="J5" s="807"/>
      <c r="K5" s="807"/>
      <c r="L5" s="807"/>
      <c r="M5" s="807"/>
      <c r="N5" s="807"/>
      <c r="O5" s="807"/>
      <c r="P5" s="808"/>
    </row>
    <row r="6" spans="1:16" ht="28.8">
      <c r="A6" s="704" t="s">
        <v>106</v>
      </c>
      <c r="B6" s="705">
        <v>2015</v>
      </c>
      <c r="C6" s="705">
        <v>2016</v>
      </c>
      <c r="D6" s="705">
        <v>2017</v>
      </c>
      <c r="E6" s="705">
        <v>2018</v>
      </c>
      <c r="F6" s="650" t="s">
        <v>518</v>
      </c>
      <c r="G6" s="705">
        <v>2019</v>
      </c>
      <c r="H6" s="650" t="s">
        <v>519</v>
      </c>
      <c r="I6" s="705">
        <v>2020</v>
      </c>
      <c r="J6" s="650" t="s">
        <v>520</v>
      </c>
      <c r="K6" s="705">
        <v>2021</v>
      </c>
      <c r="L6" s="705">
        <v>2022</v>
      </c>
      <c r="M6" s="705">
        <v>2023</v>
      </c>
      <c r="N6" s="705">
        <v>2024</v>
      </c>
      <c r="O6" s="705">
        <v>2025</v>
      </c>
      <c r="P6" s="705">
        <v>2026</v>
      </c>
    </row>
    <row r="7" spans="1:16">
      <c r="A7" s="648" t="s">
        <v>517</v>
      </c>
      <c r="B7" s="649">
        <v>304</v>
      </c>
      <c r="C7" s="649">
        <v>358</v>
      </c>
      <c r="D7" s="649">
        <v>519</v>
      </c>
      <c r="E7" s="649">
        <v>745</v>
      </c>
      <c r="F7" s="706">
        <v>251</v>
      </c>
      <c r="G7" s="649">
        <v>272</v>
      </c>
      <c r="H7" s="706">
        <v>156</v>
      </c>
      <c r="I7" s="649">
        <v>173</v>
      </c>
      <c r="J7" s="706">
        <v>326</v>
      </c>
      <c r="K7" s="649">
        <v>381</v>
      </c>
      <c r="L7" s="649">
        <v>441</v>
      </c>
      <c r="M7" s="649">
        <v>463</v>
      </c>
      <c r="N7" s="649">
        <v>484</v>
      </c>
      <c r="O7" s="649">
        <v>524</v>
      </c>
      <c r="P7" s="649">
        <v>544</v>
      </c>
    </row>
  </sheetData>
  <mergeCells count="3">
    <mergeCell ref="A1:P1"/>
    <mergeCell ref="A2:P2"/>
    <mergeCell ref="A5:P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sqref="A1:E1"/>
    </sheetView>
  </sheetViews>
  <sheetFormatPr defaultRowHeight="14.4"/>
  <cols>
    <col min="1" max="1" width="11.6640625" customWidth="1"/>
    <col min="2" max="2" width="55.44140625" customWidth="1"/>
    <col min="3" max="5" width="16.6640625" customWidth="1"/>
  </cols>
  <sheetData>
    <row r="1" spans="1:5">
      <c r="A1" s="763" t="s">
        <v>39</v>
      </c>
      <c r="B1" s="763"/>
      <c r="C1" s="763"/>
      <c r="D1" s="763"/>
      <c r="E1" s="763"/>
    </row>
    <row r="2" spans="1:5">
      <c r="A2" s="763" t="s">
        <v>433</v>
      </c>
      <c r="B2" s="763"/>
      <c r="C2" s="763"/>
      <c r="D2" s="763"/>
      <c r="E2" s="763"/>
    </row>
    <row r="4" spans="1:5" ht="28.8">
      <c r="A4" s="612" t="s">
        <v>388</v>
      </c>
      <c r="B4" s="612" t="s">
        <v>389</v>
      </c>
      <c r="C4" s="613" t="s">
        <v>390</v>
      </c>
      <c r="D4" s="613" t="s">
        <v>391</v>
      </c>
      <c r="E4" s="613" t="s">
        <v>392</v>
      </c>
    </row>
    <row r="5" spans="1:5">
      <c r="A5" s="614"/>
      <c r="B5" s="614"/>
      <c r="C5" s="614"/>
      <c r="D5" s="614"/>
      <c r="E5" s="614"/>
    </row>
    <row r="6" spans="1:5">
      <c r="A6" s="614"/>
      <c r="B6" s="615" t="s">
        <v>393</v>
      </c>
      <c r="C6" s="614"/>
      <c r="D6" s="614"/>
      <c r="E6" s="614"/>
    </row>
    <row r="7" spans="1:5">
      <c r="A7" s="616">
        <v>4082</v>
      </c>
      <c r="B7" s="612" t="s">
        <v>394</v>
      </c>
      <c r="C7" s="617">
        <v>-10556.9</v>
      </c>
      <c r="D7" s="617">
        <v>-11150.05</v>
      </c>
      <c r="E7" s="617">
        <v>-12330.03</v>
      </c>
    </row>
    <row r="8" spans="1:5">
      <c r="A8" s="616">
        <v>4084</v>
      </c>
      <c r="B8" s="612" t="s">
        <v>395</v>
      </c>
      <c r="C8" s="617">
        <v>-29.75</v>
      </c>
      <c r="D8" s="617">
        <v>-20.81</v>
      </c>
      <c r="E8" s="617">
        <v>-11.36</v>
      </c>
    </row>
    <row r="9" spans="1:5">
      <c r="A9" s="616">
        <v>4086</v>
      </c>
      <c r="B9" s="612" t="s">
        <v>396</v>
      </c>
      <c r="C9" s="617">
        <v>0</v>
      </c>
      <c r="D9" s="617">
        <v>0</v>
      </c>
      <c r="E9" s="617">
        <v>0</v>
      </c>
    </row>
    <row r="10" spans="1:5">
      <c r="A10" s="616">
        <v>4090</v>
      </c>
      <c r="B10" s="612" t="s">
        <v>397</v>
      </c>
      <c r="C10" s="617">
        <v>0</v>
      </c>
      <c r="D10" s="617">
        <v>0</v>
      </c>
      <c r="E10" s="617">
        <v>0</v>
      </c>
    </row>
    <row r="11" spans="1:5">
      <c r="A11" s="616">
        <v>4205</v>
      </c>
      <c r="B11" s="612" t="s">
        <v>398</v>
      </c>
      <c r="C11" s="617">
        <v>0</v>
      </c>
      <c r="D11" s="617">
        <v>0</v>
      </c>
      <c r="E11" s="617">
        <v>0</v>
      </c>
    </row>
    <row r="12" spans="1:5">
      <c r="A12" s="616">
        <v>4210</v>
      </c>
      <c r="B12" s="612" t="s">
        <v>399</v>
      </c>
      <c r="C12" s="617">
        <v>-74887.679999999993</v>
      </c>
      <c r="D12" s="617">
        <v>-62434.53</v>
      </c>
      <c r="E12" s="617">
        <v>-63679.53</v>
      </c>
    </row>
    <row r="13" spans="1:5">
      <c r="A13" s="616">
        <v>4215</v>
      </c>
      <c r="B13" s="612" t="s">
        <v>400</v>
      </c>
      <c r="C13" s="617">
        <v>0</v>
      </c>
      <c r="D13" s="617">
        <v>0</v>
      </c>
      <c r="E13" s="617">
        <v>0</v>
      </c>
    </row>
    <row r="14" spans="1:5">
      <c r="A14" s="616">
        <v>4220</v>
      </c>
      <c r="B14" s="612" t="s">
        <v>401</v>
      </c>
      <c r="C14" s="617">
        <v>0</v>
      </c>
      <c r="D14" s="617">
        <v>0</v>
      </c>
      <c r="E14" s="617">
        <v>0</v>
      </c>
    </row>
    <row r="15" spans="1:5">
      <c r="A15" s="616">
        <v>4225</v>
      </c>
      <c r="B15" s="612" t="s">
        <v>402</v>
      </c>
      <c r="C15" s="617">
        <v>-44148.54</v>
      </c>
      <c r="D15" s="617">
        <v>-63832.42</v>
      </c>
      <c r="E15" s="617">
        <v>-55048.69</v>
      </c>
    </row>
    <row r="16" spans="1:5">
      <c r="A16" s="616">
        <v>4230</v>
      </c>
      <c r="B16" s="612" t="s">
        <v>403</v>
      </c>
      <c r="C16" s="617">
        <v>0</v>
      </c>
      <c r="D16" s="617">
        <v>0</v>
      </c>
      <c r="E16" s="617">
        <v>0</v>
      </c>
    </row>
    <row r="17" spans="1:5">
      <c r="A17" s="616">
        <v>4235</v>
      </c>
      <c r="B17" s="612" t="s">
        <v>404</v>
      </c>
      <c r="C17" s="617">
        <v>-47246.96</v>
      </c>
      <c r="D17" s="617">
        <v>-44823.41</v>
      </c>
      <c r="E17" s="617">
        <v>-47095.55</v>
      </c>
    </row>
    <row r="18" spans="1:5">
      <c r="A18" s="616">
        <v>4240</v>
      </c>
      <c r="B18" s="612" t="s">
        <v>405</v>
      </c>
      <c r="C18" s="617">
        <v>0</v>
      </c>
      <c r="D18" s="617">
        <v>0</v>
      </c>
      <c r="E18" s="617">
        <v>0</v>
      </c>
    </row>
    <row r="19" spans="1:5">
      <c r="A19" s="616">
        <v>4245</v>
      </c>
      <c r="B19" s="612" t="s">
        <v>406</v>
      </c>
      <c r="C19" s="617">
        <v>0</v>
      </c>
      <c r="D19" s="617">
        <v>0</v>
      </c>
      <c r="E19" s="617">
        <v>0</v>
      </c>
    </row>
    <row r="20" spans="1:5">
      <c r="A20" s="616">
        <v>4305</v>
      </c>
      <c r="B20" s="612" t="s">
        <v>407</v>
      </c>
      <c r="C20" s="617">
        <v>0</v>
      </c>
      <c r="D20" s="617">
        <v>0</v>
      </c>
      <c r="E20" s="617">
        <v>0</v>
      </c>
    </row>
    <row r="21" spans="1:5">
      <c r="A21" s="616">
        <v>4310</v>
      </c>
      <c r="B21" s="612" t="s">
        <v>408</v>
      </c>
      <c r="C21" s="617">
        <v>0</v>
      </c>
      <c r="D21" s="617">
        <v>0</v>
      </c>
      <c r="E21" s="617">
        <v>0</v>
      </c>
    </row>
    <row r="22" spans="1:5">
      <c r="A22" s="616">
        <v>4315</v>
      </c>
      <c r="B22" s="612" t="s">
        <v>409</v>
      </c>
      <c r="C22" s="617">
        <v>0</v>
      </c>
      <c r="D22" s="617">
        <v>0</v>
      </c>
      <c r="E22" s="617">
        <v>0</v>
      </c>
    </row>
    <row r="23" spans="1:5">
      <c r="A23" s="616">
        <v>4320</v>
      </c>
      <c r="B23" s="612" t="s">
        <v>410</v>
      </c>
      <c r="C23" s="617">
        <v>0</v>
      </c>
      <c r="D23" s="617">
        <v>0</v>
      </c>
      <c r="E23" s="617">
        <v>0</v>
      </c>
    </row>
    <row r="24" spans="1:5">
      <c r="A24" s="616">
        <v>4325</v>
      </c>
      <c r="B24" s="612" t="s">
        <v>411</v>
      </c>
      <c r="C24" s="617">
        <v>0</v>
      </c>
      <c r="D24" s="617">
        <v>0</v>
      </c>
      <c r="E24" s="617">
        <v>0</v>
      </c>
    </row>
    <row r="25" spans="1:5">
      <c r="A25" s="616">
        <v>4330</v>
      </c>
      <c r="B25" s="612" t="s">
        <v>412</v>
      </c>
      <c r="C25" s="617">
        <v>0</v>
      </c>
      <c r="D25" s="617">
        <v>0</v>
      </c>
      <c r="E25" s="617">
        <v>0</v>
      </c>
    </row>
    <row r="26" spans="1:5">
      <c r="A26" s="616">
        <v>4335</v>
      </c>
      <c r="B26" s="612" t="s">
        <v>413</v>
      </c>
      <c r="C26" s="617">
        <v>0</v>
      </c>
      <c r="D26" s="617">
        <v>0</v>
      </c>
      <c r="E26" s="617">
        <v>0</v>
      </c>
    </row>
    <row r="27" spans="1:5">
      <c r="A27" s="616">
        <v>4340</v>
      </c>
      <c r="B27" s="612" t="s">
        <v>414</v>
      </c>
      <c r="C27" s="617">
        <v>0</v>
      </c>
      <c r="D27" s="617">
        <v>0</v>
      </c>
      <c r="E27" s="617">
        <v>0</v>
      </c>
    </row>
    <row r="28" spans="1:5">
      <c r="A28" s="616">
        <v>4345</v>
      </c>
      <c r="B28" s="612" t="s">
        <v>415</v>
      </c>
      <c r="C28" s="617">
        <v>0</v>
      </c>
      <c r="D28" s="617">
        <v>0</v>
      </c>
      <c r="E28" s="617">
        <v>0</v>
      </c>
    </row>
    <row r="29" spans="1:5">
      <c r="A29" s="616">
        <v>4350</v>
      </c>
      <c r="B29" s="612" t="s">
        <v>416</v>
      </c>
      <c r="C29" s="617">
        <v>0</v>
      </c>
      <c r="D29" s="617">
        <v>0</v>
      </c>
      <c r="E29" s="617">
        <v>0</v>
      </c>
    </row>
    <row r="30" spans="1:5">
      <c r="A30" s="616">
        <v>4355</v>
      </c>
      <c r="B30" s="612" t="s">
        <v>417</v>
      </c>
      <c r="C30" s="617">
        <v>-43872</v>
      </c>
      <c r="D30" s="617">
        <v>0</v>
      </c>
      <c r="E30" s="617">
        <v>0</v>
      </c>
    </row>
    <row r="31" spans="1:5">
      <c r="A31" s="616">
        <v>4357</v>
      </c>
      <c r="B31" s="612" t="s">
        <v>418</v>
      </c>
      <c r="C31" s="617">
        <v>0</v>
      </c>
      <c r="D31" s="617">
        <v>0</v>
      </c>
      <c r="E31" s="617">
        <v>0</v>
      </c>
    </row>
    <row r="32" spans="1:5">
      <c r="A32" s="616">
        <v>4360</v>
      </c>
      <c r="B32" s="612" t="s">
        <v>419</v>
      </c>
      <c r="C32" s="617">
        <v>0</v>
      </c>
      <c r="D32" s="617">
        <v>0</v>
      </c>
      <c r="E32" s="617">
        <v>0</v>
      </c>
    </row>
    <row r="33" spans="1:5">
      <c r="A33" s="616">
        <v>4362</v>
      </c>
      <c r="B33" s="612" t="s">
        <v>420</v>
      </c>
      <c r="C33" s="617">
        <v>0</v>
      </c>
      <c r="D33" s="617">
        <v>0</v>
      </c>
      <c r="E33" s="617">
        <v>0</v>
      </c>
    </row>
    <row r="34" spans="1:5">
      <c r="A34" s="616">
        <v>4365</v>
      </c>
      <c r="B34" s="612" t="s">
        <v>421</v>
      </c>
      <c r="C34" s="617">
        <v>0</v>
      </c>
      <c r="D34" s="617">
        <v>0</v>
      </c>
      <c r="E34" s="617">
        <v>0</v>
      </c>
    </row>
    <row r="35" spans="1:5">
      <c r="A35" s="616">
        <v>4370</v>
      </c>
      <c r="B35" s="612" t="s">
        <v>422</v>
      </c>
      <c r="C35" s="617">
        <v>0</v>
      </c>
      <c r="D35" s="617">
        <v>0</v>
      </c>
      <c r="E35" s="617">
        <v>0</v>
      </c>
    </row>
    <row r="36" spans="1:5">
      <c r="A36" s="616">
        <v>4375</v>
      </c>
      <c r="B36" s="612" t="s">
        <v>423</v>
      </c>
      <c r="C36" s="617">
        <f>-341424.27-50734.76</f>
        <v>-392159.03</v>
      </c>
      <c r="D36" s="617">
        <f>-45212.47-350482.87</f>
        <v>-395695.33999999997</v>
      </c>
      <c r="E36" s="617">
        <f>-3859.65-268410.91</f>
        <v>-272270.56</v>
      </c>
    </row>
    <row r="37" spans="1:5">
      <c r="A37" s="616">
        <v>4380</v>
      </c>
      <c r="B37" s="612" t="s">
        <v>424</v>
      </c>
      <c r="C37" s="617">
        <f>275200.56+18275</f>
        <v>293475.56</v>
      </c>
      <c r="D37" s="617">
        <f>43109.77+261715.53</f>
        <v>304825.3</v>
      </c>
      <c r="E37" s="617">
        <f>24832.3+206254.06</f>
        <v>231086.36</v>
      </c>
    </row>
    <row r="38" spans="1:5">
      <c r="A38" s="616">
        <v>4385</v>
      </c>
      <c r="B38" s="612" t="s">
        <v>425</v>
      </c>
      <c r="C38" s="617">
        <v>0</v>
      </c>
      <c r="D38" s="617">
        <v>0</v>
      </c>
      <c r="E38" s="617">
        <v>0</v>
      </c>
    </row>
    <row r="39" spans="1:5">
      <c r="A39" s="616">
        <v>4390</v>
      </c>
      <c r="B39" s="612" t="s">
        <v>426</v>
      </c>
      <c r="C39" s="617">
        <v>-1284.47</v>
      </c>
      <c r="D39" s="617">
        <v>-20728.68</v>
      </c>
      <c r="E39" s="617">
        <v>-18096.8</v>
      </c>
    </row>
    <row r="40" spans="1:5">
      <c r="A40" s="616">
        <v>4395</v>
      </c>
      <c r="B40" s="612" t="s">
        <v>427</v>
      </c>
      <c r="C40" s="617">
        <v>0</v>
      </c>
      <c r="D40" s="617">
        <v>0</v>
      </c>
      <c r="E40" s="617">
        <v>0</v>
      </c>
    </row>
    <row r="41" spans="1:5">
      <c r="A41" s="616">
        <v>4398</v>
      </c>
      <c r="B41" s="612" t="s">
        <v>428</v>
      </c>
      <c r="C41" s="617">
        <v>0</v>
      </c>
      <c r="D41" s="617">
        <v>0</v>
      </c>
      <c r="E41" s="617">
        <v>0</v>
      </c>
    </row>
    <row r="42" spans="1:5">
      <c r="A42" s="616">
        <v>4405</v>
      </c>
      <c r="B42" s="612" t="s">
        <v>429</v>
      </c>
      <c r="C42" s="617">
        <v>-12482.64</v>
      </c>
      <c r="D42" s="617">
        <v>-5457.15</v>
      </c>
      <c r="E42" s="617">
        <v>0</v>
      </c>
    </row>
    <row r="43" spans="1:5">
      <c r="A43" s="616">
        <v>4410</v>
      </c>
      <c r="B43" s="612" t="s">
        <v>430</v>
      </c>
      <c r="C43" s="617">
        <v>0</v>
      </c>
      <c r="D43" s="617">
        <v>0</v>
      </c>
      <c r="E43" s="617">
        <v>0</v>
      </c>
    </row>
    <row r="44" spans="1:5">
      <c r="A44" s="616">
        <v>4415</v>
      </c>
      <c r="B44" s="612" t="s">
        <v>431</v>
      </c>
      <c r="C44" s="617">
        <v>0</v>
      </c>
      <c r="D44" s="617">
        <v>0</v>
      </c>
      <c r="E44" s="617">
        <v>0</v>
      </c>
    </row>
    <row r="45" spans="1:5">
      <c r="A45" s="616">
        <v>4420</v>
      </c>
      <c r="B45" s="612" t="s">
        <v>432</v>
      </c>
      <c r="C45" s="617">
        <v>0</v>
      </c>
      <c r="D45" s="617">
        <v>0</v>
      </c>
      <c r="E45" s="617">
        <v>0</v>
      </c>
    </row>
  </sheetData>
  <mergeCells count="2">
    <mergeCell ref="A1:E1"/>
    <mergeCell ref="A2:E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workbookViewId="0">
      <selection sqref="A1:S2"/>
    </sheetView>
  </sheetViews>
  <sheetFormatPr defaultColWidth="16.6640625" defaultRowHeight="14.4"/>
  <cols>
    <col min="2" max="2" width="70.77734375" customWidth="1"/>
  </cols>
  <sheetData>
    <row r="1" spans="1:20">
      <c r="A1" s="763" t="s">
        <v>39</v>
      </c>
      <c r="B1" s="763"/>
      <c r="C1" s="763"/>
      <c r="D1" s="763"/>
      <c r="E1" s="763"/>
      <c r="F1" s="763"/>
      <c r="G1" s="763"/>
      <c r="H1" s="763"/>
      <c r="I1" s="763"/>
      <c r="J1" s="763"/>
      <c r="K1" s="763"/>
      <c r="L1" s="763"/>
      <c r="M1" s="763"/>
      <c r="N1" s="763"/>
      <c r="O1" s="763"/>
      <c r="P1" s="763"/>
      <c r="Q1" s="763"/>
      <c r="R1" s="763"/>
      <c r="S1" s="763"/>
    </row>
    <row r="2" spans="1:20">
      <c r="A2" s="763" t="s">
        <v>342</v>
      </c>
      <c r="B2" s="763"/>
      <c r="C2" s="763"/>
      <c r="D2" s="763"/>
      <c r="E2" s="763"/>
      <c r="F2" s="763"/>
      <c r="G2" s="763"/>
      <c r="H2" s="763"/>
      <c r="I2" s="763"/>
      <c r="J2" s="763"/>
      <c r="K2" s="763"/>
      <c r="L2" s="763"/>
      <c r="M2" s="763"/>
      <c r="N2" s="763"/>
      <c r="O2" s="763"/>
      <c r="P2" s="763"/>
      <c r="Q2" s="763"/>
      <c r="R2" s="763"/>
      <c r="S2" s="763"/>
    </row>
    <row r="4" spans="1:20" s="582" customFormat="1" ht="17.399999999999999">
      <c r="A4" s="580" t="s">
        <v>343</v>
      </c>
      <c r="B4" s="581"/>
      <c r="C4" s="581"/>
      <c r="D4" s="581"/>
      <c r="E4" s="581"/>
      <c r="F4" s="581"/>
      <c r="G4" s="581"/>
      <c r="H4" s="581"/>
      <c r="I4" s="581"/>
      <c r="J4" s="581"/>
      <c r="K4" s="581"/>
      <c r="L4" s="581"/>
      <c r="M4" s="581"/>
      <c r="N4" s="581"/>
      <c r="O4" s="581"/>
      <c r="P4" s="581"/>
      <c r="Q4" s="581"/>
      <c r="R4" s="581"/>
      <c r="S4" s="581"/>
      <c r="T4" s="581"/>
    </row>
    <row r="5" spans="1:20" s="582" customFormat="1">
      <c r="A5" s="583"/>
      <c r="B5" s="581"/>
      <c r="C5" s="583"/>
      <c r="D5" s="583"/>
      <c r="E5" s="583"/>
      <c r="F5" s="583"/>
      <c r="G5" s="583"/>
      <c r="H5" s="583"/>
      <c r="I5" s="583"/>
      <c r="J5" s="583"/>
      <c r="K5" s="583"/>
      <c r="L5" s="583"/>
      <c r="M5" s="583"/>
      <c r="N5" s="583"/>
      <c r="O5" s="583"/>
      <c r="P5" s="583"/>
      <c r="Q5" s="583"/>
      <c r="R5" s="583"/>
      <c r="S5" s="581"/>
      <c r="T5" s="581"/>
    </row>
    <row r="6" spans="1:20" s="582" customFormat="1" ht="91.8">
      <c r="A6" s="584" t="s">
        <v>344</v>
      </c>
      <c r="B6" s="585" t="s">
        <v>345</v>
      </c>
      <c r="C6" s="584" t="s">
        <v>346</v>
      </c>
      <c r="D6" s="584" t="s">
        <v>347</v>
      </c>
      <c r="E6" s="584" t="s">
        <v>348</v>
      </c>
      <c r="F6" s="584" t="s">
        <v>349</v>
      </c>
      <c r="G6" s="584" t="s">
        <v>350</v>
      </c>
      <c r="H6" s="584" t="s">
        <v>351</v>
      </c>
      <c r="I6" s="584" t="s">
        <v>352</v>
      </c>
      <c r="J6" s="584" t="s">
        <v>353</v>
      </c>
      <c r="K6" s="584" t="s">
        <v>354</v>
      </c>
      <c r="L6" s="584" t="s">
        <v>355</v>
      </c>
      <c r="M6" s="584" t="s">
        <v>356</v>
      </c>
      <c r="N6" s="584" t="s">
        <v>357</v>
      </c>
      <c r="O6" s="584" t="s">
        <v>358</v>
      </c>
      <c r="P6" s="584" t="s">
        <v>359</v>
      </c>
      <c r="Q6" s="584" t="s">
        <v>360</v>
      </c>
      <c r="R6" s="584" t="s">
        <v>361</v>
      </c>
      <c r="S6" s="584" t="s">
        <v>362</v>
      </c>
    </row>
    <row r="7" spans="1:20" s="582" customFormat="1" ht="12.75" customHeight="1">
      <c r="A7" s="586">
        <v>1</v>
      </c>
      <c r="B7" s="587" t="s">
        <v>363</v>
      </c>
      <c r="C7" s="588">
        <v>378647</v>
      </c>
      <c r="D7" s="588">
        <v>378647</v>
      </c>
      <c r="E7" s="589">
        <f>4189</f>
        <v>4189</v>
      </c>
      <c r="F7" s="589">
        <f>4189</f>
        <v>4189</v>
      </c>
      <c r="G7" s="589"/>
      <c r="H7" s="589"/>
      <c r="I7" s="590">
        <f>IFERROR(D7+E7+G7-H7,0)</f>
        <v>382836</v>
      </c>
      <c r="J7" s="590">
        <f>IF((H7+-E7+F7)&lt;0,0,(H7-E7+F7))</f>
        <v>0</v>
      </c>
      <c r="K7" s="590">
        <f t="shared" ref="K7:K17" si="0">IF((F7-J7)&lt;0,0,(F7-J7))</f>
        <v>4189</v>
      </c>
      <c r="L7" s="591">
        <v>0.5</v>
      </c>
      <c r="M7" s="590">
        <f>K7*L7</f>
        <v>2094.5</v>
      </c>
      <c r="N7" s="592">
        <v>0.04</v>
      </c>
      <c r="O7" s="593">
        <f>C7*N7+(E7-H7)*0.5*N7</f>
        <v>15229.660000000002</v>
      </c>
      <c r="P7" s="590">
        <f>ROUND((D7+((E7-H7)*1.5))*N7,2)</f>
        <v>15397.22</v>
      </c>
      <c r="Q7" s="590">
        <f>C7+$E7+$G7-$H7-O7</f>
        <v>367606.34</v>
      </c>
      <c r="R7" s="590">
        <f>D7+$E7+$G7-$H7-P7</f>
        <v>367438.78</v>
      </c>
      <c r="S7" s="590">
        <f>R7-Q7</f>
        <v>-167.55999999999767</v>
      </c>
    </row>
    <row r="8" spans="1:20" s="582" customFormat="1" ht="12.75" customHeight="1">
      <c r="A8" s="586" t="s">
        <v>364</v>
      </c>
      <c r="B8" s="587" t="s">
        <v>365</v>
      </c>
      <c r="C8" s="588">
        <v>3268404</v>
      </c>
      <c r="D8" s="588">
        <v>3268404</v>
      </c>
      <c r="E8" s="589"/>
      <c r="F8" s="589"/>
      <c r="G8" s="589"/>
      <c r="H8" s="589"/>
      <c r="I8" s="590">
        <f t="shared" ref="I8:I17" si="1">IFERROR(D8+E8+G8-H8,"")</f>
        <v>3268404</v>
      </c>
      <c r="J8" s="590">
        <f t="shared" ref="J8:J17" si="2">IF((H8+-E8+F8)&lt;0,0,(H8-E8+F8))</f>
        <v>0</v>
      </c>
      <c r="K8" s="590">
        <f t="shared" si="0"/>
        <v>0</v>
      </c>
      <c r="L8" s="591">
        <v>0.5</v>
      </c>
      <c r="M8" s="590">
        <f t="shared" ref="M8:M17" si="3">K8*L8</f>
        <v>0</v>
      </c>
      <c r="N8" s="592">
        <v>0.06</v>
      </c>
      <c r="O8" s="593">
        <f>C8*N8+(E8-H8)*0.5*N8</f>
        <v>196104.24</v>
      </c>
      <c r="P8" s="590">
        <f>ROUND((D8+((E8-H8)*1.5))*N8,2)</f>
        <v>196104.24</v>
      </c>
      <c r="Q8" s="590">
        <f t="shared" ref="Q8:R17" si="4">C8+$E8+$G8-$H8-O8</f>
        <v>3072299.76</v>
      </c>
      <c r="R8" s="590">
        <f t="shared" si="4"/>
        <v>3072299.76</v>
      </c>
      <c r="S8" s="590">
        <f t="shared" ref="S8:S17" si="5">R8-Q8</f>
        <v>0</v>
      </c>
    </row>
    <row r="9" spans="1:20" s="582" customFormat="1" ht="12.75" customHeight="1">
      <c r="A9" s="594">
        <v>8</v>
      </c>
      <c r="B9" s="587" t="s">
        <v>366</v>
      </c>
      <c r="C9" s="588">
        <v>278291</v>
      </c>
      <c r="D9" s="588">
        <v>278291</v>
      </c>
      <c r="E9" s="589">
        <f>392819</f>
        <v>392819</v>
      </c>
      <c r="F9" s="589">
        <f>392819</f>
        <v>392819</v>
      </c>
      <c r="G9" s="589"/>
      <c r="H9" s="589">
        <v>194979</v>
      </c>
      <c r="I9" s="590">
        <f t="shared" si="1"/>
        <v>476131</v>
      </c>
      <c r="J9" s="590">
        <f t="shared" si="2"/>
        <v>194979</v>
      </c>
      <c r="K9" s="590">
        <f t="shared" si="0"/>
        <v>197840</v>
      </c>
      <c r="L9" s="591">
        <v>0.5</v>
      </c>
      <c r="M9" s="590">
        <f t="shared" si="3"/>
        <v>98920</v>
      </c>
      <c r="N9" s="592">
        <v>0.2</v>
      </c>
      <c r="O9" s="593">
        <f>C9*N9+(E9-H9)*0.5*N9</f>
        <v>75442.200000000012</v>
      </c>
      <c r="P9" s="590">
        <f>ROUND((D9+((E9-H9)*1.5))*N9,2)</f>
        <v>115010.2</v>
      </c>
      <c r="Q9" s="590">
        <f t="shared" si="4"/>
        <v>400688.8</v>
      </c>
      <c r="R9" s="590">
        <f t="shared" si="4"/>
        <v>361120.8</v>
      </c>
      <c r="S9" s="590">
        <f t="shared" si="5"/>
        <v>-39568</v>
      </c>
    </row>
    <row r="10" spans="1:20" s="582" customFormat="1" ht="12.75" customHeight="1">
      <c r="A10" s="594">
        <v>14.1</v>
      </c>
      <c r="B10" s="587" t="s">
        <v>367</v>
      </c>
      <c r="C10" s="588">
        <v>1331310</v>
      </c>
      <c r="D10" s="588">
        <v>1331310</v>
      </c>
      <c r="E10" s="589"/>
      <c r="F10" s="589"/>
      <c r="G10" s="589"/>
      <c r="H10" s="589"/>
      <c r="I10" s="590">
        <f t="shared" si="1"/>
        <v>1331310</v>
      </c>
      <c r="J10" s="590">
        <f t="shared" si="2"/>
        <v>0</v>
      </c>
      <c r="K10" s="590">
        <f t="shared" si="0"/>
        <v>0</v>
      </c>
      <c r="L10" s="591">
        <v>0.5</v>
      </c>
      <c r="M10" s="590">
        <f t="shared" si="3"/>
        <v>0</v>
      </c>
      <c r="N10" s="592">
        <v>7.0000000000000007E-2</v>
      </c>
      <c r="O10" s="593">
        <f>C10*N10+(E10-H10)*0.5*N10</f>
        <v>93191.700000000012</v>
      </c>
      <c r="P10" s="590">
        <f>ROUND((D10+((E10-H10)*1.5))*N10,2)</f>
        <v>93191.7</v>
      </c>
      <c r="Q10" s="590">
        <f t="shared" si="4"/>
        <v>1238118.3</v>
      </c>
      <c r="R10" s="590">
        <f t="shared" si="4"/>
        <v>1238118.3</v>
      </c>
      <c r="S10" s="590">
        <f t="shared" si="5"/>
        <v>0</v>
      </c>
    </row>
    <row r="11" spans="1:20" s="582" customFormat="1" ht="12.75" customHeight="1">
      <c r="A11" s="594">
        <v>12</v>
      </c>
      <c r="B11" s="587" t="s">
        <v>368</v>
      </c>
      <c r="C11" s="588">
        <v>5737</v>
      </c>
      <c r="D11" s="588">
        <v>5737</v>
      </c>
      <c r="E11" s="589">
        <f>16660</f>
        <v>16660</v>
      </c>
      <c r="F11" s="589"/>
      <c r="G11" s="589"/>
      <c r="H11" s="589"/>
      <c r="I11" s="590">
        <f t="shared" si="1"/>
        <v>22397</v>
      </c>
      <c r="J11" s="590">
        <f t="shared" si="2"/>
        <v>0</v>
      </c>
      <c r="K11" s="590">
        <f t="shared" si="0"/>
        <v>0</v>
      </c>
      <c r="L11" s="591">
        <v>0</v>
      </c>
      <c r="M11" s="590">
        <f t="shared" si="3"/>
        <v>0</v>
      </c>
      <c r="N11" s="592">
        <v>1</v>
      </c>
      <c r="O11" s="593">
        <f>C11*N11+(E11-H11)*1*N11</f>
        <v>22397</v>
      </c>
      <c r="P11" s="590">
        <f>ROUND((D11+((E11-H11)*1))*N11,2)</f>
        <v>22397</v>
      </c>
      <c r="Q11" s="590">
        <f t="shared" si="4"/>
        <v>0</v>
      </c>
      <c r="R11" s="590">
        <f t="shared" si="4"/>
        <v>0</v>
      </c>
      <c r="S11" s="590">
        <f t="shared" si="5"/>
        <v>0</v>
      </c>
    </row>
    <row r="12" spans="1:20" s="582" customFormat="1" ht="12.75" customHeight="1">
      <c r="A12" s="586">
        <v>45</v>
      </c>
      <c r="B12" s="587" t="s">
        <v>369</v>
      </c>
      <c r="C12" s="588">
        <v>4237</v>
      </c>
      <c r="D12" s="588">
        <v>4237</v>
      </c>
      <c r="E12" s="589">
        <f>13429</f>
        <v>13429</v>
      </c>
      <c r="F12" s="589">
        <f>13429</f>
        <v>13429</v>
      </c>
      <c r="G12" s="589"/>
      <c r="H12" s="589"/>
      <c r="I12" s="590">
        <f t="shared" si="1"/>
        <v>17666</v>
      </c>
      <c r="J12" s="590">
        <f t="shared" si="2"/>
        <v>0</v>
      </c>
      <c r="K12" s="590">
        <f t="shared" si="0"/>
        <v>13429</v>
      </c>
      <c r="L12" s="591">
        <v>0</v>
      </c>
      <c r="M12" s="590">
        <f t="shared" si="3"/>
        <v>0</v>
      </c>
      <c r="N12" s="592">
        <v>0.45</v>
      </c>
      <c r="O12" s="593">
        <f>C12*N12+(E12-H12)*0.5*N12</f>
        <v>4928.1750000000002</v>
      </c>
      <c r="P12" s="590">
        <f>ROUND((D12+((E12-H12)*1.5))*N12,2)</f>
        <v>10971.23</v>
      </c>
      <c r="Q12" s="590">
        <f t="shared" si="4"/>
        <v>12737.825000000001</v>
      </c>
      <c r="R12" s="590">
        <f t="shared" si="4"/>
        <v>6694.77</v>
      </c>
      <c r="S12" s="590">
        <f t="shared" si="5"/>
        <v>-6043.0550000000003</v>
      </c>
    </row>
    <row r="13" spans="1:20" s="582" customFormat="1" ht="12.75" customHeight="1">
      <c r="A13" s="595">
        <v>47</v>
      </c>
      <c r="B13" s="596" t="s">
        <v>370</v>
      </c>
      <c r="C13" s="588">
        <v>6992549</v>
      </c>
      <c r="D13" s="588">
        <v>6992549</v>
      </c>
      <c r="E13" s="589">
        <f>747976</f>
        <v>747976</v>
      </c>
      <c r="F13" s="589">
        <f>747976</f>
        <v>747976</v>
      </c>
      <c r="G13" s="589"/>
      <c r="H13" s="589"/>
      <c r="I13" s="590">
        <f t="shared" si="1"/>
        <v>7740525</v>
      </c>
      <c r="J13" s="590">
        <f t="shared" si="2"/>
        <v>0</v>
      </c>
      <c r="K13" s="590">
        <f t="shared" si="0"/>
        <v>747976</v>
      </c>
      <c r="L13" s="591">
        <v>0.5</v>
      </c>
      <c r="M13" s="590">
        <f t="shared" si="3"/>
        <v>373988</v>
      </c>
      <c r="N13" s="592">
        <v>0.08</v>
      </c>
      <c r="O13" s="593">
        <f>C13*N13+(E13-H13)*0.5*N13</f>
        <v>589322.96000000008</v>
      </c>
      <c r="P13" s="590">
        <f>ROUND((D13+((E13-H13)*1.5))*N13,2)</f>
        <v>649161.04</v>
      </c>
      <c r="Q13" s="590">
        <f t="shared" si="4"/>
        <v>7151202.04</v>
      </c>
      <c r="R13" s="590">
        <f t="shared" si="4"/>
        <v>7091363.96</v>
      </c>
      <c r="S13" s="590">
        <f t="shared" si="5"/>
        <v>-59838.080000000075</v>
      </c>
    </row>
    <row r="14" spans="1:20" s="582" customFormat="1" ht="12.75" customHeight="1">
      <c r="A14" s="595">
        <v>50</v>
      </c>
      <c r="B14" s="596" t="s">
        <v>371</v>
      </c>
      <c r="C14" s="588">
        <v>6829</v>
      </c>
      <c r="D14" s="588">
        <v>6829</v>
      </c>
      <c r="E14" s="589"/>
      <c r="F14" s="589"/>
      <c r="G14" s="589"/>
      <c r="H14" s="589"/>
      <c r="I14" s="590">
        <f t="shared" si="1"/>
        <v>6829</v>
      </c>
      <c r="J14" s="590">
        <f t="shared" si="2"/>
        <v>0</v>
      </c>
      <c r="K14" s="590">
        <f t="shared" si="0"/>
        <v>0</v>
      </c>
      <c r="L14" s="591">
        <v>0.5</v>
      </c>
      <c r="M14" s="590">
        <f t="shared" si="3"/>
        <v>0</v>
      </c>
      <c r="N14" s="592">
        <v>0.55000000000000004</v>
      </c>
      <c r="O14" s="593">
        <f>C14*N14+(E14-H14)*0.5*N14</f>
        <v>3755.9500000000003</v>
      </c>
      <c r="P14" s="590">
        <f>ROUND((D14+((E14-H14)*1.5))*N14,2)</f>
        <v>3755.95</v>
      </c>
      <c r="Q14" s="590">
        <f t="shared" si="4"/>
        <v>3073.0499999999997</v>
      </c>
      <c r="R14" s="590">
        <f t="shared" si="4"/>
        <v>3073.05</v>
      </c>
      <c r="S14" s="590">
        <f t="shared" si="5"/>
        <v>0</v>
      </c>
    </row>
    <row r="15" spans="1:20" s="582" customFormat="1" ht="12.75" customHeight="1">
      <c r="A15" s="595">
        <v>95</v>
      </c>
      <c r="B15" s="596" t="s">
        <v>372</v>
      </c>
      <c r="C15" s="588">
        <v>58854</v>
      </c>
      <c r="D15" s="588">
        <v>58854</v>
      </c>
      <c r="E15" s="589"/>
      <c r="F15" s="589"/>
      <c r="G15" s="589">
        <v>-58854</v>
      </c>
      <c r="H15" s="589"/>
      <c r="I15" s="590">
        <f t="shared" si="1"/>
        <v>0</v>
      </c>
      <c r="J15" s="590">
        <f t="shared" si="2"/>
        <v>0</v>
      </c>
      <c r="K15" s="590">
        <f t="shared" si="0"/>
        <v>0</v>
      </c>
      <c r="L15" s="591">
        <v>0</v>
      </c>
      <c r="M15" s="590">
        <f t="shared" si="3"/>
        <v>0</v>
      </c>
      <c r="N15" s="592">
        <v>0</v>
      </c>
      <c r="O15" s="593">
        <f>C15*N15+(E15-H15)*0.5*N15</f>
        <v>0</v>
      </c>
      <c r="P15" s="590">
        <f>ROUND((D15+((E15-H15)*1.5))*N15,2)</f>
        <v>0</v>
      </c>
      <c r="Q15" s="590">
        <f t="shared" si="4"/>
        <v>0</v>
      </c>
      <c r="R15" s="590">
        <f t="shared" si="4"/>
        <v>0</v>
      </c>
      <c r="S15" s="590">
        <f t="shared" si="5"/>
        <v>0</v>
      </c>
    </row>
    <row r="16" spans="1:20" s="582" customFormat="1" ht="12.75" customHeight="1">
      <c r="A16" s="595">
        <v>10</v>
      </c>
      <c r="B16" s="596" t="s">
        <v>373</v>
      </c>
      <c r="C16" s="588">
        <v>369817</v>
      </c>
      <c r="D16" s="588">
        <v>369817</v>
      </c>
      <c r="E16" s="589"/>
      <c r="F16" s="589"/>
      <c r="G16" s="589"/>
      <c r="H16" s="589"/>
      <c r="I16" s="590">
        <f t="shared" si="1"/>
        <v>369817</v>
      </c>
      <c r="J16" s="590">
        <f t="shared" si="2"/>
        <v>0</v>
      </c>
      <c r="K16" s="590">
        <f t="shared" si="0"/>
        <v>0</v>
      </c>
      <c r="L16" s="591">
        <v>0.5</v>
      </c>
      <c r="M16" s="597">
        <f t="shared" si="3"/>
        <v>0</v>
      </c>
      <c r="N16" s="592">
        <v>0.3</v>
      </c>
      <c r="O16" s="593">
        <f>C16*N16+(E16-H16)*0.5*N16</f>
        <v>110945.09999999999</v>
      </c>
      <c r="P16" s="590">
        <f>ROUND((D16+((E16-H16)*1.5))*N16,2)</f>
        <v>110945.1</v>
      </c>
      <c r="Q16" s="590">
        <f t="shared" si="4"/>
        <v>258871.90000000002</v>
      </c>
      <c r="R16" s="590">
        <f t="shared" si="4"/>
        <v>258871.9</v>
      </c>
      <c r="S16" s="590">
        <f t="shared" si="5"/>
        <v>0</v>
      </c>
    </row>
    <row r="17" spans="1:19" s="582" customFormat="1" ht="12.75" customHeight="1" thickBot="1">
      <c r="A17" s="595"/>
      <c r="B17" s="596"/>
      <c r="C17" s="588">
        <v>0</v>
      </c>
      <c r="D17" s="588">
        <v>0</v>
      </c>
      <c r="E17" s="589"/>
      <c r="F17" s="589"/>
      <c r="G17" s="589"/>
      <c r="H17" s="589"/>
      <c r="I17" s="590">
        <f t="shared" si="1"/>
        <v>0</v>
      </c>
      <c r="J17" s="590">
        <f t="shared" si="2"/>
        <v>0</v>
      </c>
      <c r="K17" s="590">
        <f t="shared" si="0"/>
        <v>0</v>
      </c>
      <c r="L17" s="591"/>
      <c r="M17" s="597">
        <f t="shared" si="3"/>
        <v>0</v>
      </c>
      <c r="N17" s="598"/>
      <c r="O17" s="589"/>
      <c r="P17" s="589"/>
      <c r="Q17" s="590">
        <f t="shared" si="4"/>
        <v>0</v>
      </c>
      <c r="R17" s="590">
        <f t="shared" si="4"/>
        <v>0</v>
      </c>
      <c r="S17" s="590">
        <f t="shared" si="5"/>
        <v>0</v>
      </c>
    </row>
    <row r="18" spans="1:19" s="582" customFormat="1" ht="12.75" customHeight="1" thickBot="1">
      <c r="A18" s="599"/>
      <c r="B18" s="600" t="s">
        <v>374</v>
      </c>
      <c r="C18" s="601">
        <f t="shared" ref="C18:K18" si="6">SUM(C7:C17)</f>
        <v>12694675</v>
      </c>
      <c r="D18" s="601">
        <f t="shared" si="6"/>
        <v>12694675</v>
      </c>
      <c r="E18" s="601">
        <f t="shared" si="6"/>
        <v>1175073</v>
      </c>
      <c r="F18" s="601">
        <f t="shared" si="6"/>
        <v>1158413</v>
      </c>
      <c r="G18" s="601">
        <f t="shared" si="6"/>
        <v>-58854</v>
      </c>
      <c r="H18" s="601">
        <f t="shared" si="6"/>
        <v>194979</v>
      </c>
      <c r="I18" s="601">
        <f t="shared" si="6"/>
        <v>13615915</v>
      </c>
      <c r="J18" s="601">
        <f t="shared" si="6"/>
        <v>194979</v>
      </c>
      <c r="K18" s="601">
        <f t="shared" si="6"/>
        <v>963434</v>
      </c>
      <c r="L18" s="601"/>
      <c r="M18" s="601">
        <f>SUM(M7:M17)</f>
        <v>475002.5</v>
      </c>
      <c r="N18" s="602"/>
      <c r="O18" s="603">
        <f>SUM(O7:O17)</f>
        <v>1111316.9850000001</v>
      </c>
      <c r="P18" s="603">
        <f>SUM(P7:P17)</f>
        <v>1216933.68</v>
      </c>
      <c r="Q18" s="604">
        <f>SUM(Q7:Q17)</f>
        <v>12504598.015000001</v>
      </c>
      <c r="R18" s="604">
        <f>SUM(R7:R17)</f>
        <v>12398981.32</v>
      </c>
      <c r="S18" s="604">
        <f>SUM(S7:S17)</f>
        <v>-105616.69500000007</v>
      </c>
    </row>
    <row r="19" spans="1:19" ht="15" thickBot="1"/>
    <row r="20" spans="1:19" ht="15" thickBot="1">
      <c r="O20" s="607" t="s">
        <v>375</v>
      </c>
      <c r="P20" s="603">
        <f>P18-O18</f>
        <v>105616.69499999983</v>
      </c>
    </row>
    <row r="21" spans="1:19" ht="15" thickBot="1">
      <c r="O21" s="607" t="s">
        <v>378</v>
      </c>
      <c r="P21" s="605">
        <v>0.26500000000000001</v>
      </c>
    </row>
    <row r="22" spans="1:19" ht="15" thickBot="1">
      <c r="O22" s="607" t="s">
        <v>380</v>
      </c>
      <c r="P22" s="606">
        <f>ROUND(P20*P21,0)</f>
        <v>27988</v>
      </c>
    </row>
    <row r="23" spans="1:19" ht="15" thickBot="1">
      <c r="O23" s="607" t="s">
        <v>379</v>
      </c>
      <c r="P23" s="606">
        <f>ROUND(P22/(1-P21),0)</f>
        <v>38079</v>
      </c>
    </row>
    <row r="24" spans="1:19" ht="17.399999999999999">
      <c r="A24" s="580" t="s">
        <v>376</v>
      </c>
      <c r="B24" s="581"/>
      <c r="C24" s="581"/>
      <c r="D24" s="581"/>
      <c r="E24" s="581"/>
      <c r="F24" s="581"/>
      <c r="G24" s="581"/>
      <c r="H24" s="581"/>
      <c r="I24" s="581"/>
      <c r="J24" s="581"/>
      <c r="K24" s="581"/>
      <c r="L24" s="581"/>
      <c r="M24" s="581"/>
      <c r="N24" s="581"/>
      <c r="O24" s="581"/>
      <c r="P24" s="581"/>
      <c r="Q24" s="581"/>
      <c r="R24" s="581"/>
      <c r="S24" s="581"/>
    </row>
    <row r="25" spans="1:19">
      <c r="A25" s="583"/>
      <c r="B25" s="581"/>
      <c r="C25" s="583"/>
      <c r="D25" s="583"/>
      <c r="E25" s="583"/>
      <c r="F25" s="583"/>
      <c r="G25" s="583"/>
      <c r="H25" s="583"/>
      <c r="I25" s="583"/>
      <c r="J25" s="583"/>
      <c r="K25" s="583"/>
      <c r="L25" s="583"/>
      <c r="M25" s="583"/>
      <c r="N25" s="583"/>
      <c r="O25" s="583"/>
      <c r="P25" s="583"/>
      <c r="Q25" s="583"/>
      <c r="R25" s="583"/>
      <c r="S25" s="581"/>
    </row>
    <row r="26" spans="1:19" ht="91.8">
      <c r="A26" s="584" t="s">
        <v>344</v>
      </c>
      <c r="B26" s="585" t="s">
        <v>345</v>
      </c>
      <c r="C26" s="584" t="s">
        <v>346</v>
      </c>
      <c r="D26" s="584" t="s">
        <v>347</v>
      </c>
      <c r="E26" s="584" t="s">
        <v>348</v>
      </c>
      <c r="F26" s="584" t="s">
        <v>349</v>
      </c>
      <c r="G26" s="584" t="s">
        <v>350</v>
      </c>
      <c r="H26" s="584" t="s">
        <v>351</v>
      </c>
      <c r="I26" s="584" t="s">
        <v>352</v>
      </c>
      <c r="J26" s="584" t="s">
        <v>353</v>
      </c>
      <c r="K26" s="584" t="s">
        <v>354</v>
      </c>
      <c r="L26" s="584" t="s">
        <v>355</v>
      </c>
      <c r="M26" s="584" t="s">
        <v>356</v>
      </c>
      <c r="N26" s="584" t="s">
        <v>357</v>
      </c>
      <c r="O26" s="584" t="s">
        <v>358</v>
      </c>
      <c r="P26" s="584" t="s">
        <v>359</v>
      </c>
      <c r="Q26" s="584" t="s">
        <v>360</v>
      </c>
      <c r="R26" s="584" t="s">
        <v>361</v>
      </c>
      <c r="S26" s="584" t="s">
        <v>362</v>
      </c>
    </row>
    <row r="27" spans="1:19">
      <c r="A27" s="586">
        <v>1</v>
      </c>
      <c r="B27" s="587" t="s">
        <v>363</v>
      </c>
      <c r="C27" s="588">
        <f t="shared" ref="C27:C37" si="7">Q7</f>
        <v>367606.34</v>
      </c>
      <c r="D27" s="588">
        <f t="shared" ref="D27:D37" si="8">R7</f>
        <v>367438.78</v>
      </c>
      <c r="E27" s="589">
        <v>50192</v>
      </c>
      <c r="F27" s="589">
        <v>50192</v>
      </c>
      <c r="G27" s="589"/>
      <c r="H27" s="589"/>
      <c r="I27" s="590">
        <f>IFERROR(D27+E27+G27-H27,0)</f>
        <v>417630.78</v>
      </c>
      <c r="J27" s="590">
        <f>IF((H27+-E27+F27)&lt;0,0,(H27-E27+F27))</f>
        <v>0</v>
      </c>
      <c r="K27" s="590">
        <f t="shared" ref="K27:K37" si="9">IF((F27-J27)&lt;0,0,(F27-J27))</f>
        <v>50192</v>
      </c>
      <c r="L27" s="591">
        <v>0.5</v>
      </c>
      <c r="M27" s="590">
        <f>K27*L27</f>
        <v>25096</v>
      </c>
      <c r="N27" s="592">
        <v>0.04</v>
      </c>
      <c r="O27" s="593">
        <f>C27*N27+(E27-H27)*0.5*N27</f>
        <v>15708.093600000002</v>
      </c>
      <c r="P27" s="590">
        <f>ROUND((D27+((E27-H27)*1.5))*N27,2)</f>
        <v>17709.07</v>
      </c>
      <c r="Q27" s="590">
        <f>C27+$E27+$G27-$H27-O27</f>
        <v>402090.2464</v>
      </c>
      <c r="R27" s="590">
        <f>D27+$E27+$G27-$H27-P27</f>
        <v>399921.71</v>
      </c>
      <c r="S27" s="590">
        <f>R27-Q27</f>
        <v>-2168.5363999999827</v>
      </c>
    </row>
    <row r="28" spans="1:19">
      <c r="A28" s="586" t="s">
        <v>364</v>
      </c>
      <c r="B28" s="587" t="s">
        <v>365</v>
      </c>
      <c r="C28" s="588">
        <f t="shared" si="7"/>
        <v>3072299.76</v>
      </c>
      <c r="D28" s="588">
        <f t="shared" si="8"/>
        <v>3072299.76</v>
      </c>
      <c r="E28" s="589"/>
      <c r="F28" s="589"/>
      <c r="G28" s="589"/>
      <c r="H28" s="589"/>
      <c r="I28" s="590">
        <f t="shared" ref="I28:I37" si="10">IFERROR(D28+E28+G28-H28,"")</f>
        <v>3072299.76</v>
      </c>
      <c r="J28" s="590">
        <f t="shared" ref="J28:J37" si="11">IF((H28+-E28+F28)&lt;0,0,(H28-E28+F28))</f>
        <v>0</v>
      </c>
      <c r="K28" s="590">
        <f t="shared" si="9"/>
        <v>0</v>
      </c>
      <c r="L28" s="591">
        <v>0.5</v>
      </c>
      <c r="M28" s="590">
        <f t="shared" ref="M28:M37" si="12">K28*L28</f>
        <v>0</v>
      </c>
      <c r="N28" s="592">
        <v>0.06</v>
      </c>
      <c r="O28" s="593">
        <f t="shared" ref="O28:O36" si="13">C28*N28+(E28-H28)*0.5*N28</f>
        <v>184337.98559999999</v>
      </c>
      <c r="P28" s="590">
        <f>ROUND((D28+((E28-H28)*1.5))*N28,2)</f>
        <v>184337.99</v>
      </c>
      <c r="Q28" s="590">
        <f t="shared" ref="Q28:R37" si="14">C28+$E28+$G28-$H28-O28</f>
        <v>2887961.7744</v>
      </c>
      <c r="R28" s="590">
        <f t="shared" si="14"/>
        <v>2887961.7699999996</v>
      </c>
      <c r="S28" s="590">
        <f t="shared" ref="S28:S37" si="15">R28-Q28</f>
        <v>-4.4000004418194294E-3</v>
      </c>
    </row>
    <row r="29" spans="1:19">
      <c r="A29" s="594">
        <v>8</v>
      </c>
      <c r="B29" s="587" t="s">
        <v>366</v>
      </c>
      <c r="C29" s="588">
        <f t="shared" si="7"/>
        <v>400688.8</v>
      </c>
      <c r="D29" s="588">
        <f t="shared" si="8"/>
        <v>361120.8</v>
      </c>
      <c r="E29" s="589">
        <v>84526</v>
      </c>
      <c r="F29" s="589">
        <v>84526</v>
      </c>
      <c r="G29" s="589"/>
      <c r="H29" s="589"/>
      <c r="I29" s="590">
        <f t="shared" si="10"/>
        <v>445646.8</v>
      </c>
      <c r="J29" s="590">
        <f t="shared" si="11"/>
        <v>0</v>
      </c>
      <c r="K29" s="590">
        <f t="shared" si="9"/>
        <v>84526</v>
      </c>
      <c r="L29" s="591">
        <v>0.5</v>
      </c>
      <c r="M29" s="590">
        <f t="shared" si="12"/>
        <v>42263</v>
      </c>
      <c r="N29" s="592">
        <v>0.2</v>
      </c>
      <c r="O29" s="593">
        <f t="shared" si="13"/>
        <v>88590.360000000015</v>
      </c>
      <c r="P29" s="590">
        <f>ROUND((D29+((E29-H29)*1.5))*N29,2)</f>
        <v>97581.96</v>
      </c>
      <c r="Q29" s="590">
        <f t="shared" si="14"/>
        <v>396624.43999999994</v>
      </c>
      <c r="R29" s="590">
        <f t="shared" si="14"/>
        <v>348064.83999999997</v>
      </c>
      <c r="S29" s="590">
        <f t="shared" si="15"/>
        <v>-48559.599999999977</v>
      </c>
    </row>
    <row r="30" spans="1:19">
      <c r="A30" s="594">
        <v>14.1</v>
      </c>
      <c r="B30" s="587" t="s">
        <v>367</v>
      </c>
      <c r="C30" s="588">
        <f t="shared" si="7"/>
        <v>1238118.3</v>
      </c>
      <c r="D30" s="588">
        <f t="shared" si="8"/>
        <v>1238118.3</v>
      </c>
      <c r="E30" s="589"/>
      <c r="F30" s="589"/>
      <c r="G30" s="589"/>
      <c r="H30" s="589"/>
      <c r="I30" s="590">
        <f t="shared" si="10"/>
        <v>1238118.3</v>
      </c>
      <c r="J30" s="590">
        <f t="shared" si="11"/>
        <v>0</v>
      </c>
      <c r="K30" s="590">
        <f t="shared" si="9"/>
        <v>0</v>
      </c>
      <c r="L30" s="591">
        <v>0.5</v>
      </c>
      <c r="M30" s="590">
        <f t="shared" si="12"/>
        <v>0</v>
      </c>
      <c r="N30" s="592">
        <v>7.0000000000000007E-2</v>
      </c>
      <c r="O30" s="593">
        <f t="shared" si="13"/>
        <v>86668.281000000017</v>
      </c>
      <c r="P30" s="590">
        <f>ROUND((D30+((E30-H30)*1.5))*N30,2)</f>
        <v>86668.28</v>
      </c>
      <c r="Q30" s="590">
        <f t="shared" si="14"/>
        <v>1151450.0190000001</v>
      </c>
      <c r="R30" s="590">
        <f t="shared" si="14"/>
        <v>1151450.02</v>
      </c>
      <c r="S30" s="590">
        <f t="shared" si="15"/>
        <v>9.9999993108212948E-4</v>
      </c>
    </row>
    <row r="31" spans="1:19">
      <c r="A31" s="594">
        <v>12</v>
      </c>
      <c r="B31" s="587" t="s">
        <v>368</v>
      </c>
      <c r="C31" s="588">
        <f t="shared" si="7"/>
        <v>0</v>
      </c>
      <c r="D31" s="588">
        <f t="shared" si="8"/>
        <v>0</v>
      </c>
      <c r="E31" s="589">
        <v>5473</v>
      </c>
      <c r="F31" s="589"/>
      <c r="G31" s="589"/>
      <c r="H31" s="589"/>
      <c r="I31" s="590">
        <f t="shared" si="10"/>
        <v>5473</v>
      </c>
      <c r="J31" s="590">
        <f t="shared" si="11"/>
        <v>0</v>
      </c>
      <c r="K31" s="590">
        <f t="shared" si="9"/>
        <v>0</v>
      </c>
      <c r="L31" s="591">
        <v>0</v>
      </c>
      <c r="M31" s="590">
        <f t="shared" si="12"/>
        <v>0</v>
      </c>
      <c r="N31" s="592">
        <v>1</v>
      </c>
      <c r="O31" s="593">
        <f>C31*N31+(E31-H31)*1*N31</f>
        <v>5473</v>
      </c>
      <c r="P31" s="590">
        <f>ROUND((D31+((E31-H31)*1))*N31,2)</f>
        <v>5473</v>
      </c>
      <c r="Q31" s="590">
        <f t="shared" si="14"/>
        <v>0</v>
      </c>
      <c r="R31" s="590">
        <f t="shared" si="14"/>
        <v>0</v>
      </c>
      <c r="S31" s="590">
        <f t="shared" si="15"/>
        <v>0</v>
      </c>
    </row>
    <row r="32" spans="1:19">
      <c r="A32" s="586">
        <v>45</v>
      </c>
      <c r="B32" s="587" t="s">
        <v>369</v>
      </c>
      <c r="C32" s="588">
        <f t="shared" si="7"/>
        <v>12737.825000000001</v>
      </c>
      <c r="D32" s="588">
        <f t="shared" si="8"/>
        <v>6694.77</v>
      </c>
      <c r="E32" s="589">
        <v>32757</v>
      </c>
      <c r="F32" s="589">
        <v>32757</v>
      </c>
      <c r="G32" s="589"/>
      <c r="H32" s="589"/>
      <c r="I32" s="590">
        <f t="shared" si="10"/>
        <v>39451.770000000004</v>
      </c>
      <c r="J32" s="590">
        <f t="shared" si="11"/>
        <v>0</v>
      </c>
      <c r="K32" s="590">
        <f t="shared" si="9"/>
        <v>32757</v>
      </c>
      <c r="L32" s="591">
        <v>0</v>
      </c>
      <c r="M32" s="590">
        <f t="shared" si="12"/>
        <v>0</v>
      </c>
      <c r="N32" s="592">
        <v>0.45</v>
      </c>
      <c r="O32" s="593">
        <f t="shared" si="13"/>
        <v>13102.346250000001</v>
      </c>
      <c r="P32" s="590">
        <f>ROUND((D32+((E32-H32)*1.5))*N32,2)</f>
        <v>25123.62</v>
      </c>
      <c r="Q32" s="590">
        <f t="shared" si="14"/>
        <v>32392.478749999995</v>
      </c>
      <c r="R32" s="590">
        <f t="shared" si="14"/>
        <v>14328.150000000005</v>
      </c>
      <c r="S32" s="590">
        <f t="shared" si="15"/>
        <v>-18064.32874999999</v>
      </c>
    </row>
    <row r="33" spans="1:19">
      <c r="A33" s="595">
        <v>47</v>
      </c>
      <c r="B33" s="596" t="s">
        <v>370</v>
      </c>
      <c r="C33" s="588">
        <f t="shared" si="7"/>
        <v>7151202.04</v>
      </c>
      <c r="D33" s="588">
        <f t="shared" si="8"/>
        <v>7091363.96</v>
      </c>
      <c r="E33" s="589">
        <v>2555375</v>
      </c>
      <c r="F33" s="589">
        <v>2555375</v>
      </c>
      <c r="G33" s="589"/>
      <c r="H33" s="589"/>
      <c r="I33" s="590">
        <f t="shared" si="10"/>
        <v>9646738.9600000009</v>
      </c>
      <c r="J33" s="590">
        <f t="shared" si="11"/>
        <v>0</v>
      </c>
      <c r="K33" s="590">
        <f t="shared" si="9"/>
        <v>2555375</v>
      </c>
      <c r="L33" s="591">
        <v>0.5</v>
      </c>
      <c r="M33" s="590">
        <f t="shared" si="12"/>
        <v>1277687.5</v>
      </c>
      <c r="N33" s="592">
        <v>0.08</v>
      </c>
      <c r="O33" s="593">
        <f t="shared" si="13"/>
        <v>674311.16320000007</v>
      </c>
      <c r="P33" s="590">
        <f>ROUND((D33+((E33-H33)*1.5))*N33,2)</f>
        <v>873954.12</v>
      </c>
      <c r="Q33" s="590">
        <f t="shared" si="14"/>
        <v>9032265.8767999988</v>
      </c>
      <c r="R33" s="590">
        <f t="shared" si="14"/>
        <v>8772784.8400000017</v>
      </c>
      <c r="S33" s="590">
        <f t="shared" si="15"/>
        <v>-259481.03679999709</v>
      </c>
    </row>
    <row r="34" spans="1:19">
      <c r="A34" s="595">
        <v>50</v>
      </c>
      <c r="B34" s="596" t="s">
        <v>371</v>
      </c>
      <c r="C34" s="588">
        <f t="shared" si="7"/>
        <v>3073.0499999999997</v>
      </c>
      <c r="D34" s="588">
        <f t="shared" si="8"/>
        <v>3073.05</v>
      </c>
      <c r="E34" s="589"/>
      <c r="F34" s="589"/>
      <c r="G34" s="589"/>
      <c r="H34" s="589"/>
      <c r="I34" s="590">
        <f t="shared" si="10"/>
        <v>3073.05</v>
      </c>
      <c r="J34" s="590">
        <f t="shared" si="11"/>
        <v>0</v>
      </c>
      <c r="K34" s="590">
        <f t="shared" si="9"/>
        <v>0</v>
      </c>
      <c r="L34" s="591">
        <v>0.5</v>
      </c>
      <c r="M34" s="590">
        <f t="shared" si="12"/>
        <v>0</v>
      </c>
      <c r="N34" s="592">
        <v>0.55000000000000004</v>
      </c>
      <c r="O34" s="593">
        <f t="shared" si="13"/>
        <v>1690.1775</v>
      </c>
      <c r="P34" s="590">
        <f>ROUND((D34+((E34-H34)*1.5))*N34,2)</f>
        <v>1690.18</v>
      </c>
      <c r="Q34" s="590">
        <f t="shared" si="14"/>
        <v>1382.8724999999997</v>
      </c>
      <c r="R34" s="590">
        <f t="shared" si="14"/>
        <v>1382.8700000000001</v>
      </c>
      <c r="S34" s="590">
        <f t="shared" si="15"/>
        <v>-2.4999999995998223E-3</v>
      </c>
    </row>
    <row r="35" spans="1:19">
      <c r="A35" s="595">
        <v>95</v>
      </c>
      <c r="B35" s="596" t="s">
        <v>372</v>
      </c>
      <c r="C35" s="588">
        <f t="shared" si="7"/>
        <v>0</v>
      </c>
      <c r="D35" s="588">
        <f t="shared" si="8"/>
        <v>0</v>
      </c>
      <c r="E35" s="589"/>
      <c r="F35" s="589"/>
      <c r="G35" s="589"/>
      <c r="H35" s="589"/>
      <c r="I35" s="590">
        <f t="shared" si="10"/>
        <v>0</v>
      </c>
      <c r="J35" s="590">
        <f t="shared" si="11"/>
        <v>0</v>
      </c>
      <c r="K35" s="590">
        <f t="shared" si="9"/>
        <v>0</v>
      </c>
      <c r="L35" s="591">
        <v>0</v>
      </c>
      <c r="M35" s="590">
        <f t="shared" si="12"/>
        <v>0</v>
      </c>
      <c r="N35" s="592">
        <v>0</v>
      </c>
      <c r="O35" s="593">
        <f t="shared" si="13"/>
        <v>0</v>
      </c>
      <c r="P35" s="590">
        <f>ROUND((D35+((E35-H35)*1.5))*N35,2)</f>
        <v>0</v>
      </c>
      <c r="Q35" s="590">
        <f t="shared" si="14"/>
        <v>0</v>
      </c>
      <c r="R35" s="590">
        <f t="shared" si="14"/>
        <v>0</v>
      </c>
      <c r="S35" s="590">
        <f t="shared" si="15"/>
        <v>0</v>
      </c>
    </row>
    <row r="36" spans="1:19">
      <c r="A36" s="595">
        <v>10</v>
      </c>
      <c r="B36" s="596" t="s">
        <v>373</v>
      </c>
      <c r="C36" s="588">
        <f t="shared" si="7"/>
        <v>258871.90000000002</v>
      </c>
      <c r="D36" s="588">
        <f t="shared" si="8"/>
        <v>258871.9</v>
      </c>
      <c r="E36" s="589"/>
      <c r="F36" s="589"/>
      <c r="G36" s="589"/>
      <c r="H36" s="589"/>
      <c r="I36" s="590">
        <f t="shared" si="10"/>
        <v>258871.9</v>
      </c>
      <c r="J36" s="590">
        <f t="shared" si="11"/>
        <v>0</v>
      </c>
      <c r="K36" s="590">
        <f t="shared" si="9"/>
        <v>0</v>
      </c>
      <c r="L36" s="591">
        <v>0.5</v>
      </c>
      <c r="M36" s="597">
        <f t="shared" si="12"/>
        <v>0</v>
      </c>
      <c r="N36" s="592">
        <v>0.3</v>
      </c>
      <c r="O36" s="593">
        <f t="shared" si="13"/>
        <v>77661.570000000007</v>
      </c>
      <c r="P36" s="590">
        <f>ROUND((D36+((E36-H36)*1.5))*N36,2)</f>
        <v>77661.570000000007</v>
      </c>
      <c r="Q36" s="590">
        <f t="shared" si="14"/>
        <v>181210.33000000002</v>
      </c>
      <c r="R36" s="590">
        <f t="shared" si="14"/>
        <v>181210.33</v>
      </c>
      <c r="S36" s="590">
        <f t="shared" si="15"/>
        <v>0</v>
      </c>
    </row>
    <row r="37" spans="1:19" ht="15" thickBot="1">
      <c r="A37" s="595"/>
      <c r="B37" s="596"/>
      <c r="C37" s="588">
        <f t="shared" si="7"/>
        <v>0</v>
      </c>
      <c r="D37" s="588">
        <f t="shared" si="8"/>
        <v>0</v>
      </c>
      <c r="E37" s="589"/>
      <c r="F37" s="589"/>
      <c r="G37" s="589"/>
      <c r="H37" s="589"/>
      <c r="I37" s="590">
        <f t="shared" si="10"/>
        <v>0</v>
      </c>
      <c r="J37" s="590">
        <f t="shared" si="11"/>
        <v>0</v>
      </c>
      <c r="K37" s="590">
        <f t="shared" si="9"/>
        <v>0</v>
      </c>
      <c r="L37" s="591"/>
      <c r="M37" s="597">
        <f t="shared" si="12"/>
        <v>0</v>
      </c>
      <c r="N37" s="598"/>
      <c r="O37" s="589"/>
      <c r="P37" s="589"/>
      <c r="Q37" s="590">
        <f t="shared" si="14"/>
        <v>0</v>
      </c>
      <c r="R37" s="590">
        <f t="shared" si="14"/>
        <v>0</v>
      </c>
      <c r="S37" s="590">
        <f t="shared" si="15"/>
        <v>0</v>
      </c>
    </row>
    <row r="38" spans="1:19" ht="15" thickBot="1">
      <c r="A38" s="599"/>
      <c r="B38" s="600" t="s">
        <v>374</v>
      </c>
      <c r="C38" s="601">
        <f t="shared" ref="C38:K38" si="16">SUM(C27:C37)</f>
        <v>12504598.015000001</v>
      </c>
      <c r="D38" s="601">
        <f t="shared" si="16"/>
        <v>12398981.32</v>
      </c>
      <c r="E38" s="601">
        <f t="shared" si="16"/>
        <v>2728323</v>
      </c>
      <c r="F38" s="601">
        <f t="shared" si="16"/>
        <v>2722850</v>
      </c>
      <c r="G38" s="601">
        <f t="shared" si="16"/>
        <v>0</v>
      </c>
      <c r="H38" s="601">
        <f t="shared" si="16"/>
        <v>0</v>
      </c>
      <c r="I38" s="601">
        <f t="shared" si="16"/>
        <v>15127304.320000002</v>
      </c>
      <c r="J38" s="601">
        <f t="shared" si="16"/>
        <v>0</v>
      </c>
      <c r="K38" s="601">
        <f t="shared" si="16"/>
        <v>2722850</v>
      </c>
      <c r="L38" s="601"/>
      <c r="M38" s="601">
        <f>SUM(M27:M37)</f>
        <v>1345046.5</v>
      </c>
      <c r="N38" s="602"/>
      <c r="O38" s="603">
        <f>SUM(O27:O37)</f>
        <v>1147542.9771500002</v>
      </c>
      <c r="P38" s="603">
        <f>SUM(P27:P37)</f>
        <v>1370199.79</v>
      </c>
      <c r="Q38" s="604">
        <f>SUM(Q27:Q37)</f>
        <v>14085378.03785</v>
      </c>
      <c r="R38" s="604">
        <f>SUM(R27:R37)</f>
        <v>13757104.530000001</v>
      </c>
      <c r="S38" s="604">
        <f>SUM(S27:S37)</f>
        <v>-328273.50784999755</v>
      </c>
    </row>
    <row r="39" spans="1:19" ht="15" thickBot="1"/>
    <row r="40" spans="1:19" ht="15" thickBot="1">
      <c r="O40" s="607" t="s">
        <v>375</v>
      </c>
      <c r="P40" s="603">
        <f>P38-O38</f>
        <v>222656.81284999987</v>
      </c>
    </row>
    <row r="41" spans="1:19" ht="15" thickBot="1">
      <c r="O41" s="607" t="s">
        <v>378</v>
      </c>
      <c r="P41" s="605">
        <v>0.26500000000000001</v>
      </c>
    </row>
    <row r="42" spans="1:19" ht="15" thickBot="1">
      <c r="O42" s="607" t="s">
        <v>380</v>
      </c>
      <c r="P42" s="606">
        <f>ROUND(P40*P41,0)</f>
        <v>59004</v>
      </c>
    </row>
    <row r="43" spans="1:19" ht="15" thickBot="1">
      <c r="O43" s="607" t="s">
        <v>379</v>
      </c>
      <c r="P43" s="606">
        <f>ROUND(P42/(1-P41),0)</f>
        <v>80278</v>
      </c>
    </row>
    <row r="44" spans="1:19" ht="17.399999999999999">
      <c r="A44" s="580" t="s">
        <v>377</v>
      </c>
      <c r="B44" s="581"/>
      <c r="C44" s="581"/>
      <c r="D44" s="581"/>
      <c r="E44" s="581"/>
      <c r="F44" s="581"/>
      <c r="G44" s="581"/>
      <c r="H44" s="581"/>
      <c r="I44" s="581"/>
      <c r="J44" s="581"/>
      <c r="K44" s="581"/>
      <c r="L44" s="581"/>
      <c r="M44" s="581"/>
      <c r="N44" s="581"/>
      <c r="O44" s="581"/>
      <c r="P44" s="581"/>
      <c r="Q44" s="581"/>
      <c r="R44" s="581"/>
      <c r="S44" s="581"/>
    </row>
    <row r="45" spans="1:19">
      <c r="A45" s="583"/>
      <c r="B45" s="581"/>
      <c r="C45" s="583"/>
      <c r="D45" s="583"/>
      <c r="E45" s="583"/>
      <c r="F45" s="583"/>
      <c r="G45" s="583"/>
      <c r="H45" s="583"/>
      <c r="I45" s="583"/>
      <c r="J45" s="583"/>
      <c r="K45" s="583"/>
      <c r="L45" s="583"/>
      <c r="M45" s="583"/>
      <c r="N45" s="583"/>
      <c r="O45" s="583"/>
      <c r="P45" s="583"/>
      <c r="Q45" s="583"/>
      <c r="R45" s="583"/>
      <c r="S45" s="581"/>
    </row>
    <row r="46" spans="1:19" ht="91.8">
      <c r="A46" s="584" t="s">
        <v>344</v>
      </c>
      <c r="B46" s="585" t="s">
        <v>345</v>
      </c>
      <c r="C46" s="584" t="s">
        <v>346</v>
      </c>
      <c r="D46" s="584" t="s">
        <v>347</v>
      </c>
      <c r="E46" s="584" t="s">
        <v>348</v>
      </c>
      <c r="F46" s="584" t="s">
        <v>349</v>
      </c>
      <c r="G46" s="584" t="s">
        <v>350</v>
      </c>
      <c r="H46" s="584" t="s">
        <v>351</v>
      </c>
      <c r="I46" s="584" t="s">
        <v>352</v>
      </c>
      <c r="J46" s="584" t="s">
        <v>353</v>
      </c>
      <c r="K46" s="584" t="s">
        <v>354</v>
      </c>
      <c r="L46" s="584" t="s">
        <v>355</v>
      </c>
      <c r="M46" s="584" t="s">
        <v>356</v>
      </c>
      <c r="N46" s="584" t="s">
        <v>357</v>
      </c>
      <c r="O46" s="584" t="s">
        <v>358</v>
      </c>
      <c r="P46" s="584" t="s">
        <v>359</v>
      </c>
      <c r="Q46" s="584" t="s">
        <v>360</v>
      </c>
      <c r="R46" s="584" t="s">
        <v>361</v>
      </c>
      <c r="S46" s="584" t="s">
        <v>362</v>
      </c>
    </row>
    <row r="47" spans="1:19">
      <c r="A47" s="586">
        <v>1</v>
      </c>
      <c r="B47" s="587" t="s">
        <v>363</v>
      </c>
      <c r="C47" s="588">
        <f t="shared" ref="C47:C57" si="17">Q27</f>
        <v>402090.2464</v>
      </c>
      <c r="D47" s="588">
        <f t="shared" ref="D47:D57" si="18">R27</f>
        <v>399921.71</v>
      </c>
      <c r="E47" s="589">
        <v>10343</v>
      </c>
      <c r="F47" s="589">
        <v>10343</v>
      </c>
      <c r="G47" s="589"/>
      <c r="H47" s="589"/>
      <c r="I47" s="590">
        <f>IFERROR(D47+E47+G47-H47,0)</f>
        <v>410264.71</v>
      </c>
      <c r="J47" s="590">
        <f>IF((H47+-E47+F47)&lt;0,0,(H47-E47+F47))</f>
        <v>0</v>
      </c>
      <c r="K47" s="590">
        <f t="shared" ref="K47:K57" si="19">IF((F47-J47)&lt;0,0,(F47-J47))</f>
        <v>10343</v>
      </c>
      <c r="L47" s="591">
        <v>0.5</v>
      </c>
      <c r="M47" s="590">
        <f>K47*L47</f>
        <v>5171.5</v>
      </c>
      <c r="N47" s="592">
        <v>0.04</v>
      </c>
      <c r="O47" s="593">
        <f>C47*N47+(E47-H47)*0.5*N47</f>
        <v>16290.469856000002</v>
      </c>
      <c r="P47" s="590">
        <f>ROUND((D47+((E47-H47)*1.5))*N47,2)</f>
        <v>16617.45</v>
      </c>
      <c r="Q47" s="590">
        <f>C47+$E47+$G47-$H47-O47</f>
        <v>396142.77654400002</v>
      </c>
      <c r="R47" s="590">
        <f>D47+$E47+$G47-$H47-P47</f>
        <v>393647.26</v>
      </c>
      <c r="S47" s="590">
        <f>R47-Q47</f>
        <v>-2495.5165440000128</v>
      </c>
    </row>
    <row r="48" spans="1:19">
      <c r="A48" s="586" t="s">
        <v>364</v>
      </c>
      <c r="B48" s="587" t="s">
        <v>365</v>
      </c>
      <c r="C48" s="588">
        <f t="shared" si="17"/>
        <v>2887961.7744</v>
      </c>
      <c r="D48" s="588">
        <f t="shared" si="18"/>
        <v>2887961.7699999996</v>
      </c>
      <c r="E48" s="589"/>
      <c r="F48" s="589"/>
      <c r="G48" s="589"/>
      <c r="H48" s="589"/>
      <c r="I48" s="590">
        <f t="shared" ref="I48:I57" si="20">IFERROR(D48+E48+G48-H48,"")</f>
        <v>2887961.7699999996</v>
      </c>
      <c r="J48" s="590">
        <f t="shared" ref="J48:J57" si="21">IF((H48+-E48+F48)&lt;0,0,(H48-E48+F48))</f>
        <v>0</v>
      </c>
      <c r="K48" s="590">
        <f t="shared" si="19"/>
        <v>0</v>
      </c>
      <c r="L48" s="591">
        <v>0.5</v>
      </c>
      <c r="M48" s="590">
        <f t="shared" ref="M48:M57" si="22">K48*L48</f>
        <v>0</v>
      </c>
      <c r="N48" s="592">
        <v>0.06</v>
      </c>
      <c r="O48" s="593">
        <f t="shared" ref="O48:O50" si="23">C48*N48+(E48-H48)*0.5*N48</f>
        <v>173277.70646399999</v>
      </c>
      <c r="P48" s="590">
        <f>ROUND((D48+((E48-H48)*1.5))*N48,2)</f>
        <v>173277.71</v>
      </c>
      <c r="Q48" s="590">
        <f t="shared" ref="Q48:R57" si="24">C48+$E48+$G48-$H48-O48</f>
        <v>2714684.0679359999</v>
      </c>
      <c r="R48" s="590">
        <f t="shared" si="24"/>
        <v>2714684.0599999996</v>
      </c>
      <c r="S48" s="590">
        <f t="shared" ref="S48:S57" si="25">R48-Q48</f>
        <v>-7.9360003583133221E-3</v>
      </c>
    </row>
    <row r="49" spans="1:19">
      <c r="A49" s="594">
        <v>8</v>
      </c>
      <c r="B49" s="587" t="s">
        <v>366</v>
      </c>
      <c r="C49" s="588">
        <f t="shared" si="17"/>
        <v>396624.43999999994</v>
      </c>
      <c r="D49" s="588">
        <f t="shared" si="18"/>
        <v>348064.83999999997</v>
      </c>
      <c r="E49" s="589">
        <v>36561</v>
      </c>
      <c r="F49" s="589">
        <v>36561</v>
      </c>
      <c r="G49" s="589"/>
      <c r="H49" s="589"/>
      <c r="I49" s="590">
        <f t="shared" si="20"/>
        <v>384625.83999999997</v>
      </c>
      <c r="J49" s="590">
        <f t="shared" si="21"/>
        <v>0</v>
      </c>
      <c r="K49" s="590">
        <f t="shared" si="19"/>
        <v>36561</v>
      </c>
      <c r="L49" s="591">
        <v>0.5</v>
      </c>
      <c r="M49" s="590">
        <f t="shared" si="22"/>
        <v>18280.5</v>
      </c>
      <c r="N49" s="592">
        <v>0.2</v>
      </c>
      <c r="O49" s="593">
        <f t="shared" si="23"/>
        <v>82980.987999999998</v>
      </c>
      <c r="P49" s="590">
        <f>ROUND((D49+((E49-H49)*1.5))*N49,2)</f>
        <v>80581.27</v>
      </c>
      <c r="Q49" s="590">
        <f t="shared" si="24"/>
        <v>350204.45199999993</v>
      </c>
      <c r="R49" s="590">
        <f t="shared" si="24"/>
        <v>304044.56999999995</v>
      </c>
      <c r="S49" s="590">
        <f t="shared" si="25"/>
        <v>-46159.881999999983</v>
      </c>
    </row>
    <row r="50" spans="1:19">
      <c r="A50" s="594">
        <v>14.1</v>
      </c>
      <c r="B50" s="587" t="s">
        <v>367</v>
      </c>
      <c r="C50" s="588">
        <f t="shared" si="17"/>
        <v>1151450.0190000001</v>
      </c>
      <c r="D50" s="588">
        <f t="shared" si="18"/>
        <v>1151450.02</v>
      </c>
      <c r="E50" s="589"/>
      <c r="F50" s="589"/>
      <c r="G50" s="589"/>
      <c r="H50" s="589"/>
      <c r="I50" s="590">
        <f t="shared" si="20"/>
        <v>1151450.02</v>
      </c>
      <c r="J50" s="590">
        <f t="shared" si="21"/>
        <v>0</v>
      </c>
      <c r="K50" s="590">
        <f t="shared" si="19"/>
        <v>0</v>
      </c>
      <c r="L50" s="591">
        <v>0.5</v>
      </c>
      <c r="M50" s="590">
        <f t="shared" si="22"/>
        <v>0</v>
      </c>
      <c r="N50" s="592">
        <v>7.0000000000000007E-2</v>
      </c>
      <c r="O50" s="593">
        <f t="shared" si="23"/>
        <v>80601.501330000014</v>
      </c>
      <c r="P50" s="590">
        <f>ROUND((D50+((E50-H50)*1.5))*N50,2)</f>
        <v>80601.5</v>
      </c>
      <c r="Q50" s="590">
        <f t="shared" si="24"/>
        <v>1070848.51767</v>
      </c>
      <c r="R50" s="590">
        <f t="shared" si="24"/>
        <v>1070848.52</v>
      </c>
      <c r="S50" s="590">
        <f t="shared" si="25"/>
        <v>2.3300000466406345E-3</v>
      </c>
    </row>
    <row r="51" spans="1:19">
      <c r="A51" s="594">
        <v>12</v>
      </c>
      <c r="B51" s="587" t="s">
        <v>368</v>
      </c>
      <c r="C51" s="588">
        <f t="shared" si="17"/>
        <v>0</v>
      </c>
      <c r="D51" s="588">
        <f t="shared" si="18"/>
        <v>0</v>
      </c>
      <c r="E51" s="589"/>
      <c r="F51" s="589"/>
      <c r="G51" s="589"/>
      <c r="H51" s="589"/>
      <c r="I51" s="590">
        <f t="shared" si="20"/>
        <v>0</v>
      </c>
      <c r="J51" s="590">
        <f t="shared" si="21"/>
        <v>0</v>
      </c>
      <c r="K51" s="590">
        <f t="shared" si="19"/>
        <v>0</v>
      </c>
      <c r="L51" s="591">
        <v>0</v>
      </c>
      <c r="M51" s="590">
        <f t="shared" si="22"/>
        <v>0</v>
      </c>
      <c r="N51" s="592">
        <v>1</v>
      </c>
      <c r="O51" s="593">
        <f>C51*N51+(E51-H51)*1*N51</f>
        <v>0</v>
      </c>
      <c r="P51" s="590">
        <f>ROUND((D51+((E51-H51)*1))*N51,2)</f>
        <v>0</v>
      </c>
      <c r="Q51" s="590">
        <f t="shared" si="24"/>
        <v>0</v>
      </c>
      <c r="R51" s="590">
        <f t="shared" si="24"/>
        <v>0</v>
      </c>
      <c r="S51" s="590">
        <f t="shared" si="25"/>
        <v>0</v>
      </c>
    </row>
    <row r="52" spans="1:19">
      <c r="A52" s="586">
        <v>45</v>
      </c>
      <c r="B52" s="587" t="s">
        <v>369</v>
      </c>
      <c r="C52" s="588">
        <f t="shared" si="17"/>
        <v>32392.478749999995</v>
      </c>
      <c r="D52" s="588">
        <f t="shared" si="18"/>
        <v>14328.150000000005</v>
      </c>
      <c r="E52" s="589"/>
      <c r="F52" s="589"/>
      <c r="G52" s="589"/>
      <c r="H52" s="589"/>
      <c r="I52" s="590">
        <f t="shared" si="20"/>
        <v>14328.150000000005</v>
      </c>
      <c r="J52" s="590">
        <f t="shared" si="21"/>
        <v>0</v>
      </c>
      <c r="K52" s="590">
        <f t="shared" si="19"/>
        <v>0</v>
      </c>
      <c r="L52" s="591">
        <v>0</v>
      </c>
      <c r="M52" s="590">
        <f t="shared" si="22"/>
        <v>0</v>
      </c>
      <c r="N52" s="592">
        <v>0.45</v>
      </c>
      <c r="O52" s="593">
        <f t="shared" ref="O52:O56" si="26">C52*N52+(E52-H52)*0.5*N52</f>
        <v>14576.615437499999</v>
      </c>
      <c r="P52" s="590">
        <f>ROUND((D52+((E52-H52)*1.5))*N52,2)</f>
        <v>6447.67</v>
      </c>
      <c r="Q52" s="590">
        <f t="shared" si="24"/>
        <v>17815.863312499998</v>
      </c>
      <c r="R52" s="590">
        <f t="shared" si="24"/>
        <v>7880.480000000005</v>
      </c>
      <c r="S52" s="590">
        <f t="shared" si="25"/>
        <v>-9935.3833124999928</v>
      </c>
    </row>
    <row r="53" spans="1:19">
      <c r="A53" s="595">
        <v>47</v>
      </c>
      <c r="B53" s="596" t="s">
        <v>370</v>
      </c>
      <c r="C53" s="588">
        <f t="shared" si="17"/>
        <v>9032265.8767999988</v>
      </c>
      <c r="D53" s="588">
        <f t="shared" si="18"/>
        <v>8772784.8400000017</v>
      </c>
      <c r="E53" s="589">
        <v>859188</v>
      </c>
      <c r="F53" s="589">
        <v>859188</v>
      </c>
      <c r="G53" s="589"/>
      <c r="H53" s="589"/>
      <c r="I53" s="590">
        <f t="shared" si="20"/>
        <v>9631972.8400000017</v>
      </c>
      <c r="J53" s="590">
        <f t="shared" si="21"/>
        <v>0</v>
      </c>
      <c r="K53" s="590">
        <f t="shared" si="19"/>
        <v>859188</v>
      </c>
      <c r="L53" s="591">
        <v>0.5</v>
      </c>
      <c r="M53" s="590">
        <f t="shared" si="22"/>
        <v>429594</v>
      </c>
      <c r="N53" s="592">
        <v>0.08</v>
      </c>
      <c r="O53" s="593">
        <f t="shared" si="26"/>
        <v>756948.79014399997</v>
      </c>
      <c r="P53" s="590">
        <f>ROUND((D53+((E53-H53)*1.5))*N53,2)</f>
        <v>804925.35</v>
      </c>
      <c r="Q53" s="590">
        <f t="shared" si="24"/>
        <v>9134505.0866559986</v>
      </c>
      <c r="R53" s="590">
        <f t="shared" si="24"/>
        <v>8827047.4900000021</v>
      </c>
      <c r="S53" s="590">
        <f t="shared" si="25"/>
        <v>-307457.59665599652</v>
      </c>
    </row>
    <row r="54" spans="1:19">
      <c r="A54" s="595">
        <v>50</v>
      </c>
      <c r="B54" s="596" t="s">
        <v>371</v>
      </c>
      <c r="C54" s="588">
        <f t="shared" si="17"/>
        <v>1382.8724999999997</v>
      </c>
      <c r="D54" s="588">
        <f t="shared" si="18"/>
        <v>1382.8700000000001</v>
      </c>
      <c r="E54" s="589">
        <v>336273</v>
      </c>
      <c r="F54" s="589">
        <v>336273</v>
      </c>
      <c r="G54" s="589"/>
      <c r="H54" s="589"/>
      <c r="I54" s="590">
        <f t="shared" si="20"/>
        <v>337655.87</v>
      </c>
      <c r="J54" s="590">
        <f t="shared" si="21"/>
        <v>0</v>
      </c>
      <c r="K54" s="590">
        <f t="shared" si="19"/>
        <v>336273</v>
      </c>
      <c r="L54" s="591">
        <v>0.5</v>
      </c>
      <c r="M54" s="590">
        <f t="shared" si="22"/>
        <v>168136.5</v>
      </c>
      <c r="N54" s="592">
        <v>0.55000000000000004</v>
      </c>
      <c r="O54" s="593">
        <f t="shared" si="26"/>
        <v>93235.654875000007</v>
      </c>
      <c r="P54" s="590">
        <f>ROUND((D54+((E54-H54)*1.5))*N54,2)</f>
        <v>278185.8</v>
      </c>
      <c r="Q54" s="590">
        <f t="shared" si="24"/>
        <v>244420.21762499999</v>
      </c>
      <c r="R54" s="590">
        <f t="shared" si="24"/>
        <v>59470.070000000007</v>
      </c>
      <c r="S54" s="590">
        <f t="shared" si="25"/>
        <v>-184950.14762499998</v>
      </c>
    </row>
    <row r="55" spans="1:19">
      <c r="A55" s="595">
        <v>95</v>
      </c>
      <c r="B55" s="596" t="s">
        <v>372</v>
      </c>
      <c r="C55" s="588">
        <f t="shared" si="17"/>
        <v>0</v>
      </c>
      <c r="D55" s="588">
        <f t="shared" si="18"/>
        <v>0</v>
      </c>
      <c r="E55" s="589"/>
      <c r="F55" s="589"/>
      <c r="G55" s="589"/>
      <c r="H55" s="589"/>
      <c r="I55" s="590">
        <f t="shared" si="20"/>
        <v>0</v>
      </c>
      <c r="J55" s="590">
        <f t="shared" si="21"/>
        <v>0</v>
      </c>
      <c r="K55" s="590">
        <f t="shared" si="19"/>
        <v>0</v>
      </c>
      <c r="L55" s="591">
        <v>0</v>
      </c>
      <c r="M55" s="590">
        <f t="shared" si="22"/>
        <v>0</v>
      </c>
      <c r="N55" s="592">
        <v>0</v>
      </c>
      <c r="O55" s="593">
        <f t="shared" si="26"/>
        <v>0</v>
      </c>
      <c r="P55" s="590">
        <f>ROUND((D55+((E55-H55)*1.5))*N55,2)</f>
        <v>0</v>
      </c>
      <c r="Q55" s="590">
        <f t="shared" si="24"/>
        <v>0</v>
      </c>
      <c r="R55" s="590">
        <f t="shared" si="24"/>
        <v>0</v>
      </c>
      <c r="S55" s="590">
        <f t="shared" si="25"/>
        <v>0</v>
      </c>
    </row>
    <row r="56" spans="1:19">
      <c r="A56" s="595">
        <v>10</v>
      </c>
      <c r="B56" s="596" t="s">
        <v>373</v>
      </c>
      <c r="C56" s="588">
        <f t="shared" si="17"/>
        <v>181210.33000000002</v>
      </c>
      <c r="D56" s="588">
        <f t="shared" si="18"/>
        <v>181210.33</v>
      </c>
      <c r="E56" s="589">
        <v>13602</v>
      </c>
      <c r="F56" s="589">
        <v>13602</v>
      </c>
      <c r="G56" s="589"/>
      <c r="H56" s="589"/>
      <c r="I56" s="590">
        <f t="shared" si="20"/>
        <v>194812.33</v>
      </c>
      <c r="J56" s="590">
        <f t="shared" si="21"/>
        <v>0</v>
      </c>
      <c r="K56" s="590">
        <f t="shared" si="19"/>
        <v>13602</v>
      </c>
      <c r="L56" s="591">
        <v>0.5</v>
      </c>
      <c r="M56" s="597">
        <f t="shared" si="22"/>
        <v>6801</v>
      </c>
      <c r="N56" s="592">
        <v>0.3</v>
      </c>
      <c r="O56" s="593">
        <f t="shared" si="26"/>
        <v>56403.399000000005</v>
      </c>
      <c r="P56" s="590">
        <f>ROUND((D56+((E56-H56)*1.5))*N56,2)</f>
        <v>60484</v>
      </c>
      <c r="Q56" s="590">
        <f t="shared" si="24"/>
        <v>138408.93100000001</v>
      </c>
      <c r="R56" s="590">
        <f t="shared" si="24"/>
        <v>134328.32999999999</v>
      </c>
      <c r="S56" s="590">
        <f t="shared" si="25"/>
        <v>-4080.6010000000242</v>
      </c>
    </row>
    <row r="57" spans="1:19" ht="15" thickBot="1">
      <c r="A57" s="595"/>
      <c r="B57" s="596"/>
      <c r="C57" s="588">
        <f t="shared" si="17"/>
        <v>0</v>
      </c>
      <c r="D57" s="588">
        <f t="shared" si="18"/>
        <v>0</v>
      </c>
      <c r="E57" s="589"/>
      <c r="F57" s="589"/>
      <c r="G57" s="589"/>
      <c r="H57" s="589"/>
      <c r="I57" s="590">
        <f t="shared" si="20"/>
        <v>0</v>
      </c>
      <c r="J57" s="590">
        <f t="shared" si="21"/>
        <v>0</v>
      </c>
      <c r="K57" s="590">
        <f t="shared" si="19"/>
        <v>0</v>
      </c>
      <c r="L57" s="591"/>
      <c r="M57" s="597">
        <f t="shared" si="22"/>
        <v>0</v>
      </c>
      <c r="N57" s="598"/>
      <c r="O57" s="589"/>
      <c r="P57" s="589"/>
      <c r="Q57" s="590">
        <f t="shared" si="24"/>
        <v>0</v>
      </c>
      <c r="R57" s="590">
        <f t="shared" si="24"/>
        <v>0</v>
      </c>
      <c r="S57" s="590">
        <f t="shared" si="25"/>
        <v>0</v>
      </c>
    </row>
    <row r="58" spans="1:19" ht="15" thickBot="1">
      <c r="A58" s="599"/>
      <c r="B58" s="600" t="s">
        <v>374</v>
      </c>
      <c r="C58" s="601">
        <f t="shared" ref="C58:K58" si="27">SUM(C47:C57)</f>
        <v>14085378.03785</v>
      </c>
      <c r="D58" s="601">
        <f t="shared" si="27"/>
        <v>13757104.530000001</v>
      </c>
      <c r="E58" s="601">
        <f t="shared" si="27"/>
        <v>1255967</v>
      </c>
      <c r="F58" s="601">
        <f t="shared" si="27"/>
        <v>1255967</v>
      </c>
      <c r="G58" s="601">
        <f t="shared" si="27"/>
        <v>0</v>
      </c>
      <c r="H58" s="601">
        <f t="shared" si="27"/>
        <v>0</v>
      </c>
      <c r="I58" s="601">
        <f t="shared" si="27"/>
        <v>15013071.530000001</v>
      </c>
      <c r="J58" s="601">
        <f t="shared" si="27"/>
        <v>0</v>
      </c>
      <c r="K58" s="601">
        <f t="shared" si="27"/>
        <v>1255967</v>
      </c>
      <c r="L58" s="601"/>
      <c r="M58" s="601">
        <f>SUM(M47:M57)</f>
        <v>627983.5</v>
      </c>
      <c r="N58" s="602"/>
      <c r="O58" s="603">
        <f>SUM(O47:O57)</f>
        <v>1274315.1251065</v>
      </c>
      <c r="P58" s="603">
        <f>SUM(P47:P57)</f>
        <v>1501120.75</v>
      </c>
      <c r="Q58" s="604">
        <f>SUM(Q47:Q57)</f>
        <v>14067029.912743498</v>
      </c>
      <c r="R58" s="604">
        <f>SUM(R47:R57)</f>
        <v>13511950.780000003</v>
      </c>
      <c r="S58" s="604">
        <f>SUM(S47:S57)</f>
        <v>-555079.1327434968</v>
      </c>
    </row>
    <row r="59" spans="1:19" ht="15" thickBot="1"/>
    <row r="60" spans="1:19" ht="15" thickBot="1">
      <c r="O60" s="607" t="s">
        <v>375</v>
      </c>
      <c r="P60" s="603">
        <f>P58-O58</f>
        <v>226805.6248935</v>
      </c>
    </row>
    <row r="61" spans="1:19" ht="15" thickBot="1">
      <c r="O61" s="607" t="s">
        <v>378</v>
      </c>
      <c r="P61" s="605">
        <v>0.26500000000000001</v>
      </c>
    </row>
    <row r="62" spans="1:19" ht="15" thickBot="1">
      <c r="O62" s="607" t="s">
        <v>380</v>
      </c>
      <c r="P62" s="606">
        <f>ROUND(P60*P61,0)</f>
        <v>60103</v>
      </c>
    </row>
    <row r="63" spans="1:19" ht="15" thickBot="1">
      <c r="O63" s="607" t="s">
        <v>379</v>
      </c>
      <c r="P63" s="606">
        <f>ROUND(P62/(1-P61),0)</f>
        <v>81773</v>
      </c>
    </row>
  </sheetData>
  <mergeCells count="2">
    <mergeCell ref="A1:S1"/>
    <mergeCell ref="A2:S2"/>
  </mergeCells>
  <conditionalFormatting sqref="L16:M17 N15:N17 E7:H17">
    <cfRule type="expression" dxfId="11" priority="11" stopIfTrue="1">
      <formula>ISBLANK(E7)</formula>
    </cfRule>
  </conditionalFormatting>
  <conditionalFormatting sqref="A7:B17 D7:D17">
    <cfRule type="expression" dxfId="10" priority="12" stopIfTrue="1">
      <formula>LEN(A7)&gt;0</formula>
    </cfRule>
  </conditionalFormatting>
  <conditionalFormatting sqref="A7:B7">
    <cfRule type="expression" dxfId="9" priority="10" stopIfTrue="1">
      <formula>LEN(A7)&gt;0</formula>
    </cfRule>
  </conditionalFormatting>
  <conditionalFormatting sqref="C7:C17">
    <cfRule type="expression" dxfId="8" priority="9" stopIfTrue="1">
      <formula>LEN(C7)&gt;0</formula>
    </cfRule>
  </conditionalFormatting>
  <conditionalFormatting sqref="L36:M37 N35:N37 E27:H37">
    <cfRule type="expression" dxfId="7" priority="7" stopIfTrue="1">
      <formula>ISBLANK(E27)</formula>
    </cfRule>
  </conditionalFormatting>
  <conditionalFormatting sqref="A27:B37">
    <cfRule type="expression" dxfId="6" priority="8" stopIfTrue="1">
      <formula>LEN(A27)&gt;0</formula>
    </cfRule>
  </conditionalFormatting>
  <conditionalFormatting sqref="A27:B27">
    <cfRule type="expression" dxfId="5" priority="6" stopIfTrue="1">
      <formula>LEN(A27)&gt;0</formula>
    </cfRule>
  </conditionalFormatting>
  <conditionalFormatting sqref="C27:D37">
    <cfRule type="expression" dxfId="4" priority="5" stopIfTrue="1">
      <formula>LEN(C27)&gt;0</formula>
    </cfRule>
  </conditionalFormatting>
  <conditionalFormatting sqref="L56:M57 N55:N57 E47:H57">
    <cfRule type="expression" dxfId="3" priority="3" stopIfTrue="1">
      <formula>ISBLANK(E47)</formula>
    </cfRule>
  </conditionalFormatting>
  <conditionalFormatting sqref="A47:B57">
    <cfRule type="expression" dxfId="2" priority="4" stopIfTrue="1">
      <formula>LEN(A47)&gt;0</formula>
    </cfRule>
  </conditionalFormatting>
  <conditionalFormatting sqref="A47:B47">
    <cfRule type="expression" dxfId="1" priority="2" stopIfTrue="1">
      <formula>LEN(A47)&gt;0</formula>
    </cfRule>
  </conditionalFormatting>
  <conditionalFormatting sqref="C47:D57">
    <cfRule type="expression" dxfId="0" priority="1" stopIfTrue="1">
      <formula>LEN(C47)&gt;0</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sqref="A1:H2"/>
    </sheetView>
  </sheetViews>
  <sheetFormatPr defaultRowHeight="14.4"/>
  <cols>
    <col min="1" max="1" width="14.33203125" bestFit="1" customWidth="1"/>
    <col min="2" max="2" width="30.6640625" bestFit="1" customWidth="1"/>
    <col min="3" max="8" width="12.6640625" customWidth="1"/>
  </cols>
  <sheetData>
    <row r="1" spans="1:8">
      <c r="A1" s="763" t="s">
        <v>39</v>
      </c>
      <c r="B1" s="763"/>
      <c r="C1" s="763"/>
      <c r="D1" s="763"/>
      <c r="E1" s="763"/>
      <c r="F1" s="763"/>
      <c r="G1" s="763"/>
      <c r="H1" s="763"/>
    </row>
    <row r="2" spans="1:8">
      <c r="A2" s="763" t="s">
        <v>563</v>
      </c>
      <c r="B2" s="763"/>
      <c r="C2" s="763"/>
      <c r="D2" s="763"/>
      <c r="E2" s="763"/>
      <c r="F2" s="763"/>
      <c r="G2" s="763"/>
      <c r="H2" s="763"/>
    </row>
    <row r="5" spans="1:8">
      <c r="A5" s="710" t="s">
        <v>564</v>
      </c>
      <c r="B5" s="710" t="s">
        <v>565</v>
      </c>
      <c r="C5" s="711">
        <v>2016</v>
      </c>
      <c r="D5" s="711">
        <v>2017</v>
      </c>
      <c r="E5" s="711">
        <v>2018</v>
      </c>
      <c r="F5" s="711">
        <v>2019</v>
      </c>
      <c r="G5" s="711">
        <v>2020</v>
      </c>
      <c r="H5" s="711">
        <v>2021</v>
      </c>
    </row>
    <row r="6" spans="1:8">
      <c r="A6" s="810" t="s">
        <v>3</v>
      </c>
      <c r="B6" s="713" t="s">
        <v>312</v>
      </c>
      <c r="C6" s="714">
        <f>75.894-3.1</f>
        <v>72.794000000000011</v>
      </c>
      <c r="D6" s="714">
        <v>49.801000000000002</v>
      </c>
      <c r="E6" s="714">
        <f>357.05-91.363</f>
        <v>265.68700000000001</v>
      </c>
      <c r="F6" s="714">
        <f>468.091-101.416</f>
        <v>366.67500000000001</v>
      </c>
      <c r="G6" s="714">
        <f>74.398-39.2+34.472</f>
        <v>69.669999999999987</v>
      </c>
      <c r="H6" s="714">
        <f>181.147-H7</f>
        <v>121.14699999999999</v>
      </c>
    </row>
    <row r="7" spans="1:8">
      <c r="A7" s="810"/>
      <c r="B7" s="713" t="s">
        <v>313</v>
      </c>
      <c r="C7" s="714">
        <f>3.099+3.566</f>
        <v>6.665</v>
      </c>
      <c r="D7" s="714">
        <v>35.4</v>
      </c>
      <c r="E7" s="714">
        <v>91.4</v>
      </c>
      <c r="F7" s="714">
        <f>101.416</f>
        <v>101.416</v>
      </c>
      <c r="G7" s="714">
        <v>39.200000000000003</v>
      </c>
      <c r="H7" s="714">
        <v>60</v>
      </c>
    </row>
    <row r="8" spans="1:8">
      <c r="A8" s="810"/>
      <c r="B8" s="713" t="s">
        <v>314</v>
      </c>
      <c r="C8" s="714">
        <v>0</v>
      </c>
      <c r="D8" s="714">
        <v>14.909000000000001</v>
      </c>
      <c r="E8" s="714">
        <v>0</v>
      </c>
      <c r="F8" s="714">
        <v>0</v>
      </c>
      <c r="G8" s="714">
        <f>14.854</f>
        <v>14.853999999999999</v>
      </c>
      <c r="H8" s="714">
        <v>0</v>
      </c>
    </row>
    <row r="9" spans="1:8">
      <c r="A9" s="811" t="s">
        <v>13</v>
      </c>
      <c r="B9" s="715" t="s">
        <v>315</v>
      </c>
      <c r="C9" s="716">
        <v>36.548000000000002</v>
      </c>
      <c r="D9" s="716">
        <f>57.435+0.731+4.012</f>
        <v>62.178000000000004</v>
      </c>
      <c r="E9" s="716">
        <f>74.188+15.908</f>
        <v>90.096000000000004</v>
      </c>
      <c r="F9" s="716">
        <f>155.965-129.225</f>
        <v>26.740000000000009</v>
      </c>
      <c r="G9" s="716">
        <f>48.57</f>
        <v>48.57</v>
      </c>
      <c r="H9" s="716">
        <f>534.984-H10-H11</f>
        <v>96.367000000000033</v>
      </c>
    </row>
    <row r="10" spans="1:8">
      <c r="A10" s="811"/>
      <c r="B10" s="715" t="s">
        <v>316</v>
      </c>
      <c r="C10" s="716">
        <f>461.184</f>
        <v>461.18400000000003</v>
      </c>
      <c r="D10" s="716">
        <f>518.84</f>
        <v>518.84</v>
      </c>
      <c r="E10" s="716">
        <f>745.251</f>
        <v>745.25099999999998</v>
      </c>
      <c r="F10" s="716">
        <f>302.008</f>
        <v>302.00799999999998</v>
      </c>
      <c r="G10" s="716">
        <f>172.826</f>
        <v>172.82599999999999</v>
      </c>
      <c r="H10" s="716">
        <f>381</f>
        <v>381</v>
      </c>
    </row>
    <row r="11" spans="1:8">
      <c r="A11" s="811"/>
      <c r="B11" s="715" t="s">
        <v>317</v>
      </c>
      <c r="C11" s="716">
        <v>79.486000000000004</v>
      </c>
      <c r="D11" s="716">
        <f>24.949</f>
        <v>24.949000000000002</v>
      </c>
      <c r="E11" s="716">
        <f>25.309</f>
        <v>25.309000000000001</v>
      </c>
      <c r="F11" s="716">
        <v>0</v>
      </c>
      <c r="G11" s="716">
        <v>0</v>
      </c>
      <c r="H11" s="716">
        <f>51.472+6.145</f>
        <v>57.617000000000004</v>
      </c>
    </row>
    <row r="12" spans="1:8">
      <c r="A12" s="812" t="s">
        <v>25</v>
      </c>
      <c r="B12" s="713" t="s">
        <v>318</v>
      </c>
      <c r="C12" s="714">
        <v>167.87899999999999</v>
      </c>
      <c r="D12" s="714">
        <f>58.745+58.599</f>
        <v>117.34399999999999</v>
      </c>
      <c r="E12" s="714">
        <f>12.648+4.718+56.943</f>
        <v>74.308999999999997</v>
      </c>
      <c r="F12" s="714">
        <f>64.35</f>
        <v>64.349999999999994</v>
      </c>
      <c r="G12" s="714">
        <f>16.248</f>
        <v>16.248000000000001</v>
      </c>
      <c r="H12" s="714">
        <f>1.134</f>
        <v>1.1339999999999999</v>
      </c>
    </row>
    <row r="13" spans="1:8">
      <c r="A13" s="812"/>
      <c r="B13" s="713" t="s">
        <v>319</v>
      </c>
      <c r="C13" s="714">
        <v>0</v>
      </c>
      <c r="D13" s="714">
        <v>39.130000000000003</v>
      </c>
      <c r="E13" s="714">
        <f>147.575</f>
        <v>147.57499999999999</v>
      </c>
      <c r="F13" s="714">
        <f>42.126</f>
        <v>42.125999999999998</v>
      </c>
      <c r="G13" s="714">
        <f>27.983</f>
        <v>27.983000000000001</v>
      </c>
      <c r="H13" s="714">
        <f>46.25</f>
        <v>46.25</v>
      </c>
    </row>
    <row r="14" spans="1:8">
      <c r="A14" s="813" t="s">
        <v>27</v>
      </c>
      <c r="B14" s="715" t="s">
        <v>320</v>
      </c>
      <c r="C14" s="716">
        <v>22.739000000000001</v>
      </c>
      <c r="D14" s="716">
        <v>40.277000000000001</v>
      </c>
      <c r="E14" s="716">
        <f>16.92</f>
        <v>16.920000000000002</v>
      </c>
      <c r="F14" s="716">
        <v>30.088999999999999</v>
      </c>
      <c r="G14" s="716">
        <f>32.757+5.473</f>
        <v>38.229999999999997</v>
      </c>
      <c r="H14" s="716">
        <v>235.64699999999999</v>
      </c>
    </row>
    <row r="15" spans="1:8">
      <c r="A15" s="813"/>
      <c r="B15" s="715" t="s">
        <v>321</v>
      </c>
      <c r="C15" s="716">
        <v>116.565</v>
      </c>
      <c r="D15" s="716">
        <v>322.428</v>
      </c>
      <c r="E15" s="716">
        <f>16.466+14.532</f>
        <v>30.998000000000001</v>
      </c>
      <c r="F15" s="716">
        <v>390.98500000000001</v>
      </c>
      <c r="G15" s="716">
        <f>53.554</f>
        <v>53.554000000000002</v>
      </c>
      <c r="H15" s="716">
        <v>3.6019999999999999</v>
      </c>
    </row>
    <row r="16" spans="1:8">
      <c r="A16" s="813"/>
      <c r="B16" s="715" t="s">
        <v>322</v>
      </c>
      <c r="C16" s="716">
        <v>0</v>
      </c>
      <c r="D16" s="716">
        <v>0.999</v>
      </c>
      <c r="E16" s="716">
        <f>3.18</f>
        <v>3.18</v>
      </c>
      <c r="F16" s="716">
        <v>0</v>
      </c>
      <c r="G16" s="716">
        <f>2.499+3.247</f>
        <v>5.7460000000000004</v>
      </c>
      <c r="H16" s="716">
        <f>81.833</f>
        <v>81.832999999999998</v>
      </c>
    </row>
    <row r="17" spans="1:8">
      <c r="A17" s="813"/>
      <c r="B17" s="715" t="s">
        <v>323</v>
      </c>
      <c r="C17" s="716">
        <v>95.301000000000002</v>
      </c>
      <c r="D17" s="716">
        <f>11.03</f>
        <v>11.03</v>
      </c>
      <c r="E17" s="716">
        <f>0.005+0.368</f>
        <v>0.373</v>
      </c>
      <c r="F17" s="716">
        <f>1.834+4.189</f>
        <v>6.0229999999999997</v>
      </c>
      <c r="G17" s="716">
        <v>64.209999999999994</v>
      </c>
      <c r="H17" s="716">
        <f>72.237</f>
        <v>72.236999999999995</v>
      </c>
    </row>
    <row r="18" spans="1:8">
      <c r="A18" s="809" t="s">
        <v>2</v>
      </c>
      <c r="B18" s="809"/>
      <c r="C18" s="712">
        <f>SUM(C6:C17)</f>
        <v>1059.1610000000001</v>
      </c>
      <c r="D18" s="712">
        <f t="shared" ref="D18:H18" si="0">SUM(D6:D17)</f>
        <v>1237.2850000000001</v>
      </c>
      <c r="E18" s="712">
        <f t="shared" si="0"/>
        <v>1491.0980000000002</v>
      </c>
      <c r="F18" s="712">
        <f t="shared" si="0"/>
        <v>1330.412</v>
      </c>
      <c r="G18" s="712">
        <f t="shared" si="0"/>
        <v>551.09100000000001</v>
      </c>
      <c r="H18" s="712">
        <f t="shared" si="0"/>
        <v>1156.8340000000001</v>
      </c>
    </row>
  </sheetData>
  <mergeCells count="7">
    <mergeCell ref="A18:B18"/>
    <mergeCell ref="A1:H1"/>
    <mergeCell ref="A2:H2"/>
    <mergeCell ref="A6:A8"/>
    <mergeCell ref="A9:A11"/>
    <mergeCell ref="A12:A13"/>
    <mergeCell ref="A14:A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workbookViewId="0">
      <selection activeCell="E17" sqref="E17"/>
    </sheetView>
  </sheetViews>
  <sheetFormatPr defaultRowHeight="14.4"/>
  <cols>
    <col min="2" max="2" width="14.21875" style="717" bestFit="1" customWidth="1"/>
    <col min="3" max="6" width="15.44140625" style="717" customWidth="1"/>
    <col min="7" max="7" width="15.21875" style="717" bestFit="1" customWidth="1"/>
    <col min="8" max="9" width="6.5546875" style="718" bestFit="1" customWidth="1"/>
    <col min="10" max="11" width="11.77734375" style="718" customWidth="1"/>
    <col min="12" max="13" width="13.21875" style="717" bestFit="1" customWidth="1"/>
    <col min="14" max="15" width="11.5546875" bestFit="1" customWidth="1"/>
  </cols>
  <sheetData>
    <row r="1" spans="1:15">
      <c r="A1" s="763" t="s">
        <v>39</v>
      </c>
      <c r="B1" s="763"/>
      <c r="C1" s="763"/>
      <c r="D1" s="763"/>
      <c r="E1" s="763"/>
      <c r="F1" s="763"/>
      <c r="G1" s="763"/>
      <c r="H1" s="763"/>
      <c r="I1" s="763"/>
      <c r="J1" s="763"/>
      <c r="K1" s="763"/>
      <c r="L1" s="763"/>
      <c r="M1" s="763"/>
      <c r="N1" s="763"/>
      <c r="O1" s="763"/>
    </row>
    <row r="2" spans="1:15">
      <c r="A2" s="763" t="s">
        <v>580</v>
      </c>
      <c r="B2" s="763"/>
      <c r="C2" s="763"/>
      <c r="D2" s="763"/>
      <c r="E2" s="763"/>
      <c r="F2" s="763"/>
      <c r="G2" s="763"/>
      <c r="H2" s="763"/>
      <c r="I2" s="763"/>
      <c r="J2" s="763"/>
      <c r="K2" s="763"/>
      <c r="L2" s="763"/>
      <c r="M2" s="763"/>
      <c r="N2" s="763"/>
      <c r="O2" s="763"/>
    </row>
    <row r="4" spans="1:15" s="725" customFormat="1" ht="43.2">
      <c r="A4" s="729"/>
      <c r="B4" s="728" t="s">
        <v>579</v>
      </c>
      <c r="C4" s="727" t="s">
        <v>578</v>
      </c>
      <c r="D4" s="727" t="s">
        <v>577</v>
      </c>
      <c r="E4" s="727" t="s">
        <v>576</v>
      </c>
      <c r="F4" s="727" t="s">
        <v>575</v>
      </c>
      <c r="G4" s="727" t="s">
        <v>574</v>
      </c>
      <c r="H4" s="726" t="s">
        <v>573</v>
      </c>
      <c r="I4" s="726" t="s">
        <v>572</v>
      </c>
      <c r="J4" s="726" t="s">
        <v>571</v>
      </c>
      <c r="K4" s="726" t="s">
        <v>570</v>
      </c>
      <c r="L4" s="727" t="s">
        <v>569</v>
      </c>
      <c r="M4" s="727" t="s">
        <v>568</v>
      </c>
      <c r="N4" s="726" t="s">
        <v>567</v>
      </c>
      <c r="O4" s="726" t="s">
        <v>566</v>
      </c>
    </row>
    <row r="5" spans="1:15">
      <c r="A5" s="724">
        <v>41640</v>
      </c>
      <c r="B5" s="720">
        <v>20000992</v>
      </c>
      <c r="C5" s="720">
        <v>20148222.322601564</v>
      </c>
      <c r="D5" s="720">
        <v>13383822.144359799</v>
      </c>
      <c r="E5" s="720">
        <v>20148222.322601564</v>
      </c>
      <c r="F5" s="723">
        <f t="shared" ref="F5:F36" si="0">(C5-D5)/C5</f>
        <v>0.3357318611009022</v>
      </c>
      <c r="G5" s="723">
        <f t="shared" ref="G5:G36" si="1">(C5-E5)/C5</f>
        <v>0</v>
      </c>
      <c r="H5" s="721">
        <v>918.29998779296875</v>
      </c>
      <c r="I5" s="722">
        <v>0</v>
      </c>
      <c r="J5" s="721">
        <f t="shared" ref="J5:J36" si="2">H5*(1-F5)</f>
        <v>609.99742384229967</v>
      </c>
      <c r="K5" s="721">
        <f t="shared" ref="K5:K36" si="3">I5*(1-G5)</f>
        <v>0</v>
      </c>
      <c r="L5" s="720">
        <f t="shared" ref="L5:L36" si="4">H5-J5*7366.22</f>
        <v>-4492456.9234678317</v>
      </c>
      <c r="M5" s="720">
        <f t="shared" ref="M5:M36" si="5">I5-K5*18467.788</f>
        <v>0</v>
      </c>
      <c r="N5" s="614"/>
      <c r="O5" s="614"/>
    </row>
    <row r="6" spans="1:15">
      <c r="A6" s="724">
        <v>41671</v>
      </c>
      <c r="B6" s="720">
        <v>19226108</v>
      </c>
      <c r="C6" s="720">
        <v>18122589.044343185</v>
      </c>
      <c r="D6" s="720">
        <v>12279702.868497699</v>
      </c>
      <c r="E6" s="720">
        <v>18122589.044343185</v>
      </c>
      <c r="F6" s="723">
        <f t="shared" si="0"/>
        <v>0.32240902012117817</v>
      </c>
      <c r="G6" s="723">
        <f t="shared" si="1"/>
        <v>0</v>
      </c>
      <c r="H6" s="722">
        <v>793.20001220703125</v>
      </c>
      <c r="I6" s="722">
        <v>0</v>
      </c>
      <c r="J6" s="721">
        <f t="shared" si="2"/>
        <v>537.46517351125567</v>
      </c>
      <c r="K6" s="721">
        <f t="shared" si="3"/>
        <v>0</v>
      </c>
      <c r="L6" s="720">
        <f t="shared" si="4"/>
        <v>-3958293.5104098748</v>
      </c>
      <c r="M6" s="720">
        <f t="shared" si="5"/>
        <v>0</v>
      </c>
      <c r="N6" s="614"/>
      <c r="O6" s="614"/>
    </row>
    <row r="7" spans="1:15">
      <c r="A7" s="724">
        <v>41699</v>
      </c>
      <c r="B7" s="720">
        <v>17456700</v>
      </c>
      <c r="C7" s="720">
        <v>18005439.315179635</v>
      </c>
      <c r="D7" s="720">
        <v>12233269.125715598</v>
      </c>
      <c r="E7" s="720">
        <v>18005439.315179635</v>
      </c>
      <c r="F7" s="723">
        <f t="shared" si="0"/>
        <v>0.32057924766088658</v>
      </c>
      <c r="G7" s="723">
        <f t="shared" si="1"/>
        <v>0</v>
      </c>
      <c r="H7" s="722">
        <v>783.5999755859375</v>
      </c>
      <c r="I7" s="722">
        <v>0</v>
      </c>
      <c r="J7" s="721">
        <f t="shared" si="2"/>
        <v>532.39408494550855</v>
      </c>
      <c r="K7" s="721">
        <f t="shared" si="3"/>
        <v>0</v>
      </c>
      <c r="L7" s="720">
        <f t="shared" si="4"/>
        <v>-3920948.356431718</v>
      </c>
      <c r="M7" s="720">
        <f t="shared" si="5"/>
        <v>0</v>
      </c>
      <c r="N7" s="614"/>
      <c r="O7" s="614"/>
    </row>
    <row r="8" spans="1:15">
      <c r="A8" s="724">
        <v>41730</v>
      </c>
      <c r="B8" s="720">
        <v>15348468</v>
      </c>
      <c r="C8" s="720">
        <v>14695331.366006883</v>
      </c>
      <c r="D8" s="720">
        <v>11865229.367094899</v>
      </c>
      <c r="E8" s="720">
        <v>14695331.366006883</v>
      </c>
      <c r="F8" s="723">
        <f t="shared" si="0"/>
        <v>0.1925851094081861</v>
      </c>
      <c r="G8" s="723">
        <f t="shared" si="1"/>
        <v>0</v>
      </c>
      <c r="H8" s="722">
        <v>384.20001220703125</v>
      </c>
      <c r="I8" s="722">
        <v>0</v>
      </c>
      <c r="J8" s="721">
        <f t="shared" si="2"/>
        <v>310.20881082151374</v>
      </c>
      <c r="K8" s="721">
        <f t="shared" si="3"/>
        <v>0</v>
      </c>
      <c r="L8" s="720">
        <f t="shared" si="4"/>
        <v>-2284682.1464374438</v>
      </c>
      <c r="M8" s="720">
        <f t="shared" si="5"/>
        <v>0</v>
      </c>
      <c r="N8" s="614"/>
      <c r="O8" s="614"/>
    </row>
    <row r="9" spans="1:15">
      <c r="A9" s="724">
        <v>41760</v>
      </c>
      <c r="B9" s="720">
        <v>14153569</v>
      </c>
      <c r="C9" s="720">
        <v>13333505.556453321</v>
      </c>
      <c r="D9" s="720">
        <v>12395785.666678449</v>
      </c>
      <c r="E9" s="720">
        <v>13170989.015490469</v>
      </c>
      <c r="F9" s="723">
        <f t="shared" si="0"/>
        <v>7.0328083323970433E-2</v>
      </c>
      <c r="G9" s="723">
        <f t="shared" si="1"/>
        <v>1.2188583135527753E-2</v>
      </c>
      <c r="H9" s="722">
        <v>127.30000305175781</v>
      </c>
      <c r="I9" s="722">
        <v>8.8000001907348633</v>
      </c>
      <c r="J9" s="721">
        <f t="shared" si="2"/>
        <v>118.3472378299921</v>
      </c>
      <c r="K9" s="721">
        <f t="shared" si="3"/>
        <v>8.6927406568174312</v>
      </c>
      <c r="L9" s="720">
        <f t="shared" si="4"/>
        <v>-871644.49024499266</v>
      </c>
      <c r="M9" s="720">
        <f t="shared" si="5"/>
        <v>-160526.89158889433</v>
      </c>
      <c r="N9" s="614"/>
      <c r="O9" s="614"/>
    </row>
    <row r="10" spans="1:15">
      <c r="A10" s="724">
        <v>41791</v>
      </c>
      <c r="B10" s="720">
        <v>15797161</v>
      </c>
      <c r="C10" s="720">
        <v>14179198.264241127</v>
      </c>
      <c r="D10" s="720">
        <v>14029663.994086659</v>
      </c>
      <c r="E10" s="720">
        <v>13165316.65589357</v>
      </c>
      <c r="F10" s="723">
        <f t="shared" si="0"/>
        <v>1.054603140232427E-2</v>
      </c>
      <c r="G10" s="723">
        <f t="shared" si="1"/>
        <v>7.1504861519885138E-2</v>
      </c>
      <c r="H10" s="722">
        <v>20.299999237060547</v>
      </c>
      <c r="I10" s="722">
        <v>54.900001525878906</v>
      </c>
      <c r="J10" s="721">
        <f t="shared" si="2"/>
        <v>20.085914807639348</v>
      </c>
      <c r="K10" s="721">
        <f t="shared" si="3"/>
        <v>50.974384519329455</v>
      </c>
      <c r="L10" s="720">
        <f t="shared" si="4"/>
        <v>-147936.96737509206</v>
      </c>
      <c r="M10" s="720">
        <f t="shared" si="5"/>
        <v>-941329.22673193237</v>
      </c>
      <c r="N10" s="614"/>
      <c r="O10" s="614"/>
    </row>
    <row r="11" spans="1:15">
      <c r="A11" s="724">
        <v>41821</v>
      </c>
      <c r="B11" s="720">
        <v>14657239</v>
      </c>
      <c r="C11" s="720">
        <v>14600319.13466995</v>
      </c>
      <c r="D11" s="720">
        <v>14543599.238367395</v>
      </c>
      <c r="E11" s="720">
        <v>13440542.040662354</v>
      </c>
      <c r="F11" s="723">
        <f t="shared" si="0"/>
        <v>3.8848394873689826E-3</v>
      </c>
      <c r="G11" s="723">
        <f t="shared" si="1"/>
        <v>7.9435050926632625E-2</v>
      </c>
      <c r="H11" s="722">
        <v>7.6999998092651367</v>
      </c>
      <c r="I11" s="722">
        <v>62.799999237060547</v>
      </c>
      <c r="J11" s="721">
        <f t="shared" si="2"/>
        <v>7.67008654595337</v>
      </c>
      <c r="K11" s="721">
        <f t="shared" si="3"/>
        <v>57.811478099472154</v>
      </c>
      <c r="L11" s="720">
        <f t="shared" si="4"/>
        <v>-56491.84491672337</v>
      </c>
      <c r="M11" s="720">
        <f t="shared" si="5"/>
        <v>-1067587.3215084577</v>
      </c>
      <c r="N11" s="614"/>
      <c r="O11" s="614"/>
    </row>
    <row r="12" spans="1:15">
      <c r="A12" s="724">
        <v>41852</v>
      </c>
      <c r="B12" s="720">
        <v>14519949</v>
      </c>
      <c r="C12" s="720">
        <v>14571961.835443005</v>
      </c>
      <c r="D12" s="720">
        <v>14414324.719948895</v>
      </c>
      <c r="E12" s="720">
        <v>13541459.259853909</v>
      </c>
      <c r="F12" s="723">
        <f t="shared" si="0"/>
        <v>1.0817837520730601E-2</v>
      </c>
      <c r="G12" s="723">
        <f t="shared" si="1"/>
        <v>7.0718176950109179E-2</v>
      </c>
      <c r="H12" s="722">
        <v>21.399999618530273</v>
      </c>
      <c r="I12" s="722">
        <v>55.799999237060547</v>
      </c>
      <c r="J12" s="721">
        <f t="shared" si="2"/>
        <v>21.168497899713316</v>
      </c>
      <c r="K12" s="721">
        <f t="shared" si="3"/>
        <v>51.853925017198144</v>
      </c>
      <c r="L12" s="720">
        <f t="shared" si="4"/>
        <v>-155910.41259920769</v>
      </c>
      <c r="M12" s="720">
        <f t="shared" si="5"/>
        <v>-957571.49418627459</v>
      </c>
      <c r="N12" s="614"/>
      <c r="O12" s="614"/>
    </row>
    <row r="13" spans="1:15">
      <c r="A13" s="724">
        <v>41883</v>
      </c>
      <c r="B13" s="720">
        <v>11739127</v>
      </c>
      <c r="C13" s="720">
        <v>13076627.743991971</v>
      </c>
      <c r="D13" s="720">
        <v>12264133.602402601</v>
      </c>
      <c r="E13" s="720">
        <v>12677723.50868427</v>
      </c>
      <c r="F13" s="723">
        <f t="shared" si="0"/>
        <v>6.2133308181283077E-2</v>
      </c>
      <c r="G13" s="723">
        <f t="shared" si="1"/>
        <v>3.0505130460028323E-2</v>
      </c>
      <c r="H13" s="722">
        <v>110.30000305175781</v>
      </c>
      <c r="I13" s="722">
        <v>21.600000381469727</v>
      </c>
      <c r="J13" s="721">
        <f t="shared" si="2"/>
        <v>103.44669896974648</v>
      </c>
      <c r="K13" s="721">
        <f t="shared" si="3"/>
        <v>20.941089551896329</v>
      </c>
      <c r="L13" s="720">
        <f t="shared" si="4"/>
        <v>-761900.84288187418</v>
      </c>
      <c r="M13" s="720">
        <f t="shared" si="5"/>
        <v>-386714.00233305496</v>
      </c>
      <c r="N13" s="614"/>
      <c r="O13" s="614"/>
    </row>
    <row r="14" spans="1:15">
      <c r="A14" s="724">
        <v>41913</v>
      </c>
      <c r="B14" s="720">
        <v>14153187</v>
      </c>
      <c r="C14" s="720">
        <v>14190267.485044431</v>
      </c>
      <c r="D14" s="720">
        <v>12290519.267825423</v>
      </c>
      <c r="E14" s="720">
        <v>14133017.342934607</v>
      </c>
      <c r="F14" s="723">
        <f t="shared" si="0"/>
        <v>0.13387684335205186</v>
      </c>
      <c r="G14" s="723">
        <f t="shared" si="1"/>
        <v>4.0344653242204258E-3</v>
      </c>
      <c r="H14" s="722">
        <v>257.89999389648437</v>
      </c>
      <c r="I14" s="722">
        <v>3.0999999046325684</v>
      </c>
      <c r="J14" s="721">
        <f t="shared" si="2"/>
        <v>223.3731568131096</v>
      </c>
      <c r="K14" s="721">
        <f t="shared" si="3"/>
        <v>3.0874930625122414</v>
      </c>
      <c r="L14" s="720">
        <f t="shared" si="4"/>
        <v>-1645157.9151859677</v>
      </c>
      <c r="M14" s="720">
        <f t="shared" si="5"/>
        <v>-57016.067330042191</v>
      </c>
      <c r="N14" s="614"/>
      <c r="O14" s="614"/>
    </row>
    <row r="15" spans="1:15">
      <c r="A15" s="724">
        <v>41944</v>
      </c>
      <c r="B15" s="720">
        <v>16001154</v>
      </c>
      <c r="C15" s="720">
        <v>15626421.589908641</v>
      </c>
      <c r="D15" s="720">
        <v>11865229.367094899</v>
      </c>
      <c r="E15" s="720">
        <v>15626421.589908641</v>
      </c>
      <c r="F15" s="723">
        <f t="shared" si="0"/>
        <v>0.24069440346103779</v>
      </c>
      <c r="G15" s="723">
        <f t="shared" si="1"/>
        <v>0</v>
      </c>
      <c r="H15" s="722">
        <v>510.60000610351562</v>
      </c>
      <c r="I15" s="722">
        <v>0</v>
      </c>
      <c r="J15" s="721">
        <f t="shared" si="2"/>
        <v>387.70144222722769</v>
      </c>
      <c r="K15" s="721">
        <f t="shared" si="3"/>
        <v>0</v>
      </c>
      <c r="L15" s="720">
        <f t="shared" si="4"/>
        <v>-2855383.5177569459</v>
      </c>
      <c r="M15" s="720">
        <f t="shared" si="5"/>
        <v>0</v>
      </c>
      <c r="N15" s="614"/>
      <c r="O15" s="614"/>
    </row>
    <row r="16" spans="1:15">
      <c r="A16" s="724">
        <v>41974</v>
      </c>
      <c r="B16" s="720">
        <v>18583492</v>
      </c>
      <c r="C16" s="720">
        <v>18513658.267515767</v>
      </c>
      <c r="D16" s="720">
        <v>13383822.144359799</v>
      </c>
      <c r="E16" s="720">
        <v>18513658.267515767</v>
      </c>
      <c r="F16" s="723">
        <f t="shared" si="0"/>
        <v>0.27708387229750403</v>
      </c>
      <c r="G16" s="723">
        <f t="shared" si="1"/>
        <v>0</v>
      </c>
      <c r="H16" s="722">
        <v>696.4000244140625</v>
      </c>
      <c r="I16" s="722">
        <v>0</v>
      </c>
      <c r="J16" s="721">
        <f t="shared" si="2"/>
        <v>503.43880898133773</v>
      </c>
      <c r="K16" s="721">
        <f t="shared" si="3"/>
        <v>0</v>
      </c>
      <c r="L16" s="720">
        <f t="shared" si="4"/>
        <v>-3707744.6234700955</v>
      </c>
      <c r="M16" s="720">
        <f t="shared" si="5"/>
        <v>0</v>
      </c>
      <c r="N16" s="719">
        <f>SUM(L5:L16)</f>
        <v>-24858551.55117777</v>
      </c>
      <c r="O16" s="719">
        <f>SUM(M5:M16)</f>
        <v>-3570745.0036786562</v>
      </c>
    </row>
    <row r="17" spans="1:15">
      <c r="A17" s="724">
        <v>42005</v>
      </c>
      <c r="B17" s="720">
        <v>21169014</v>
      </c>
      <c r="C17" s="720">
        <v>19971433.031045567</v>
      </c>
      <c r="D17" s="720">
        <v>13383822.144359799</v>
      </c>
      <c r="E17" s="720">
        <v>19971433.031045567</v>
      </c>
      <c r="F17" s="723">
        <f t="shared" si="0"/>
        <v>0.32985168748007893</v>
      </c>
      <c r="G17" s="723">
        <f t="shared" si="1"/>
        <v>0</v>
      </c>
      <c r="H17" s="722">
        <v>894.29998779296875</v>
      </c>
      <c r="I17" s="722">
        <v>0</v>
      </c>
      <c r="J17" s="721">
        <f t="shared" si="2"/>
        <v>599.31362770604403</v>
      </c>
      <c r="K17" s="721">
        <f t="shared" si="3"/>
        <v>0</v>
      </c>
      <c r="L17" s="720">
        <f t="shared" si="4"/>
        <v>-4413781.7306930227</v>
      </c>
      <c r="M17" s="720">
        <f t="shared" si="5"/>
        <v>0</v>
      </c>
      <c r="N17" s="614"/>
      <c r="O17" s="614"/>
    </row>
    <row r="18" spans="1:15">
      <c r="A18" s="724">
        <v>42036</v>
      </c>
      <c r="B18" s="720">
        <v>19674788</v>
      </c>
      <c r="C18" s="720">
        <v>19700162.295945864</v>
      </c>
      <c r="D18" s="720">
        <v>12647742.627118399</v>
      </c>
      <c r="E18" s="720">
        <v>19700162.295945864</v>
      </c>
      <c r="F18" s="723">
        <f t="shared" si="0"/>
        <v>0.35798789689559035</v>
      </c>
      <c r="G18" s="723">
        <f t="shared" si="1"/>
        <v>0</v>
      </c>
      <c r="H18" s="722">
        <v>957.4000244140625</v>
      </c>
      <c r="I18" s="722">
        <v>0</v>
      </c>
      <c r="J18" s="721">
        <f t="shared" si="2"/>
        <v>614.66240318628547</v>
      </c>
      <c r="K18" s="721">
        <f t="shared" si="3"/>
        <v>0</v>
      </c>
      <c r="L18" s="720">
        <f t="shared" si="4"/>
        <v>-4526781.0875744661</v>
      </c>
      <c r="M18" s="720">
        <f t="shared" si="5"/>
        <v>0</v>
      </c>
      <c r="N18" s="614"/>
      <c r="O18" s="614"/>
    </row>
    <row r="19" spans="1:15">
      <c r="A19" s="724">
        <v>42064</v>
      </c>
      <c r="B19" s="720">
        <v>17918948</v>
      </c>
      <c r="C19" s="720">
        <v>17584091.863316566</v>
      </c>
      <c r="D19" s="720">
        <v>12233269.125715598</v>
      </c>
      <c r="E19" s="720">
        <v>17584091.863316566</v>
      </c>
      <c r="F19" s="723">
        <f t="shared" si="0"/>
        <v>0.30429906640579502</v>
      </c>
      <c r="G19" s="723">
        <f t="shared" si="1"/>
        <v>0</v>
      </c>
      <c r="H19" s="722">
        <v>726.4000244140625</v>
      </c>
      <c r="I19" s="722">
        <v>0</v>
      </c>
      <c r="J19" s="721">
        <f t="shared" si="2"/>
        <v>505.35717514771659</v>
      </c>
      <c r="K19" s="721">
        <f t="shared" si="3"/>
        <v>0</v>
      </c>
      <c r="L19" s="720">
        <f t="shared" si="4"/>
        <v>-3721845.730692199</v>
      </c>
      <c r="M19" s="720">
        <f t="shared" si="5"/>
        <v>0</v>
      </c>
      <c r="N19" s="614"/>
      <c r="O19" s="614"/>
    </row>
    <row r="20" spans="1:15">
      <c r="A20" s="724">
        <v>42095</v>
      </c>
      <c r="B20" s="720">
        <v>14694600</v>
      </c>
      <c r="C20" s="720">
        <v>14408048.767228382</v>
      </c>
      <c r="D20" s="720">
        <v>11865229.367094899</v>
      </c>
      <c r="E20" s="720">
        <v>14408048.767228382</v>
      </c>
      <c r="F20" s="723">
        <f t="shared" si="0"/>
        <v>0.17648603507764465</v>
      </c>
      <c r="G20" s="723">
        <f t="shared" si="1"/>
        <v>0</v>
      </c>
      <c r="H20" s="722">
        <v>345.20001220703125</v>
      </c>
      <c r="I20" s="722">
        <v>0</v>
      </c>
      <c r="J20" s="721">
        <f t="shared" si="2"/>
        <v>284.27703074385778</v>
      </c>
      <c r="K20" s="721">
        <f t="shared" si="3"/>
        <v>0</v>
      </c>
      <c r="L20" s="720">
        <f t="shared" si="4"/>
        <v>-2093701.949393813</v>
      </c>
      <c r="M20" s="720">
        <f t="shared" si="5"/>
        <v>0</v>
      </c>
      <c r="N20" s="614"/>
      <c r="O20" s="614"/>
    </row>
    <row r="21" spans="1:15">
      <c r="A21" s="724">
        <v>42125</v>
      </c>
      <c r="B21" s="720">
        <v>13446687</v>
      </c>
      <c r="C21" s="720">
        <v>13336851.604843158</v>
      </c>
      <c r="D21" s="720">
        <v>12667262.151834849</v>
      </c>
      <c r="E21" s="720">
        <v>12902858.578723909</v>
      </c>
      <c r="F21" s="723">
        <f t="shared" si="0"/>
        <v>5.0205961110428313E-2</v>
      </c>
      <c r="G21" s="723">
        <f t="shared" si="1"/>
        <v>3.2540890382378423E-2</v>
      </c>
      <c r="H21" s="722">
        <v>90.900001525878906</v>
      </c>
      <c r="I21" s="722">
        <v>23.5</v>
      </c>
      <c r="J21" s="721">
        <f t="shared" si="2"/>
        <v>86.336279584332758</v>
      </c>
      <c r="K21" s="721">
        <f t="shared" si="3"/>
        <v>22.735289076014109</v>
      </c>
      <c r="L21" s="720">
        <f t="shared" si="4"/>
        <v>-635881.12939817784</v>
      </c>
      <c r="M21" s="720">
        <f t="shared" si="5"/>
        <v>-419846.99877454445</v>
      </c>
      <c r="N21" s="614"/>
      <c r="O21" s="614"/>
    </row>
    <row r="22" spans="1:15">
      <c r="A22" s="724">
        <v>42156</v>
      </c>
      <c r="B22" s="720">
        <v>13517818</v>
      </c>
      <c r="C22" s="720">
        <v>13728166.303297319</v>
      </c>
      <c r="D22" s="720">
        <v>13431307.623512849</v>
      </c>
      <c r="E22" s="720">
        <v>13312641.065523569</v>
      </c>
      <c r="F22" s="723">
        <f t="shared" si="0"/>
        <v>2.1624059122387518E-2</v>
      </c>
      <c r="G22" s="723">
        <f t="shared" si="1"/>
        <v>3.0268080134922788E-2</v>
      </c>
      <c r="H22" s="722">
        <v>40.299999237060547</v>
      </c>
      <c r="I22" s="722">
        <v>22.5</v>
      </c>
      <c r="J22" s="721">
        <f t="shared" si="2"/>
        <v>39.428549670926181</v>
      </c>
      <c r="K22" s="721">
        <f t="shared" si="3"/>
        <v>21.818968196964239</v>
      </c>
      <c r="L22" s="720">
        <f t="shared" si="4"/>
        <v>-290399.0711577328</v>
      </c>
      <c r="M22" s="720">
        <f t="shared" si="5"/>
        <v>-402925.57904027781</v>
      </c>
      <c r="N22" s="614"/>
      <c r="O22" s="614"/>
    </row>
    <row r="23" spans="1:15">
      <c r="A23" s="724">
        <v>42186</v>
      </c>
      <c r="B23" s="720">
        <v>15502230</v>
      </c>
      <c r="C23" s="720">
        <v>15357498.527284471</v>
      </c>
      <c r="D23" s="720">
        <v>15300778.630981917</v>
      </c>
      <c r="E23" s="720">
        <v>13440542.040662354</v>
      </c>
      <c r="F23" s="723">
        <f t="shared" si="0"/>
        <v>3.6933030598560656E-3</v>
      </c>
      <c r="G23" s="723">
        <f t="shared" si="1"/>
        <v>0.12482218267619627</v>
      </c>
      <c r="H23" s="722">
        <v>7.6999998092651367</v>
      </c>
      <c r="I23" s="722">
        <v>103.80000305175781</v>
      </c>
      <c r="J23" s="721">
        <f t="shared" si="2"/>
        <v>7.671561376408687</v>
      </c>
      <c r="K23" s="721">
        <f t="shared" si="3"/>
        <v>90.843460109041573</v>
      </c>
      <c r="L23" s="720">
        <f t="shared" si="4"/>
        <v>-56502.708842319938</v>
      </c>
      <c r="M23" s="720">
        <f t="shared" si="5"/>
        <v>-1677573.9624771848</v>
      </c>
      <c r="N23" s="614"/>
      <c r="O23" s="614"/>
    </row>
    <row r="24" spans="1:15">
      <c r="A24" s="724">
        <v>42217</v>
      </c>
      <c r="B24" s="720">
        <v>14963674</v>
      </c>
      <c r="C24" s="720">
        <v>14751765.404261988</v>
      </c>
      <c r="D24" s="720">
        <v>14698728.618200181</v>
      </c>
      <c r="E24" s="720">
        <v>13436858.930421604</v>
      </c>
      <c r="F24" s="723">
        <f t="shared" si="0"/>
        <v>3.5952839953978352E-3</v>
      </c>
      <c r="G24" s="723">
        <f t="shared" si="1"/>
        <v>8.9135533124766839E-2</v>
      </c>
      <c r="H24" s="722">
        <v>7.1999998092651367</v>
      </c>
      <c r="I24" s="722">
        <v>71.199996948242187</v>
      </c>
      <c r="J24" s="721">
        <f t="shared" si="2"/>
        <v>7.1741137651840177</v>
      </c>
      <c r="K24" s="721">
        <f t="shared" si="3"/>
        <v>64.853547261778843</v>
      </c>
      <c r="L24" s="720">
        <f t="shared" si="4"/>
        <v>-52838.90029956455</v>
      </c>
      <c r="M24" s="720">
        <f t="shared" si="5"/>
        <v>-1197630.3618815639</v>
      </c>
      <c r="N24" s="614"/>
      <c r="O24" s="614"/>
    </row>
    <row r="25" spans="1:15">
      <c r="A25" s="724">
        <v>42248</v>
      </c>
      <c r="B25" s="720">
        <v>14378950</v>
      </c>
      <c r="C25" s="720">
        <v>13161070.041320523</v>
      </c>
      <c r="D25" s="720">
        <v>12820014.038647054</v>
      </c>
      <c r="E25" s="720">
        <v>12206285.369768368</v>
      </c>
      <c r="F25" s="723">
        <f t="shared" si="0"/>
        <v>2.5914002554707889E-2</v>
      </c>
      <c r="G25" s="723">
        <f t="shared" si="1"/>
        <v>7.2546127978539071E-2</v>
      </c>
      <c r="H25" s="722">
        <v>46.299999237060547</v>
      </c>
      <c r="I25" s="722">
        <v>51.700000762939453</v>
      </c>
      <c r="J25" s="721">
        <f t="shared" si="2"/>
        <v>45.100180938548384</v>
      </c>
      <c r="K25" s="721">
        <f t="shared" si="3"/>
        <v>47.949365891100676</v>
      </c>
      <c r="L25" s="720">
        <f t="shared" si="4"/>
        <v>-332171.55483391683</v>
      </c>
      <c r="M25" s="720">
        <f t="shared" si="5"/>
        <v>-885467.02401051542</v>
      </c>
      <c r="N25" s="614"/>
      <c r="O25" s="614"/>
    </row>
    <row r="26" spans="1:15">
      <c r="A26" s="724">
        <v>42278</v>
      </c>
      <c r="B26" s="720">
        <v>14521149</v>
      </c>
      <c r="C26" s="720">
        <v>14527110.138694856</v>
      </c>
      <c r="D26" s="720">
        <v>12233269.125715598</v>
      </c>
      <c r="E26" s="720">
        <v>14527110.138694856</v>
      </c>
      <c r="F26" s="723">
        <f t="shared" si="0"/>
        <v>0.15790071053907084</v>
      </c>
      <c r="G26" s="723">
        <f t="shared" si="1"/>
        <v>0</v>
      </c>
      <c r="H26" s="722">
        <v>311.39999389648437</v>
      </c>
      <c r="I26" s="722">
        <v>0</v>
      </c>
      <c r="J26" s="721">
        <f t="shared" si="2"/>
        <v>262.22971359836714</v>
      </c>
      <c r="K26" s="721">
        <f t="shared" si="3"/>
        <v>0</v>
      </c>
      <c r="L26" s="720">
        <f t="shared" si="4"/>
        <v>-1931330.3609086676</v>
      </c>
      <c r="M26" s="720">
        <f t="shared" si="5"/>
        <v>0</v>
      </c>
      <c r="N26" s="614"/>
      <c r="O26" s="614"/>
    </row>
    <row r="27" spans="1:15">
      <c r="A27" s="724">
        <v>42309</v>
      </c>
      <c r="B27" s="720">
        <v>14184881</v>
      </c>
      <c r="C27" s="720">
        <v>14940626.418121148</v>
      </c>
      <c r="D27" s="720">
        <v>11865229.367094899</v>
      </c>
      <c r="E27" s="720">
        <v>14940626.418121148</v>
      </c>
      <c r="F27" s="723">
        <f t="shared" si="0"/>
        <v>0.20584123884499045</v>
      </c>
      <c r="G27" s="723">
        <f t="shared" si="1"/>
        <v>0</v>
      </c>
      <c r="H27" s="722">
        <v>417.5</v>
      </c>
      <c r="I27" s="722">
        <v>0</v>
      </c>
      <c r="J27" s="721">
        <f t="shared" si="2"/>
        <v>331.56128278221649</v>
      </c>
      <c r="K27" s="721">
        <f t="shared" si="3"/>
        <v>0</v>
      </c>
      <c r="L27" s="720">
        <f t="shared" si="4"/>
        <v>-2441935.8524560188</v>
      </c>
      <c r="M27" s="720">
        <f t="shared" si="5"/>
        <v>0</v>
      </c>
      <c r="N27" s="614"/>
      <c r="O27" s="614"/>
    </row>
    <row r="28" spans="1:15">
      <c r="A28" s="724">
        <v>42339</v>
      </c>
      <c r="B28" s="720">
        <v>16492590</v>
      </c>
      <c r="C28" s="720">
        <v>16994006.847302791</v>
      </c>
      <c r="D28" s="720">
        <v>13383822.144359799</v>
      </c>
      <c r="E28" s="720">
        <v>16994006.847302791</v>
      </c>
      <c r="F28" s="723">
        <f t="shared" si="0"/>
        <v>0.21243869885317737</v>
      </c>
      <c r="G28" s="723">
        <f t="shared" si="1"/>
        <v>0</v>
      </c>
      <c r="H28" s="722">
        <v>490.10000610351562</v>
      </c>
      <c r="I28" s="722">
        <v>0</v>
      </c>
      <c r="J28" s="721">
        <f t="shared" si="2"/>
        <v>385.98379849895048</v>
      </c>
      <c r="K28" s="721">
        <f t="shared" si="3"/>
        <v>0</v>
      </c>
      <c r="L28" s="720">
        <f t="shared" si="4"/>
        <v>-2842751.4761728356</v>
      </c>
      <c r="M28" s="720">
        <f t="shared" si="5"/>
        <v>0</v>
      </c>
      <c r="N28" s="719">
        <f>SUM(L17:L28)</f>
        <v>-23339921.552422732</v>
      </c>
      <c r="O28" s="719">
        <f>SUM(M17:M28)</f>
        <v>-4583443.9261840861</v>
      </c>
    </row>
    <row r="29" spans="1:15">
      <c r="A29" s="724">
        <v>42370</v>
      </c>
      <c r="B29" s="720">
        <v>18777272</v>
      </c>
      <c r="C29" s="720">
        <v>18621204.9067063</v>
      </c>
      <c r="D29" s="720">
        <v>13383822.144359799</v>
      </c>
      <c r="E29" s="720">
        <v>18621204.9067063</v>
      </c>
      <c r="F29" s="723">
        <f t="shared" si="0"/>
        <v>0.28125906935594125</v>
      </c>
      <c r="G29" s="723">
        <f t="shared" si="1"/>
        <v>0</v>
      </c>
      <c r="H29" s="722">
        <v>711</v>
      </c>
      <c r="I29" s="722">
        <v>0</v>
      </c>
      <c r="J29" s="721">
        <f t="shared" si="2"/>
        <v>511.02480168792579</v>
      </c>
      <c r="K29" s="721">
        <f t="shared" si="3"/>
        <v>0</v>
      </c>
      <c r="L29" s="720">
        <f t="shared" si="4"/>
        <v>-3763610.1146896328</v>
      </c>
      <c r="M29" s="720">
        <f t="shared" si="5"/>
        <v>0</v>
      </c>
      <c r="N29" s="614"/>
      <c r="O29" s="614"/>
    </row>
    <row r="30" spans="1:15">
      <c r="A30" s="724">
        <v>42401</v>
      </c>
      <c r="B30" s="720">
        <v>18020234</v>
      </c>
      <c r="C30" s="720">
        <v>17237169.252547201</v>
      </c>
      <c r="D30" s="720">
        <v>12279702.868497699</v>
      </c>
      <c r="E30" s="720">
        <v>17237169.252547201</v>
      </c>
      <c r="F30" s="723">
        <f t="shared" si="0"/>
        <v>0.2876032782074654</v>
      </c>
      <c r="G30" s="723">
        <f t="shared" si="1"/>
        <v>0</v>
      </c>
      <c r="H30" s="722">
        <v>673</v>
      </c>
      <c r="I30" s="722">
        <v>0</v>
      </c>
      <c r="J30" s="721">
        <f t="shared" si="2"/>
        <v>479.44299376637582</v>
      </c>
      <c r="K30" s="721">
        <f t="shared" si="3"/>
        <v>0</v>
      </c>
      <c r="L30" s="720">
        <f t="shared" si="4"/>
        <v>-3531009.5695417528</v>
      </c>
      <c r="M30" s="720">
        <f t="shared" si="5"/>
        <v>0</v>
      </c>
      <c r="N30" s="614"/>
      <c r="O30" s="614"/>
    </row>
    <row r="31" spans="1:15">
      <c r="A31" s="724">
        <v>42430</v>
      </c>
      <c r="B31" s="720">
        <v>16547274</v>
      </c>
      <c r="C31" s="720">
        <v>15945844.248391598</v>
      </c>
      <c r="D31" s="720">
        <v>12233269.125715598</v>
      </c>
      <c r="E31" s="720">
        <v>15945844.248391598</v>
      </c>
      <c r="F31" s="723">
        <f t="shared" si="0"/>
        <v>0.23282399256160266</v>
      </c>
      <c r="G31" s="723">
        <f t="shared" si="1"/>
        <v>0</v>
      </c>
      <c r="H31" s="722">
        <v>504</v>
      </c>
      <c r="I31" s="722">
        <v>0</v>
      </c>
      <c r="J31" s="721">
        <f t="shared" si="2"/>
        <v>386.65670774895227</v>
      </c>
      <c r="K31" s="721">
        <f t="shared" si="3"/>
        <v>0</v>
      </c>
      <c r="L31" s="720">
        <f t="shared" si="4"/>
        <v>-2847694.3737544874</v>
      </c>
      <c r="M31" s="720">
        <f t="shared" si="5"/>
        <v>0</v>
      </c>
      <c r="N31" s="614"/>
      <c r="O31" s="614"/>
    </row>
    <row r="32" spans="1:15">
      <c r="A32" s="724">
        <v>42461</v>
      </c>
      <c r="B32" s="720">
        <v>14489292</v>
      </c>
      <c r="C32" s="720">
        <v>14524643.909483397</v>
      </c>
      <c r="D32" s="720">
        <v>11939100.520476898</v>
      </c>
      <c r="E32" s="720">
        <v>14450772.756101398</v>
      </c>
      <c r="F32" s="723">
        <f t="shared" si="0"/>
        <v>0.1780107935946266</v>
      </c>
      <c r="G32" s="723">
        <f t="shared" si="1"/>
        <v>5.0859183772324909E-3</v>
      </c>
      <c r="H32" s="722">
        <v>351</v>
      </c>
      <c r="I32" s="722">
        <v>4</v>
      </c>
      <c r="J32" s="721">
        <f t="shared" si="2"/>
        <v>288.51821144828608</v>
      </c>
      <c r="K32" s="721">
        <f t="shared" si="3"/>
        <v>3.97965632649107</v>
      </c>
      <c r="L32" s="720">
        <f t="shared" si="4"/>
        <v>-2124937.619534594</v>
      </c>
      <c r="M32" s="720">
        <f t="shared" si="5"/>
        <v>-73491.449350495866</v>
      </c>
      <c r="N32" s="614"/>
      <c r="O32" s="614"/>
    </row>
    <row r="33" spans="1:15">
      <c r="A33" s="724">
        <v>42491</v>
      </c>
      <c r="B33" s="720">
        <v>13609041</v>
      </c>
      <c r="C33" s="720">
        <v>14572748.938258098</v>
      </c>
      <c r="D33" s="720">
        <v>13784563.346737599</v>
      </c>
      <c r="E33" s="720">
        <v>13021454.717236098</v>
      </c>
      <c r="F33" s="723">
        <f t="shared" si="0"/>
        <v>5.4086267104435024E-2</v>
      </c>
      <c r="G33" s="723">
        <f t="shared" si="1"/>
        <v>0.10645172215582197</v>
      </c>
      <c r="H33" s="722">
        <v>107</v>
      </c>
      <c r="I33" s="722">
        <v>84</v>
      </c>
      <c r="J33" s="721">
        <f t="shared" si="2"/>
        <v>101.21276941982546</v>
      </c>
      <c r="K33" s="721">
        <f t="shared" si="3"/>
        <v>75.058055338910947</v>
      </c>
      <c r="L33" s="720">
        <f t="shared" si="4"/>
        <v>-745448.52635570674</v>
      </c>
      <c r="M33" s="720">
        <f t="shared" si="5"/>
        <v>-1386072.2536912756</v>
      </c>
      <c r="N33" s="614"/>
      <c r="O33" s="614"/>
    </row>
    <row r="34" spans="1:15">
      <c r="A34" s="724">
        <v>42522</v>
      </c>
      <c r="B34" s="720">
        <v>14339192</v>
      </c>
      <c r="C34" s="720">
        <v>15737286.6473081</v>
      </c>
      <c r="D34" s="720">
        <v>15508933.812381599</v>
      </c>
      <c r="E34" s="720">
        <v>13244135.2206656</v>
      </c>
      <c r="F34" s="723">
        <f t="shared" si="0"/>
        <v>1.4510305368655226E-2</v>
      </c>
      <c r="G34" s="723">
        <f t="shared" si="1"/>
        <v>0.15842320741288393</v>
      </c>
      <c r="H34" s="722">
        <v>31</v>
      </c>
      <c r="I34" s="722">
        <v>135</v>
      </c>
      <c r="J34" s="721">
        <f t="shared" si="2"/>
        <v>30.550180533571687</v>
      </c>
      <c r="K34" s="721">
        <f t="shared" si="3"/>
        <v>113.61286699926066</v>
      </c>
      <c r="L34" s="720">
        <f t="shared" si="4"/>
        <v>-225008.35085000645</v>
      </c>
      <c r="M34" s="720">
        <f t="shared" si="5"/>
        <v>-2098043.3418145422</v>
      </c>
      <c r="N34" s="614"/>
      <c r="O34" s="614"/>
    </row>
    <row r="35" spans="1:15">
      <c r="A35" s="724">
        <v>42552</v>
      </c>
      <c r="B35" s="720">
        <v>15631801</v>
      </c>
      <c r="C35" s="720">
        <v>17084641.559657801</v>
      </c>
      <c r="D35" s="720">
        <v>17040444.236768801</v>
      </c>
      <c r="E35" s="720">
        <v>13428019.467248799</v>
      </c>
      <c r="F35" s="723">
        <f t="shared" si="0"/>
        <v>2.5869622569878155E-3</v>
      </c>
      <c r="G35" s="723">
        <f t="shared" si="1"/>
        <v>0.21402978105454865</v>
      </c>
      <c r="H35" s="722">
        <v>6</v>
      </c>
      <c r="I35" s="722">
        <v>198</v>
      </c>
      <c r="J35" s="721">
        <f t="shared" si="2"/>
        <v>5.9844782264580729</v>
      </c>
      <c r="K35" s="721">
        <f t="shared" si="3"/>
        <v>155.62210335119937</v>
      </c>
      <c r="L35" s="720">
        <f t="shared" si="4"/>
        <v>-44076.98320129999</v>
      </c>
      <c r="M35" s="720">
        <f t="shared" si="5"/>
        <v>-2873798.0128040398</v>
      </c>
      <c r="N35" s="614"/>
      <c r="O35" s="614"/>
    </row>
    <row r="36" spans="1:15">
      <c r="A36" s="724">
        <v>42583</v>
      </c>
      <c r="B36" s="720">
        <v>16274410</v>
      </c>
      <c r="C36" s="720">
        <v>17346925.943877298</v>
      </c>
      <c r="D36" s="720">
        <v>17317461.061951298</v>
      </c>
      <c r="E36" s="720">
        <v>13413287.026285799</v>
      </c>
      <c r="F36" s="723">
        <f t="shared" si="0"/>
        <v>1.6985650380550524E-3</v>
      </c>
      <c r="G36" s="723">
        <f t="shared" si="1"/>
        <v>0.2267628818107626</v>
      </c>
      <c r="H36" s="722">
        <v>4</v>
      </c>
      <c r="I36" s="722">
        <v>213</v>
      </c>
      <c r="J36" s="721">
        <f t="shared" si="2"/>
        <v>3.9932057398477796</v>
      </c>
      <c r="K36" s="721">
        <f t="shared" si="3"/>
        <v>164.69950617430757</v>
      </c>
      <c r="L36" s="720">
        <f t="shared" si="4"/>
        <v>-29410.831984981513</v>
      </c>
      <c r="M36" s="720">
        <f t="shared" si="5"/>
        <v>-3041422.5637318036</v>
      </c>
      <c r="N36" s="614"/>
      <c r="O36" s="614"/>
    </row>
    <row r="37" spans="1:15">
      <c r="A37" s="724">
        <v>42614</v>
      </c>
      <c r="B37" s="720">
        <v>13512285</v>
      </c>
      <c r="C37" s="720">
        <v>13843973.324610898</v>
      </c>
      <c r="D37" s="720">
        <v>13490394.741498899</v>
      </c>
      <c r="E37" s="720">
        <v>12218807.950206898</v>
      </c>
      <c r="F37" s="723">
        <f t="shared" ref="F37:F68" si="6">(C37-D37)/C37</f>
        <v>2.5540253135523671E-2</v>
      </c>
      <c r="G37" s="723">
        <f t="shared" ref="G37:G68" si="7">(C37-E37)/C37</f>
        <v>0.1173915418859475</v>
      </c>
      <c r="H37" s="722">
        <v>48</v>
      </c>
      <c r="I37" s="722">
        <v>88</v>
      </c>
      <c r="J37" s="721">
        <f t="shared" ref="J37:J68" si="8">H37*(1-F37)</f>
        <v>46.774067849494863</v>
      </c>
      <c r="K37" s="721">
        <f t="shared" ref="K37:K68" si="9">I37*(1-G37)</f>
        <v>77.669544314036628</v>
      </c>
      <c r="L37" s="720">
        <f t="shared" ref="L37:L68" si="10">H37-J37*7366.22</f>
        <v>-344500.07407430606</v>
      </c>
      <c r="M37" s="720">
        <f t="shared" ref="M37:M68" si="11">I37-K37*18467.788</f>
        <v>-1434296.678448234</v>
      </c>
      <c r="N37" s="614"/>
      <c r="O37" s="614"/>
    </row>
    <row r="38" spans="1:15">
      <c r="A38" s="724">
        <v>42644</v>
      </c>
      <c r="B38" s="720">
        <v>14356792</v>
      </c>
      <c r="C38" s="720">
        <v>14090288.007038098</v>
      </c>
      <c r="D38" s="720">
        <v>12491818.162552599</v>
      </c>
      <c r="E38" s="720">
        <v>13831738.970201099</v>
      </c>
      <c r="F38" s="723">
        <f t="shared" si="6"/>
        <v>0.11344479571227099</v>
      </c>
      <c r="G38" s="723">
        <f t="shared" si="7"/>
        <v>1.834945011115836E-2</v>
      </c>
      <c r="H38" s="722">
        <v>217</v>
      </c>
      <c r="I38" s="722">
        <v>14</v>
      </c>
      <c r="J38" s="721">
        <f t="shared" si="8"/>
        <v>192.38247933043721</v>
      </c>
      <c r="K38" s="721">
        <f t="shared" si="9"/>
        <v>13.743107698443783</v>
      </c>
      <c r="L38" s="720">
        <f t="shared" si="10"/>
        <v>-1416914.6668934531</v>
      </c>
      <c r="M38" s="720">
        <f t="shared" si="11"/>
        <v>-253790.79943602771</v>
      </c>
      <c r="N38" s="614"/>
      <c r="O38" s="614"/>
    </row>
    <row r="39" spans="1:15">
      <c r="A39" s="724">
        <v>42675</v>
      </c>
      <c r="B39" s="720">
        <v>16182465</v>
      </c>
      <c r="C39" s="720">
        <v>14598097.165731398</v>
      </c>
      <c r="D39" s="720">
        <v>11865229.367094899</v>
      </c>
      <c r="E39" s="720">
        <v>14598097.165731398</v>
      </c>
      <c r="F39" s="723">
        <f t="shared" si="6"/>
        <v>0.18720712484719079</v>
      </c>
      <c r="G39" s="723">
        <f t="shared" si="7"/>
        <v>0</v>
      </c>
      <c r="H39" s="722">
        <v>371</v>
      </c>
      <c r="I39" s="722">
        <v>0</v>
      </c>
      <c r="J39" s="721">
        <f t="shared" si="8"/>
        <v>301.5461566816922</v>
      </c>
      <c r="K39" s="721">
        <f t="shared" si="9"/>
        <v>0</v>
      </c>
      <c r="L39" s="720">
        <f t="shared" si="10"/>
        <v>-2220884.3302718149</v>
      </c>
      <c r="M39" s="720">
        <f t="shared" si="11"/>
        <v>0</v>
      </c>
      <c r="N39" s="614"/>
      <c r="O39" s="614"/>
    </row>
    <row r="40" spans="1:15">
      <c r="A40" s="724">
        <v>42705</v>
      </c>
      <c r="B40" s="720">
        <v>18458396</v>
      </c>
      <c r="C40" s="720">
        <v>18083470.811556797</v>
      </c>
      <c r="D40" s="720">
        <v>13383822.144359799</v>
      </c>
      <c r="E40" s="720">
        <v>18083470.811556797</v>
      </c>
      <c r="F40" s="723">
        <f t="shared" si="6"/>
        <v>0.25988642977727172</v>
      </c>
      <c r="G40" s="723">
        <f t="shared" si="7"/>
        <v>0</v>
      </c>
      <c r="H40" s="722">
        <v>638</v>
      </c>
      <c r="I40" s="722">
        <v>0</v>
      </c>
      <c r="J40" s="721">
        <f t="shared" si="8"/>
        <v>472.19245780210065</v>
      </c>
      <c r="K40" s="721">
        <f t="shared" si="9"/>
        <v>0</v>
      </c>
      <c r="L40" s="720">
        <f t="shared" si="10"/>
        <v>-3477635.5265109898</v>
      </c>
      <c r="M40" s="720">
        <f t="shared" si="11"/>
        <v>0</v>
      </c>
      <c r="N40" s="719">
        <f>SUM(L29:L40)</f>
        <v>-20771130.967663024</v>
      </c>
      <c r="O40" s="719">
        <f>SUM(M29:M40)</f>
        <v>-11160915.099276418</v>
      </c>
    </row>
    <row r="41" spans="1:15">
      <c r="A41" s="724">
        <v>42736</v>
      </c>
      <c r="B41" s="720">
        <v>18022586</v>
      </c>
      <c r="C41" s="720">
        <v>18779578.64705855</v>
      </c>
      <c r="D41" s="720">
        <v>13383822.144359799</v>
      </c>
      <c r="E41" s="720">
        <v>18779578.64705855</v>
      </c>
      <c r="F41" s="723">
        <f t="shared" si="6"/>
        <v>0.28732042417489967</v>
      </c>
      <c r="G41" s="723">
        <f t="shared" si="7"/>
        <v>0</v>
      </c>
      <c r="H41" s="722">
        <v>732.5</v>
      </c>
      <c r="I41" s="722">
        <v>0</v>
      </c>
      <c r="J41" s="721">
        <f t="shared" si="8"/>
        <v>522.03778929188604</v>
      </c>
      <c r="K41" s="721">
        <f t="shared" si="9"/>
        <v>0</v>
      </c>
      <c r="L41" s="720">
        <f t="shared" si="10"/>
        <v>-3844712.7042376772</v>
      </c>
      <c r="M41" s="720">
        <f t="shared" si="11"/>
        <v>0</v>
      </c>
      <c r="N41" s="614"/>
      <c r="O41" s="614"/>
    </row>
    <row r="42" spans="1:15">
      <c r="A42" s="724">
        <v>42767</v>
      </c>
      <c r="B42" s="720">
        <v>16020293</v>
      </c>
      <c r="C42" s="720">
        <v>17156877.269459482</v>
      </c>
      <c r="D42" s="720">
        <v>12279702.868497699</v>
      </c>
      <c r="E42" s="720">
        <v>17156877.269459482</v>
      </c>
      <c r="F42" s="723">
        <f t="shared" si="6"/>
        <v>0.28426935300420408</v>
      </c>
      <c r="G42" s="723">
        <f t="shared" si="7"/>
        <v>0</v>
      </c>
      <c r="H42" s="722">
        <v>662.0999755859375</v>
      </c>
      <c r="I42" s="722">
        <v>0</v>
      </c>
      <c r="J42" s="721">
        <f t="shared" si="8"/>
        <v>473.88524390202372</v>
      </c>
      <c r="K42" s="721">
        <f t="shared" si="9"/>
        <v>0</v>
      </c>
      <c r="L42" s="720">
        <f t="shared" si="10"/>
        <v>-3490080.8613603795</v>
      </c>
      <c r="M42" s="720">
        <f t="shared" si="11"/>
        <v>0</v>
      </c>
      <c r="N42" s="614"/>
      <c r="O42" s="614"/>
    </row>
    <row r="43" spans="1:15">
      <c r="A43" s="724">
        <v>42795</v>
      </c>
      <c r="B43" s="720">
        <v>17528308</v>
      </c>
      <c r="C43" s="720">
        <v>17623132.741948832</v>
      </c>
      <c r="D43" s="720">
        <v>12233269.125715598</v>
      </c>
      <c r="E43" s="720">
        <v>17623132.741948832</v>
      </c>
      <c r="F43" s="723">
        <f t="shared" si="6"/>
        <v>0.30584026660615177</v>
      </c>
      <c r="G43" s="723">
        <f t="shared" si="7"/>
        <v>0</v>
      </c>
      <c r="H43" s="722">
        <v>731.70001220703125</v>
      </c>
      <c r="I43" s="722">
        <v>0</v>
      </c>
      <c r="J43" s="721">
        <f t="shared" si="8"/>
        <v>507.91668539790834</v>
      </c>
      <c r="K43" s="721">
        <f t="shared" si="9"/>
        <v>0</v>
      </c>
      <c r="L43" s="720">
        <f t="shared" si="10"/>
        <v>-3740694.3462995733</v>
      </c>
      <c r="M43" s="720">
        <f t="shared" si="11"/>
        <v>0</v>
      </c>
      <c r="N43" s="614"/>
      <c r="O43" s="614"/>
    </row>
    <row r="44" spans="1:15">
      <c r="A44" s="724">
        <v>42826</v>
      </c>
      <c r="B44" s="720">
        <v>13857420</v>
      </c>
      <c r="C44" s="720">
        <v>14240161.490821369</v>
      </c>
      <c r="D44" s="720">
        <v>11887390.713990111</v>
      </c>
      <c r="E44" s="720">
        <v>14218000.143926157</v>
      </c>
      <c r="F44" s="723">
        <f t="shared" si="6"/>
        <v>0.16522079320152083</v>
      </c>
      <c r="G44" s="723">
        <f t="shared" si="7"/>
        <v>1.5562567116599495E-3</v>
      </c>
      <c r="H44" s="722">
        <v>319.39999389648438</v>
      </c>
      <c r="I44" s="722">
        <v>1.2000000476837158</v>
      </c>
      <c r="J44" s="721">
        <f t="shared" si="8"/>
        <v>266.62847355634631</v>
      </c>
      <c r="K44" s="721">
        <f t="shared" si="9"/>
        <v>1.1981325395555158</v>
      </c>
      <c r="L44" s="720">
        <f t="shared" si="10"/>
        <v>-1963724.594486333</v>
      </c>
      <c r="M44" s="720">
        <f t="shared" si="11"/>
        <v>-22125.657736365196</v>
      </c>
      <c r="N44" s="614"/>
      <c r="O44" s="614"/>
    </row>
    <row r="45" spans="1:15">
      <c r="A45" s="724">
        <v>42856</v>
      </c>
      <c r="B45" s="720">
        <v>13454130</v>
      </c>
      <c r="C45" s="720">
        <v>13803854.341422308</v>
      </c>
      <c r="D45" s="720">
        <v>12401326.00670455</v>
      </c>
      <c r="E45" s="720">
        <v>13635797.460433356</v>
      </c>
      <c r="F45" s="723">
        <f t="shared" si="6"/>
        <v>0.10160410998463533</v>
      </c>
      <c r="G45" s="723">
        <f t="shared" si="7"/>
        <v>1.2174634477607483E-2</v>
      </c>
      <c r="H45" s="722">
        <v>190.39999389648437</v>
      </c>
      <c r="I45" s="722">
        <v>9.1000003814697266</v>
      </c>
      <c r="J45" s="721">
        <f t="shared" si="8"/>
        <v>171.05457197555208</v>
      </c>
      <c r="K45" s="721">
        <f t="shared" si="9"/>
        <v>8.9892112030792433</v>
      </c>
      <c r="L45" s="720">
        <f t="shared" si="10"/>
        <v>-1259835.2091838547</v>
      </c>
      <c r="M45" s="720">
        <f t="shared" si="11"/>
        <v>-166001.74678531094</v>
      </c>
      <c r="N45" s="614"/>
      <c r="O45" s="614"/>
    </row>
    <row r="46" spans="1:15">
      <c r="A46" s="724">
        <v>42887</v>
      </c>
      <c r="B46" s="720">
        <v>13679982</v>
      </c>
      <c r="C46" s="720">
        <v>14230612.937132789</v>
      </c>
      <c r="D46" s="720">
        <v>13846832.861286599</v>
      </c>
      <c r="E46" s="720">
        <v>13399562.461585289</v>
      </c>
      <c r="F46" s="723">
        <f t="shared" si="6"/>
        <v>2.6968625844974628E-2</v>
      </c>
      <c r="G46" s="723">
        <f t="shared" si="7"/>
        <v>5.8398782906883107E-2</v>
      </c>
      <c r="H46" s="722">
        <v>52.099998474121094</v>
      </c>
      <c r="I46" s="722">
        <v>45</v>
      </c>
      <c r="J46" s="721">
        <f t="shared" si="8"/>
        <v>50.694933108748771</v>
      </c>
      <c r="K46" s="721">
        <f t="shared" si="9"/>
        <v>42.372054769190264</v>
      </c>
      <c r="L46" s="720">
        <f t="shared" si="10"/>
        <v>-373377.93016585323</v>
      </c>
      <c r="M46" s="720">
        <f t="shared" si="11"/>
        <v>-782473.12460179476</v>
      </c>
      <c r="N46" s="614"/>
      <c r="O46" s="614"/>
    </row>
    <row r="47" spans="1:15">
      <c r="A47" s="724">
        <v>42917</v>
      </c>
      <c r="B47" s="720">
        <v>14921619</v>
      </c>
      <c r="C47" s="720">
        <v>14597424.88642909</v>
      </c>
      <c r="D47" s="720">
        <v>14562067.026712894</v>
      </c>
      <c r="E47" s="720">
        <v>13419180.004075995</v>
      </c>
      <c r="F47" s="723">
        <f t="shared" si="6"/>
        <v>2.4221984350861125E-3</v>
      </c>
      <c r="G47" s="723">
        <f t="shared" si="7"/>
        <v>8.0715940758050012E-2</v>
      </c>
      <c r="H47" s="722">
        <v>4.8000001907348633</v>
      </c>
      <c r="I47" s="722">
        <v>63.799999237060547</v>
      </c>
      <c r="J47" s="721">
        <f t="shared" si="8"/>
        <v>4.7883736377844528</v>
      </c>
      <c r="K47" s="721">
        <f t="shared" si="9"/>
        <v>58.650322278278331</v>
      </c>
      <c r="L47" s="720">
        <f t="shared" si="10"/>
        <v>-35267.413657929857</v>
      </c>
      <c r="M47" s="720">
        <f t="shared" si="11"/>
        <v>-1083077.9179676841</v>
      </c>
      <c r="N47" s="614"/>
      <c r="O47" s="614"/>
    </row>
    <row r="48" spans="1:15">
      <c r="A48" s="724">
        <v>42948</v>
      </c>
      <c r="B48" s="720">
        <v>13912077</v>
      </c>
      <c r="C48" s="720">
        <v>14523830.678122658</v>
      </c>
      <c r="D48" s="720">
        <v>14325679.349980298</v>
      </c>
      <c r="E48" s="720">
        <v>13581973.472502159</v>
      </c>
      <c r="F48" s="723">
        <f t="shared" si="6"/>
        <v>1.3643186328303627E-2</v>
      </c>
      <c r="G48" s="723">
        <f t="shared" si="7"/>
        <v>6.4849090194863332E-2</v>
      </c>
      <c r="H48" s="722">
        <v>26.899999618530273</v>
      </c>
      <c r="I48" s="722">
        <v>51</v>
      </c>
      <c r="J48" s="721">
        <f t="shared" si="8"/>
        <v>26.532997911503369</v>
      </c>
      <c r="K48" s="721">
        <f t="shared" si="9"/>
        <v>47.692696400061969</v>
      </c>
      <c r="L48" s="720">
        <f t="shared" si="10"/>
        <v>-195420.99987605581</v>
      </c>
      <c r="M48" s="720">
        <f t="shared" si="11"/>
        <v>-880727.60626470763</v>
      </c>
      <c r="N48" s="614"/>
      <c r="O48" s="614"/>
    </row>
    <row r="49" spans="1:15">
      <c r="A49" s="724">
        <v>42979</v>
      </c>
      <c r="B49" s="720">
        <v>14159111</v>
      </c>
      <c r="C49" s="720">
        <v>13339716.573149519</v>
      </c>
      <c r="D49" s="720">
        <v>12825554.361060899</v>
      </c>
      <c r="E49" s="720">
        <v>12379391.579183519</v>
      </c>
      <c r="F49" s="723">
        <f t="shared" si="6"/>
        <v>3.8543713374205979E-2</v>
      </c>
      <c r="G49" s="723">
        <f t="shared" si="7"/>
        <v>7.1989909883015346E-2</v>
      </c>
      <c r="H49" s="722">
        <v>69.800003051757812</v>
      </c>
      <c r="I49" s="722">
        <v>52</v>
      </c>
      <c r="J49" s="721">
        <f t="shared" si="8"/>
        <v>67.109651740612165</v>
      </c>
      <c r="K49" s="721">
        <f t="shared" si="9"/>
        <v>48.256524686083203</v>
      </c>
      <c r="L49" s="720">
        <f t="shared" si="10"/>
        <v>-494274.65884168039</v>
      </c>
      <c r="M49" s="720">
        <f t="shared" si="11"/>
        <v>-891139.26751935121</v>
      </c>
      <c r="N49" s="614"/>
      <c r="O49" s="614"/>
    </row>
    <row r="50" spans="1:15">
      <c r="A50" s="724">
        <v>43009</v>
      </c>
      <c r="B50" s="720">
        <v>13514543</v>
      </c>
      <c r="C50" s="720">
        <v>13660863.572476996</v>
      </c>
      <c r="D50" s="720">
        <v>12240656.241163876</v>
      </c>
      <c r="E50" s="720">
        <v>13653476.457028719</v>
      </c>
      <c r="F50" s="723">
        <f t="shared" si="6"/>
        <v>0.10396175349957085</v>
      </c>
      <c r="G50" s="723">
        <f t="shared" si="7"/>
        <v>5.4075025411720785E-4</v>
      </c>
      <c r="H50" s="722">
        <v>192.80000305175781</v>
      </c>
      <c r="I50" s="722">
        <v>0.40000000596046448</v>
      </c>
      <c r="J50" s="721">
        <f t="shared" si="8"/>
        <v>172.75617665977447</v>
      </c>
      <c r="K50" s="721">
        <f t="shared" si="9"/>
        <v>0.39978370585559447</v>
      </c>
      <c r="L50" s="720">
        <f t="shared" si="10"/>
        <v>-1272367.2036317121</v>
      </c>
      <c r="M50" s="720">
        <f t="shared" si="11"/>
        <v>-7382.7207255895173</v>
      </c>
      <c r="N50" s="614"/>
      <c r="O50" s="614"/>
    </row>
    <row r="51" spans="1:15">
      <c r="A51" s="724">
        <v>43040</v>
      </c>
      <c r="B51" s="720">
        <v>15746453</v>
      </c>
      <c r="C51" s="720">
        <v>15728812.009641649</v>
      </c>
      <c r="D51" s="720">
        <v>11865229.367094899</v>
      </c>
      <c r="E51" s="720">
        <v>15728812.009641649</v>
      </c>
      <c r="F51" s="723">
        <f t="shared" si="6"/>
        <v>0.24563728272538332</v>
      </c>
      <c r="G51" s="723">
        <f t="shared" si="7"/>
        <v>0</v>
      </c>
      <c r="H51" s="722">
        <v>524.5</v>
      </c>
      <c r="I51" s="722">
        <v>0</v>
      </c>
      <c r="J51" s="721">
        <f t="shared" si="8"/>
        <v>395.66324521053645</v>
      </c>
      <c r="K51" s="721">
        <f t="shared" si="9"/>
        <v>0</v>
      </c>
      <c r="L51" s="720">
        <f t="shared" si="10"/>
        <v>-2914018.010134758</v>
      </c>
      <c r="M51" s="720">
        <f t="shared" si="11"/>
        <v>0</v>
      </c>
      <c r="N51" s="614"/>
      <c r="O51" s="614"/>
    </row>
    <row r="52" spans="1:15">
      <c r="A52" s="724">
        <v>43070</v>
      </c>
      <c r="B52" s="720">
        <v>19365328</v>
      </c>
      <c r="C52" s="720">
        <v>19802009.959971067</v>
      </c>
      <c r="D52" s="720">
        <v>13383822.144359799</v>
      </c>
      <c r="E52" s="720">
        <v>19802009.959971067</v>
      </c>
      <c r="F52" s="723">
        <f t="shared" si="6"/>
        <v>0.32411799754597465</v>
      </c>
      <c r="G52" s="723">
        <f t="shared" si="7"/>
        <v>0</v>
      </c>
      <c r="H52" s="722">
        <v>871.29998779296875</v>
      </c>
      <c r="I52" s="722">
        <v>0</v>
      </c>
      <c r="J52" s="721">
        <f t="shared" si="8"/>
        <v>588.89598048767948</v>
      </c>
      <c r="K52" s="721">
        <f t="shared" si="9"/>
        <v>0</v>
      </c>
      <c r="L52" s="720">
        <f t="shared" si="10"/>
        <v>-4337066.049400162</v>
      </c>
      <c r="M52" s="720">
        <f t="shared" si="11"/>
        <v>0</v>
      </c>
      <c r="N52" s="719">
        <f>SUM(L41:L52)</f>
        <v>-23920839.981275968</v>
      </c>
      <c r="O52" s="719">
        <f>SUM(M41:M52)</f>
        <v>-3832928.0416008029</v>
      </c>
    </row>
    <row r="53" spans="1:15">
      <c r="A53" s="724">
        <v>43101</v>
      </c>
      <c r="B53" s="720">
        <v>20404496</v>
      </c>
      <c r="C53" s="720">
        <v>19877145.498802047</v>
      </c>
      <c r="D53" s="720">
        <v>13383822.144359799</v>
      </c>
      <c r="E53" s="720">
        <v>19877145.498802047</v>
      </c>
      <c r="F53" s="723">
        <f t="shared" si="6"/>
        <v>0.32667282909578677</v>
      </c>
      <c r="G53" s="723">
        <f t="shared" si="7"/>
        <v>0</v>
      </c>
      <c r="H53" s="722">
        <v>881.5</v>
      </c>
      <c r="I53" s="722">
        <v>0</v>
      </c>
      <c r="J53" s="721">
        <f t="shared" si="8"/>
        <v>593.53790115206391</v>
      </c>
      <c r="K53" s="721">
        <f t="shared" si="9"/>
        <v>0</v>
      </c>
      <c r="L53" s="720">
        <f t="shared" si="10"/>
        <v>-4371249.258224356</v>
      </c>
      <c r="M53" s="720">
        <f t="shared" si="11"/>
        <v>0</v>
      </c>
      <c r="N53" s="614"/>
      <c r="O53" s="614"/>
    </row>
    <row r="54" spans="1:15">
      <c r="A54" s="724">
        <v>43132</v>
      </c>
      <c r="B54" s="720">
        <v>16526093</v>
      </c>
      <c r="C54" s="720">
        <v>17027968.411033232</v>
      </c>
      <c r="D54" s="720">
        <v>12279702.868497699</v>
      </c>
      <c r="E54" s="720">
        <v>17027968.411033232</v>
      </c>
      <c r="F54" s="723">
        <f t="shared" si="6"/>
        <v>0.2788509719961017</v>
      </c>
      <c r="G54" s="723">
        <f t="shared" si="7"/>
        <v>0</v>
      </c>
      <c r="H54" s="722">
        <v>644.5999755859375</v>
      </c>
      <c r="I54" s="722">
        <v>0</v>
      </c>
      <c r="J54" s="721">
        <f t="shared" si="8"/>
        <v>464.85264584513544</v>
      </c>
      <c r="K54" s="721">
        <f t="shared" si="9"/>
        <v>0</v>
      </c>
      <c r="L54" s="720">
        <f t="shared" si="10"/>
        <v>-3423562.2569017676</v>
      </c>
      <c r="M54" s="720">
        <f t="shared" si="11"/>
        <v>0</v>
      </c>
      <c r="N54" s="614"/>
      <c r="O54" s="614"/>
    </row>
    <row r="55" spans="1:15">
      <c r="A55" s="724">
        <v>43160</v>
      </c>
      <c r="B55" s="720">
        <v>16711790</v>
      </c>
      <c r="C55" s="720">
        <v>16586705.430282099</v>
      </c>
      <c r="D55" s="720">
        <v>12233269.125715598</v>
      </c>
      <c r="E55" s="720">
        <v>16586705.430282099</v>
      </c>
      <c r="F55" s="723">
        <f t="shared" si="6"/>
        <v>0.26246540175594468</v>
      </c>
      <c r="G55" s="723">
        <f t="shared" si="7"/>
        <v>0</v>
      </c>
      <c r="H55" s="722">
        <v>591</v>
      </c>
      <c r="I55" s="722">
        <v>0</v>
      </c>
      <c r="J55" s="721">
        <f t="shared" si="8"/>
        <v>435.88294756223667</v>
      </c>
      <c r="K55" s="721">
        <f t="shared" si="9"/>
        <v>0</v>
      </c>
      <c r="L55" s="720">
        <f t="shared" si="10"/>
        <v>-3210218.6859918991</v>
      </c>
      <c r="M55" s="720">
        <f t="shared" si="11"/>
        <v>0</v>
      </c>
      <c r="N55" s="614"/>
      <c r="O55" s="614"/>
    </row>
    <row r="56" spans="1:15">
      <c r="A56" s="724">
        <v>43191</v>
      </c>
      <c r="B56" s="720">
        <v>14958390</v>
      </c>
      <c r="C56" s="720">
        <v>15212439.908928657</v>
      </c>
      <c r="D56" s="720">
        <v>11865229.367094899</v>
      </c>
      <c r="E56" s="720">
        <v>15212439.908928657</v>
      </c>
      <c r="F56" s="723">
        <f t="shared" si="6"/>
        <v>0.22003114305609686</v>
      </c>
      <c r="G56" s="723">
        <f t="shared" si="7"/>
        <v>0</v>
      </c>
      <c r="H56" s="722">
        <v>454.39999389648437</v>
      </c>
      <c r="I56" s="722">
        <v>0</v>
      </c>
      <c r="J56" s="721">
        <f t="shared" si="8"/>
        <v>354.41784383475749</v>
      </c>
      <c r="K56" s="721">
        <f t="shared" si="9"/>
        <v>0</v>
      </c>
      <c r="L56" s="720">
        <f t="shared" si="10"/>
        <v>-2610265.4096185709</v>
      </c>
      <c r="M56" s="720">
        <f t="shared" si="11"/>
        <v>0</v>
      </c>
      <c r="N56" s="614"/>
      <c r="O56" s="614"/>
    </row>
    <row r="57" spans="1:15">
      <c r="A57" s="724">
        <v>43221</v>
      </c>
      <c r="B57" s="720">
        <v>13429315</v>
      </c>
      <c r="C57" s="720">
        <v>13336444.151615057</v>
      </c>
      <c r="D57" s="720">
        <v>12523213.399217498</v>
      </c>
      <c r="E57" s="720">
        <v>13046499.878113158</v>
      </c>
      <c r="F57" s="723">
        <f t="shared" si="6"/>
        <v>6.0978079550468217E-2</v>
      </c>
      <c r="G57" s="723">
        <f t="shared" si="7"/>
        <v>2.1740748148882438E-2</v>
      </c>
      <c r="H57" s="722">
        <v>110.40000152587891</v>
      </c>
      <c r="I57" s="722">
        <v>15.699999809265137</v>
      </c>
      <c r="J57" s="721">
        <f t="shared" si="8"/>
        <v>103.66802145046205</v>
      </c>
      <c r="K57" s="721">
        <f t="shared" si="9"/>
        <v>15.358670067474399</v>
      </c>
      <c r="L57" s="720">
        <f t="shared" si="10"/>
        <v>-763531.05296729668</v>
      </c>
      <c r="M57" s="720">
        <f t="shared" si="11"/>
        <v>-283624.96276825364</v>
      </c>
      <c r="N57" s="614"/>
      <c r="O57" s="614"/>
    </row>
    <row r="58" spans="1:15">
      <c r="A58" s="724">
        <v>43252</v>
      </c>
      <c r="B58" s="720">
        <v>13794713</v>
      </c>
      <c r="C58" s="720">
        <v>13971598.936714504</v>
      </c>
      <c r="D58" s="720">
        <v>13684316.337936003</v>
      </c>
      <c r="E58" s="720">
        <v>13303064.984517599</v>
      </c>
      <c r="F58" s="723">
        <f t="shared" si="6"/>
        <v>2.0561898468440948E-2</v>
      </c>
      <c r="G58" s="723">
        <f t="shared" si="7"/>
        <v>4.7849494909285931E-2</v>
      </c>
      <c r="H58" s="722">
        <v>39</v>
      </c>
      <c r="I58" s="722">
        <v>36.200000762939453</v>
      </c>
      <c r="J58" s="721">
        <f t="shared" si="8"/>
        <v>38.198085959730804</v>
      </c>
      <c r="K58" s="721">
        <f t="shared" si="9"/>
        <v>34.467849010717039</v>
      </c>
      <c r="L58" s="720">
        <f t="shared" si="10"/>
        <v>-281336.50475828827</v>
      </c>
      <c r="M58" s="720">
        <f t="shared" si="11"/>
        <v>-636508.7283451691</v>
      </c>
      <c r="N58" s="614"/>
      <c r="O58" s="614"/>
    </row>
    <row r="59" spans="1:15">
      <c r="A59" s="724">
        <v>43282</v>
      </c>
      <c r="B59" s="720">
        <v>17209928</v>
      </c>
      <c r="C59" s="720">
        <v>16281418.023050316</v>
      </c>
      <c r="D59" s="720">
        <v>16281418.023050316</v>
      </c>
      <c r="E59" s="720">
        <v>13383822.144359799</v>
      </c>
      <c r="F59" s="723">
        <f t="shared" si="6"/>
        <v>0</v>
      </c>
      <c r="G59" s="723">
        <f t="shared" si="7"/>
        <v>0.17796950330666919</v>
      </c>
      <c r="H59" s="722">
        <v>0</v>
      </c>
      <c r="I59" s="722">
        <v>156.89999389648437</v>
      </c>
      <c r="J59" s="721">
        <f t="shared" si="8"/>
        <v>0</v>
      </c>
      <c r="K59" s="721">
        <f t="shared" si="9"/>
        <v>128.97657991390761</v>
      </c>
      <c r="L59" s="720">
        <f t="shared" si="10"/>
        <v>0</v>
      </c>
      <c r="M59" s="720">
        <f t="shared" si="11"/>
        <v>-2381755.2348212078</v>
      </c>
      <c r="N59" s="614"/>
      <c r="O59" s="614"/>
    </row>
    <row r="60" spans="1:15">
      <c r="A60" s="724">
        <v>43313</v>
      </c>
      <c r="B60" s="720">
        <v>16486570</v>
      </c>
      <c r="C60" s="720">
        <v>15541523.340641011</v>
      </c>
      <c r="D60" s="720">
        <v>15515004.947610108</v>
      </c>
      <c r="E60" s="720">
        <v>13410340.537390701</v>
      </c>
      <c r="F60" s="723">
        <f t="shared" si="6"/>
        <v>1.7062930350950152E-3</v>
      </c>
      <c r="G60" s="723">
        <f t="shared" si="7"/>
        <v>0.13712830824487302</v>
      </c>
      <c r="H60" s="722">
        <v>3.5999999046325684</v>
      </c>
      <c r="I60" s="722">
        <v>115.40000152587891</v>
      </c>
      <c r="J60" s="721">
        <f t="shared" si="8"/>
        <v>3.5938572498689507</v>
      </c>
      <c r="K60" s="721">
        <f t="shared" si="9"/>
        <v>99.575394545179364</v>
      </c>
      <c r="L60" s="720">
        <f t="shared" si="10"/>
        <v>-26469.543151225029</v>
      </c>
      <c r="M60" s="720">
        <f t="shared" si="11"/>
        <v>-1838821.8764752031</v>
      </c>
      <c r="N60" s="614"/>
      <c r="O60" s="614"/>
    </row>
    <row r="61" spans="1:15">
      <c r="A61" s="724">
        <v>43344</v>
      </c>
      <c r="B61" s="720">
        <v>14085299</v>
      </c>
      <c r="C61" s="720">
        <v>13492435.05528627</v>
      </c>
      <c r="D61" s="720">
        <v>12779384.890197149</v>
      </c>
      <c r="E61" s="720">
        <v>12578279.53218402</v>
      </c>
      <c r="F61" s="723">
        <f t="shared" si="6"/>
        <v>5.2848145065538157E-2</v>
      </c>
      <c r="G61" s="723">
        <f t="shared" si="7"/>
        <v>6.7753190536506483E-2</v>
      </c>
      <c r="H61" s="722">
        <v>96.800003051757813</v>
      </c>
      <c r="I61" s="722">
        <v>49.5</v>
      </c>
      <c r="J61" s="721">
        <f t="shared" si="8"/>
        <v>91.684302448133977</v>
      </c>
      <c r="K61" s="721">
        <f t="shared" si="9"/>
        <v>46.14621706844293</v>
      </c>
      <c r="L61" s="720">
        <f t="shared" si="10"/>
        <v>-675269.94237644167</v>
      </c>
      <c r="M61" s="720">
        <f t="shared" si="11"/>
        <v>-852169.05382198549</v>
      </c>
      <c r="N61" s="614"/>
      <c r="O61" s="614"/>
    </row>
    <row r="62" spans="1:15">
      <c r="A62" s="724">
        <v>43374</v>
      </c>
      <c r="B62" s="720">
        <v>13706313</v>
      </c>
      <c r="C62" s="720">
        <v>14891406.397203786</v>
      </c>
      <c r="D62" s="720">
        <v>12246196.577337295</v>
      </c>
      <c r="E62" s="720">
        <v>14878478.94558209</v>
      </c>
      <c r="F62" s="723">
        <f t="shared" si="6"/>
        <v>0.17763331073706995</v>
      </c>
      <c r="G62" s="723">
        <f t="shared" si="7"/>
        <v>8.6811488968051992E-4</v>
      </c>
      <c r="H62" s="722">
        <v>359.10000610351562</v>
      </c>
      <c r="I62" s="722">
        <v>0.69999998807907104</v>
      </c>
      <c r="J62" s="721">
        <f t="shared" si="8"/>
        <v>295.31188313364612</v>
      </c>
      <c r="K62" s="721">
        <f t="shared" si="9"/>
        <v>0.6993923076666434</v>
      </c>
      <c r="L62" s="720">
        <f t="shared" si="10"/>
        <v>-2174973.1997706234</v>
      </c>
      <c r="M62" s="720">
        <f t="shared" si="11"/>
        <v>-12915.528866830266</v>
      </c>
      <c r="N62" s="614"/>
      <c r="O62" s="614"/>
    </row>
    <row r="63" spans="1:15">
      <c r="A63" s="724">
        <v>43405</v>
      </c>
      <c r="B63" s="720">
        <v>16998622</v>
      </c>
      <c r="C63" s="720">
        <v>16281278.545754148</v>
      </c>
      <c r="D63" s="720">
        <v>11865229.367094899</v>
      </c>
      <c r="E63" s="720">
        <v>16281278.545754148</v>
      </c>
      <c r="F63" s="723">
        <f t="shared" si="6"/>
        <v>0.27123479069835532</v>
      </c>
      <c r="G63" s="723">
        <f t="shared" si="7"/>
        <v>0</v>
      </c>
      <c r="H63" s="722">
        <v>599.5</v>
      </c>
      <c r="I63" s="722">
        <v>0</v>
      </c>
      <c r="J63" s="721">
        <f t="shared" si="8"/>
        <v>436.89474297633598</v>
      </c>
      <c r="K63" s="721">
        <f t="shared" si="9"/>
        <v>0</v>
      </c>
      <c r="L63" s="720">
        <f t="shared" si="10"/>
        <v>-3217663.2936071455</v>
      </c>
      <c r="M63" s="720">
        <f t="shared" si="11"/>
        <v>0</v>
      </c>
      <c r="N63" s="614"/>
      <c r="O63" s="614"/>
    </row>
    <row r="64" spans="1:15">
      <c r="A64" s="724">
        <v>43435</v>
      </c>
      <c r="B64" s="720">
        <v>18482962</v>
      </c>
      <c r="C64" s="720">
        <v>19030766.585638333</v>
      </c>
      <c r="D64" s="720">
        <v>13383822.144359799</v>
      </c>
      <c r="E64" s="720">
        <v>19030766.585638333</v>
      </c>
      <c r="F64" s="723">
        <f t="shared" si="6"/>
        <v>0.29672711374328081</v>
      </c>
      <c r="G64" s="723">
        <f t="shared" si="7"/>
        <v>0</v>
      </c>
      <c r="H64" s="722">
        <v>766.5999755859375</v>
      </c>
      <c r="I64" s="722">
        <v>0</v>
      </c>
      <c r="J64" s="721">
        <f t="shared" si="8"/>
        <v>539.12897743465282</v>
      </c>
      <c r="K64" s="721">
        <f t="shared" si="9"/>
        <v>0</v>
      </c>
      <c r="L64" s="720">
        <f t="shared" si="10"/>
        <v>-3970576.0561831025</v>
      </c>
      <c r="M64" s="720">
        <f t="shared" si="11"/>
        <v>0</v>
      </c>
      <c r="N64" s="719">
        <f>SUM(L53:L64)</f>
        <v>-24725115.203550719</v>
      </c>
      <c r="O64" s="719">
        <f>SUM(M53:M64)</f>
        <v>-6005795.3850986492</v>
      </c>
    </row>
    <row r="65" spans="1:15">
      <c r="A65" s="724">
        <v>43466</v>
      </c>
      <c r="B65" s="720">
        <v>20436388</v>
      </c>
      <c r="C65" s="720">
        <v>20270501.852353517</v>
      </c>
      <c r="D65" s="720">
        <v>13383822.144359799</v>
      </c>
      <c r="E65" s="720">
        <v>20270501.852353517</v>
      </c>
      <c r="F65" s="723">
        <f t="shared" si="6"/>
        <v>0.33973898417291215</v>
      </c>
      <c r="G65" s="723">
        <f t="shared" si="7"/>
        <v>0</v>
      </c>
      <c r="H65" s="722">
        <v>934.9000244140625</v>
      </c>
      <c r="I65" s="722">
        <v>0</v>
      </c>
      <c r="J65" s="721">
        <f t="shared" si="8"/>
        <v>617.27803981639818</v>
      </c>
      <c r="K65" s="721">
        <f t="shared" si="9"/>
        <v>0</v>
      </c>
      <c r="L65" s="720">
        <f t="shared" si="10"/>
        <v>-4546070.9424319351</v>
      </c>
      <c r="M65" s="720">
        <f t="shared" si="11"/>
        <v>0</v>
      </c>
      <c r="N65" s="614"/>
      <c r="O65" s="614"/>
    </row>
    <row r="66" spans="1:15">
      <c r="A66" s="724">
        <v>43497</v>
      </c>
      <c r="B66" s="720">
        <v>17556826</v>
      </c>
      <c r="C66" s="720">
        <v>18262275.968037382</v>
      </c>
      <c r="D66" s="720">
        <v>12647742.627118399</v>
      </c>
      <c r="E66" s="720">
        <v>18262275.968037382</v>
      </c>
      <c r="F66" s="723">
        <f t="shared" si="6"/>
        <v>0.30743886198771353</v>
      </c>
      <c r="G66" s="723">
        <f t="shared" si="7"/>
        <v>0</v>
      </c>
      <c r="H66" s="722">
        <v>762.20001220703125</v>
      </c>
      <c r="I66" s="722">
        <v>0</v>
      </c>
      <c r="J66" s="721">
        <f t="shared" si="8"/>
        <v>527.87010784708025</v>
      </c>
      <c r="K66" s="721">
        <f t="shared" si="9"/>
        <v>0</v>
      </c>
      <c r="L66" s="720">
        <f t="shared" si="10"/>
        <v>-3887645.1458131126</v>
      </c>
      <c r="M66" s="720">
        <f t="shared" si="11"/>
        <v>0</v>
      </c>
      <c r="N66" s="614"/>
      <c r="O66" s="614"/>
    </row>
    <row r="67" spans="1:15">
      <c r="A67" s="724">
        <v>43525</v>
      </c>
      <c r="B67" s="720">
        <v>17503896</v>
      </c>
      <c r="C67" s="720">
        <v>17139908.408603381</v>
      </c>
      <c r="D67" s="720">
        <v>12233269.125715598</v>
      </c>
      <c r="E67" s="720">
        <v>17139908.408603381</v>
      </c>
      <c r="F67" s="723">
        <f t="shared" si="6"/>
        <v>0.28626986597109783</v>
      </c>
      <c r="G67" s="723">
        <f t="shared" si="7"/>
        <v>0</v>
      </c>
      <c r="H67" s="722">
        <v>666.0999755859375</v>
      </c>
      <c r="I67" s="722">
        <v>0</v>
      </c>
      <c r="J67" s="721">
        <f t="shared" si="8"/>
        <v>475.41562485159966</v>
      </c>
      <c r="K67" s="721">
        <f t="shared" si="9"/>
        <v>0</v>
      </c>
      <c r="L67" s="720">
        <f t="shared" si="10"/>
        <v>-3501349.9841187648</v>
      </c>
      <c r="M67" s="720">
        <f t="shared" si="11"/>
        <v>0</v>
      </c>
      <c r="N67" s="614"/>
      <c r="O67" s="614"/>
    </row>
    <row r="68" spans="1:15">
      <c r="A68" s="724">
        <v>43556</v>
      </c>
      <c r="B68" s="720">
        <v>14640514</v>
      </c>
      <c r="C68" s="720">
        <v>14802878.005197415</v>
      </c>
      <c r="D68" s="720">
        <v>11865229.367094899</v>
      </c>
      <c r="E68" s="720">
        <v>14802878.005197415</v>
      </c>
      <c r="F68" s="723">
        <f t="shared" si="6"/>
        <v>0.19845118206547965</v>
      </c>
      <c r="G68" s="723">
        <f t="shared" si="7"/>
        <v>0</v>
      </c>
      <c r="H68" s="722">
        <v>398.79998779296875</v>
      </c>
      <c r="I68" s="722">
        <v>0</v>
      </c>
      <c r="J68" s="721">
        <f t="shared" si="8"/>
        <v>319.65765880775524</v>
      </c>
      <c r="K68" s="721">
        <f t="shared" si="9"/>
        <v>0</v>
      </c>
      <c r="L68" s="720">
        <f t="shared" si="10"/>
        <v>-2354269.8394750701</v>
      </c>
      <c r="M68" s="720">
        <f t="shared" si="11"/>
        <v>0</v>
      </c>
      <c r="N68" s="614"/>
      <c r="O68" s="614"/>
    </row>
    <row r="69" spans="1:15">
      <c r="A69" s="724">
        <v>43586</v>
      </c>
      <c r="B69" s="720">
        <v>13311114</v>
      </c>
      <c r="C69" s="720">
        <v>13803747.309891477</v>
      </c>
      <c r="D69" s="720">
        <v>12233269.125715598</v>
      </c>
      <c r="E69" s="720">
        <v>13803747.309891477</v>
      </c>
      <c r="F69" s="723">
        <f t="shared" ref="F69:F100" si="12">(C69-D69)/C69</f>
        <v>0.11377187287762844</v>
      </c>
      <c r="G69" s="723">
        <f t="shared" ref="G69:G100" si="13">(C69-E69)/C69</f>
        <v>0</v>
      </c>
      <c r="H69" s="722">
        <v>213.19999694824219</v>
      </c>
      <c r="I69" s="722">
        <v>0</v>
      </c>
      <c r="J69" s="721">
        <f t="shared" ref="J69:J100" si="14">H69*(1-F69)</f>
        <v>188.943833997936</v>
      </c>
      <c r="K69" s="721">
        <f t="shared" ref="K69:K100" si="15">I69*(1-G69)</f>
        <v>0</v>
      </c>
      <c r="L69" s="720">
        <f t="shared" ref="L69:L100" si="16">H69-J69*7366.22</f>
        <v>-1391588.648875328</v>
      </c>
      <c r="M69" s="720">
        <f t="shared" ref="M69:M100" si="17">I69-K69*18467.788</f>
        <v>0</v>
      </c>
      <c r="N69" s="614"/>
      <c r="O69" s="614"/>
    </row>
    <row r="70" spans="1:15">
      <c r="A70" s="724">
        <v>43617</v>
      </c>
      <c r="B70" s="720">
        <v>13318967</v>
      </c>
      <c r="C70" s="720">
        <v>13994951.437790129</v>
      </c>
      <c r="D70" s="720">
        <v>13606751.6127951</v>
      </c>
      <c r="E70" s="720">
        <v>13403982.210734129</v>
      </c>
      <c r="F70" s="723">
        <f t="shared" si="12"/>
        <v>2.7738561774983076E-2</v>
      </c>
      <c r="G70" s="723">
        <f t="shared" si="13"/>
        <v>4.2227315306019905E-2</v>
      </c>
      <c r="H70" s="722">
        <v>52.700000762939453</v>
      </c>
      <c r="I70" s="722">
        <v>32</v>
      </c>
      <c r="J70" s="721">
        <f t="shared" si="14"/>
        <v>51.238178536234997</v>
      </c>
      <c r="K70" s="721">
        <f t="shared" si="15"/>
        <v>30.648725910207364</v>
      </c>
      <c r="L70" s="720">
        <f t="shared" si="16"/>
        <v>-377378.99549642205</v>
      </c>
      <c r="M70" s="720">
        <f t="shared" si="17"/>
        <v>-565982.17257981666</v>
      </c>
      <c r="N70" s="614"/>
      <c r="O70" s="614"/>
    </row>
    <row r="71" spans="1:15">
      <c r="A71" s="724">
        <v>43647</v>
      </c>
      <c r="B71" s="720">
        <v>17153264</v>
      </c>
      <c r="C71" s="720">
        <v>15841884.885864284</v>
      </c>
      <c r="D71" s="720">
        <v>15841884.885864284</v>
      </c>
      <c r="E71" s="720">
        <v>13383822.144359799</v>
      </c>
      <c r="F71" s="723">
        <f t="shared" si="12"/>
        <v>0</v>
      </c>
      <c r="G71" s="723">
        <f t="shared" si="13"/>
        <v>0.15516226504699668</v>
      </c>
      <c r="H71" s="722">
        <v>0</v>
      </c>
      <c r="I71" s="722">
        <v>133.10000610351562</v>
      </c>
      <c r="J71" s="721">
        <f t="shared" si="14"/>
        <v>0</v>
      </c>
      <c r="K71" s="721">
        <f t="shared" si="15"/>
        <v>112.44790767872506</v>
      </c>
      <c r="L71" s="720">
        <f t="shared" si="16"/>
        <v>0</v>
      </c>
      <c r="M71" s="720">
        <f t="shared" si="17"/>
        <v>-2076531.0200481631</v>
      </c>
      <c r="N71" s="614"/>
      <c r="O71" s="614"/>
    </row>
    <row r="72" spans="1:15">
      <c r="A72" s="724">
        <v>43678</v>
      </c>
      <c r="B72" s="720">
        <v>14842729</v>
      </c>
      <c r="C72" s="720">
        <v>14442264.12204184</v>
      </c>
      <c r="D72" s="720">
        <v>14395856.931603394</v>
      </c>
      <c r="E72" s="720">
        <v>13430229.334798245</v>
      </c>
      <c r="F72" s="723">
        <f t="shared" si="12"/>
        <v>3.2132905233064409E-3</v>
      </c>
      <c r="G72" s="723">
        <f t="shared" si="13"/>
        <v>7.0074524236059629E-2</v>
      </c>
      <c r="H72" s="722">
        <v>6.3000001907348633</v>
      </c>
      <c r="I72" s="722">
        <v>54.799999237060547</v>
      </c>
      <c r="J72" s="721">
        <f t="shared" si="14"/>
        <v>6.2797564598251459</v>
      </c>
      <c r="K72" s="721">
        <f t="shared" si="15"/>
        <v>50.9599153623871</v>
      </c>
      <c r="L72" s="720">
        <f t="shared" si="16"/>
        <v>-46251.767629302456</v>
      </c>
      <c r="M72" s="720">
        <f t="shared" si="17"/>
        <v>-941062.11341127113</v>
      </c>
      <c r="N72" s="614"/>
      <c r="O72" s="614"/>
    </row>
    <row r="73" spans="1:15">
      <c r="A73" s="724">
        <v>43709</v>
      </c>
      <c r="B73" s="720">
        <v>12965879</v>
      </c>
      <c r="C73" s="720">
        <v>12799373.17815985</v>
      </c>
      <c r="D73" s="720">
        <v>12033286.24808385</v>
      </c>
      <c r="E73" s="720">
        <v>12631316.297170898</v>
      </c>
      <c r="F73" s="723">
        <f t="shared" si="12"/>
        <v>5.9853472464042864E-2</v>
      </c>
      <c r="G73" s="723">
        <f t="shared" si="13"/>
        <v>1.3130086813603876E-2</v>
      </c>
      <c r="H73" s="722">
        <v>104</v>
      </c>
      <c r="I73" s="722">
        <v>9.1000003814697266</v>
      </c>
      <c r="J73" s="721">
        <f t="shared" si="14"/>
        <v>97.775238863739546</v>
      </c>
      <c r="K73" s="721">
        <f t="shared" si="15"/>
        <v>8.9805165864572007</v>
      </c>
      <c r="L73" s="720">
        <f t="shared" si="16"/>
        <v>-720129.92002285551</v>
      </c>
      <c r="M73" s="720">
        <f t="shared" si="17"/>
        <v>-165841.17644879379</v>
      </c>
      <c r="N73" s="614"/>
      <c r="O73" s="614"/>
    </row>
    <row r="74" spans="1:15">
      <c r="A74" s="724">
        <v>43739</v>
      </c>
      <c r="B74" s="720">
        <v>13942630</v>
      </c>
      <c r="C74" s="720">
        <v>14345901.069890115</v>
      </c>
      <c r="D74" s="720">
        <v>12233269.125715598</v>
      </c>
      <c r="E74" s="720">
        <v>14345901.069890115</v>
      </c>
      <c r="F74" s="723">
        <f t="shared" si="12"/>
        <v>0.14726380266267228</v>
      </c>
      <c r="G74" s="723">
        <f t="shared" si="13"/>
        <v>0</v>
      </c>
      <c r="H74" s="722">
        <v>286.79998779296875</v>
      </c>
      <c r="I74" s="722">
        <v>0</v>
      </c>
      <c r="J74" s="721">
        <f t="shared" si="14"/>
        <v>244.56473098696819</v>
      </c>
      <c r="K74" s="721">
        <f t="shared" si="15"/>
        <v>0</v>
      </c>
      <c r="L74" s="720">
        <f t="shared" si="16"/>
        <v>-1801230.8127030318</v>
      </c>
      <c r="M74" s="720">
        <f t="shared" si="17"/>
        <v>0</v>
      </c>
      <c r="N74" s="614"/>
      <c r="O74" s="614"/>
    </row>
    <row r="75" spans="1:15">
      <c r="A75" s="724">
        <v>43770</v>
      </c>
      <c r="B75" s="720">
        <v>16667058</v>
      </c>
      <c r="C75" s="720">
        <v>16215719.003629431</v>
      </c>
      <c r="D75" s="720">
        <v>11865229.367094899</v>
      </c>
      <c r="E75" s="720">
        <v>16215719.003629431</v>
      </c>
      <c r="F75" s="723">
        <f t="shared" si="12"/>
        <v>0.26828842036303158</v>
      </c>
      <c r="G75" s="723">
        <f t="shared" si="13"/>
        <v>0</v>
      </c>
      <c r="H75" s="722">
        <v>590.5999755859375</v>
      </c>
      <c r="I75" s="722">
        <v>0</v>
      </c>
      <c r="J75" s="721">
        <f t="shared" si="14"/>
        <v>432.14884106954133</v>
      </c>
      <c r="K75" s="721">
        <f t="shared" si="15"/>
        <v>0</v>
      </c>
      <c r="L75" s="720">
        <f t="shared" si="16"/>
        <v>-3182712.8360876911</v>
      </c>
      <c r="M75" s="720">
        <f t="shared" si="17"/>
        <v>0</v>
      </c>
      <c r="N75" s="614"/>
      <c r="O75" s="614"/>
    </row>
    <row r="76" spans="1:15">
      <c r="A76" s="724">
        <v>43800</v>
      </c>
      <c r="B76" s="720">
        <v>18577098</v>
      </c>
      <c r="C76" s="720">
        <v>18666875.563611284</v>
      </c>
      <c r="D76" s="720">
        <v>13383822.144359799</v>
      </c>
      <c r="E76" s="720">
        <v>18666875.563611284</v>
      </c>
      <c r="F76" s="723">
        <f t="shared" si="12"/>
        <v>0.28301755166516085</v>
      </c>
      <c r="G76" s="723">
        <f t="shared" si="13"/>
        <v>0</v>
      </c>
      <c r="H76" s="722">
        <v>717.20001220703125</v>
      </c>
      <c r="I76" s="722">
        <v>0</v>
      </c>
      <c r="J76" s="721">
        <f t="shared" si="14"/>
        <v>514.21982069797377</v>
      </c>
      <c r="K76" s="721">
        <f t="shared" si="15"/>
        <v>0</v>
      </c>
      <c r="L76" s="720">
        <f t="shared" si="16"/>
        <v>-3787139.1276096213</v>
      </c>
      <c r="M76" s="720">
        <f t="shared" si="17"/>
        <v>0</v>
      </c>
      <c r="N76" s="719">
        <f>SUM(L65:L76)</f>
        <v>-25595768.020263135</v>
      </c>
      <c r="O76" s="719">
        <f>SUM(M65:M76)</f>
        <v>-3749416.4824880445</v>
      </c>
    </row>
    <row r="77" spans="1:15">
      <c r="A77" s="724">
        <v>43831</v>
      </c>
      <c r="B77" s="720">
        <v>18899306</v>
      </c>
      <c r="C77" s="720">
        <v>18949738.160341833</v>
      </c>
      <c r="D77" s="720">
        <v>13383822.144359799</v>
      </c>
      <c r="E77" s="720">
        <v>18949738.160341833</v>
      </c>
      <c r="F77" s="723">
        <f t="shared" si="12"/>
        <v>0.29371994319322198</v>
      </c>
      <c r="G77" s="723">
        <f t="shared" si="13"/>
        <v>0</v>
      </c>
      <c r="H77" s="722">
        <v>755.5999755859375</v>
      </c>
      <c r="I77" s="722">
        <v>0</v>
      </c>
      <c r="J77" s="721">
        <f t="shared" si="14"/>
        <v>533.66519368003594</v>
      </c>
      <c r="K77" s="721">
        <f t="shared" si="15"/>
        <v>0</v>
      </c>
      <c r="L77" s="720">
        <f t="shared" si="16"/>
        <v>-3930339.6230141683</v>
      </c>
      <c r="M77" s="720">
        <f t="shared" si="17"/>
        <v>0</v>
      </c>
      <c r="N77" s="614"/>
      <c r="O77" s="614"/>
    </row>
    <row r="78" spans="1:15">
      <c r="A78" s="724">
        <v>43862</v>
      </c>
      <c r="B78" s="720">
        <v>17549676</v>
      </c>
      <c r="C78" s="720">
        <v>17626842.495857917</v>
      </c>
      <c r="D78" s="720">
        <v>12279702.868497699</v>
      </c>
      <c r="E78" s="720">
        <v>17626842.495857917</v>
      </c>
      <c r="F78" s="723">
        <f t="shared" si="12"/>
        <v>0.30335209658886592</v>
      </c>
      <c r="G78" s="723">
        <f t="shared" si="13"/>
        <v>0</v>
      </c>
      <c r="H78" s="722">
        <v>725.9000244140625</v>
      </c>
      <c r="I78" s="722">
        <v>0</v>
      </c>
      <c r="J78" s="721">
        <f t="shared" si="14"/>
        <v>505.69673009414771</v>
      </c>
      <c r="K78" s="721">
        <f t="shared" si="15"/>
        <v>0</v>
      </c>
      <c r="L78" s="720">
        <f t="shared" si="16"/>
        <v>-3724347.467129699</v>
      </c>
      <c r="M78" s="720">
        <f t="shared" si="17"/>
        <v>0</v>
      </c>
      <c r="N78" s="614"/>
      <c r="O78" s="614"/>
    </row>
    <row r="79" spans="1:15">
      <c r="A79" s="724">
        <v>43891</v>
      </c>
      <c r="B79" s="720">
        <v>16419428</v>
      </c>
      <c r="C79" s="720">
        <v>16370875.260093832</v>
      </c>
      <c r="D79" s="720">
        <v>12233269.125715598</v>
      </c>
      <c r="E79" s="720">
        <v>16370875.260093832</v>
      </c>
      <c r="F79" s="723">
        <f t="shared" si="12"/>
        <v>0.25274190100661231</v>
      </c>
      <c r="G79" s="723">
        <f t="shared" si="13"/>
        <v>0</v>
      </c>
      <c r="H79" s="722">
        <v>561.70001220703125</v>
      </c>
      <c r="I79" s="722">
        <v>0</v>
      </c>
      <c r="J79" s="721">
        <f t="shared" si="14"/>
        <v>419.73488332638885</v>
      </c>
      <c r="K79" s="721">
        <f t="shared" si="15"/>
        <v>0</v>
      </c>
      <c r="L79" s="720">
        <f t="shared" si="16"/>
        <v>-3091297.7922443054</v>
      </c>
      <c r="M79" s="720">
        <f t="shared" si="17"/>
        <v>0</v>
      </c>
      <c r="N79" s="614"/>
      <c r="O79" s="614"/>
    </row>
    <row r="80" spans="1:15">
      <c r="A80" s="724">
        <v>43922</v>
      </c>
      <c r="B80" s="720">
        <v>13894510</v>
      </c>
      <c r="C80" s="720">
        <v>14746158.242369389</v>
      </c>
      <c r="D80" s="720">
        <v>11865229.367094899</v>
      </c>
      <c r="E80" s="720">
        <v>14746158.242369389</v>
      </c>
      <c r="F80" s="723">
        <f t="shared" si="12"/>
        <v>0.19536809709507005</v>
      </c>
      <c r="G80" s="723">
        <f t="shared" si="13"/>
        <v>0</v>
      </c>
      <c r="H80" s="722">
        <v>391.10000610351562</v>
      </c>
      <c r="I80" s="722">
        <v>0</v>
      </c>
      <c r="J80" s="721">
        <f t="shared" si="14"/>
        <v>314.69154213720151</v>
      </c>
      <c r="K80" s="721">
        <f t="shared" si="15"/>
        <v>0</v>
      </c>
      <c r="L80" s="720">
        <f t="shared" si="16"/>
        <v>-2317696.0315157929</v>
      </c>
      <c r="M80" s="720">
        <f t="shared" si="17"/>
        <v>0</v>
      </c>
      <c r="N80" s="614"/>
      <c r="O80" s="614"/>
    </row>
    <row r="81" spans="1:15">
      <c r="A81" s="724">
        <v>43952</v>
      </c>
      <c r="B81" s="720">
        <v>13635457</v>
      </c>
      <c r="C81" s="720">
        <v>14131781.741838625</v>
      </c>
      <c r="D81" s="720">
        <v>12707891.300284753</v>
      </c>
      <c r="E81" s="720">
        <v>13657159.567269469</v>
      </c>
      <c r="F81" s="723">
        <f t="shared" si="12"/>
        <v>0.10075802666399063</v>
      </c>
      <c r="G81" s="723">
        <f t="shared" si="13"/>
        <v>3.3585444725910761E-2</v>
      </c>
      <c r="H81" s="722">
        <v>193.30000305175781</v>
      </c>
      <c r="I81" s="722">
        <v>25.700000762939453</v>
      </c>
      <c r="J81" s="721">
        <f t="shared" si="14"/>
        <v>173.82347619011935</v>
      </c>
      <c r="K81" s="721">
        <f t="shared" si="15"/>
        <v>24.836854807859886</v>
      </c>
      <c r="L81" s="720">
        <f t="shared" si="16"/>
        <v>-1280228.6667781293</v>
      </c>
      <c r="M81" s="720">
        <f t="shared" si="17"/>
        <v>-458656.06917757419</v>
      </c>
      <c r="N81" s="614"/>
      <c r="O81" s="614"/>
    </row>
    <row r="82" spans="1:15">
      <c r="A82" s="724">
        <v>43983</v>
      </c>
      <c r="B82" s="720">
        <v>14359977</v>
      </c>
      <c r="C82" s="720">
        <v>14645184.774584938</v>
      </c>
      <c r="D82" s="720">
        <v>14315914.713441908</v>
      </c>
      <c r="E82" s="720">
        <v>13345052.446882129</v>
      </c>
      <c r="F82" s="723">
        <f t="shared" si="12"/>
        <v>2.2483161954667888E-2</v>
      </c>
      <c r="G82" s="723">
        <f t="shared" si="13"/>
        <v>8.8775413059932279E-2</v>
      </c>
      <c r="H82" s="722">
        <v>44.700000762939453</v>
      </c>
      <c r="I82" s="722">
        <v>70.400001525878906</v>
      </c>
      <c r="J82" s="721">
        <f t="shared" si="14"/>
        <v>43.695003406412503</v>
      </c>
      <c r="K82" s="721">
        <f t="shared" si="15"/>
        <v>64.150212310999137</v>
      </c>
      <c r="L82" s="720">
        <f t="shared" si="16"/>
        <v>-321822.30799162097</v>
      </c>
      <c r="M82" s="720">
        <f t="shared" si="17"/>
        <v>-1184642.1211129962</v>
      </c>
      <c r="N82" s="614"/>
      <c r="O82" s="614"/>
    </row>
    <row r="83" spans="1:15">
      <c r="A83" s="724">
        <v>44013</v>
      </c>
      <c r="B83" s="720">
        <v>17990168</v>
      </c>
      <c r="C83" s="720">
        <v>16815137.275312919</v>
      </c>
      <c r="D83" s="720">
        <v>16815137.275312919</v>
      </c>
      <c r="E83" s="720">
        <v>13383822.144359799</v>
      </c>
      <c r="F83" s="723">
        <f t="shared" si="12"/>
        <v>0</v>
      </c>
      <c r="G83" s="723">
        <f t="shared" si="13"/>
        <v>0.20406108346143523</v>
      </c>
      <c r="H83" s="722">
        <v>0</v>
      </c>
      <c r="I83" s="722">
        <v>185.80000305175781</v>
      </c>
      <c r="J83" s="721">
        <f t="shared" si="14"/>
        <v>0</v>
      </c>
      <c r="K83" s="721">
        <f t="shared" si="15"/>
        <v>147.88545312187813</v>
      </c>
      <c r="L83" s="720">
        <f t="shared" si="16"/>
        <v>0</v>
      </c>
      <c r="M83" s="720">
        <f t="shared" si="17"/>
        <v>-2730931.3965357319</v>
      </c>
      <c r="N83" s="614"/>
      <c r="O83" s="614"/>
    </row>
    <row r="84" spans="1:15">
      <c r="A84" s="724">
        <v>44044</v>
      </c>
      <c r="B84" s="720">
        <v>15013728</v>
      </c>
      <c r="C84" s="720">
        <v>14871793.094340857</v>
      </c>
      <c r="D84" s="720">
        <v>14683954.472062608</v>
      </c>
      <c r="E84" s="720">
        <v>13571660.76663805</v>
      </c>
      <c r="F84" s="723">
        <f t="shared" si="12"/>
        <v>1.2630529559325759E-2</v>
      </c>
      <c r="G84" s="723">
        <f t="shared" si="13"/>
        <v>8.7422701449332618E-2</v>
      </c>
      <c r="H84" s="722">
        <v>25.5</v>
      </c>
      <c r="I84" s="722">
        <v>70.400001525878906</v>
      </c>
      <c r="J84" s="721">
        <f t="shared" si="14"/>
        <v>25.177921496237193</v>
      </c>
      <c r="K84" s="721">
        <f t="shared" si="15"/>
        <v>64.245443210449437</v>
      </c>
      <c r="L84" s="720">
        <f t="shared" si="16"/>
        <v>-185440.60888401236</v>
      </c>
      <c r="M84" s="720">
        <f t="shared" si="17"/>
        <v>-1186400.8251750937</v>
      </c>
      <c r="N84" s="614"/>
      <c r="O84" s="614"/>
    </row>
    <row r="85" spans="1:15">
      <c r="A85" s="724">
        <v>44075</v>
      </c>
      <c r="B85" s="720">
        <v>12869208</v>
      </c>
      <c r="C85" s="720">
        <v>12981681.904317899</v>
      </c>
      <c r="D85" s="720">
        <v>12031439.462204399</v>
      </c>
      <c r="E85" s="720">
        <v>12815471.809208399</v>
      </c>
      <c r="F85" s="723">
        <f t="shared" si="12"/>
        <v>7.3198715630016745E-2</v>
      </c>
      <c r="G85" s="723">
        <f t="shared" si="13"/>
        <v>1.2803433047779122E-2</v>
      </c>
      <c r="H85" s="722">
        <v>129</v>
      </c>
      <c r="I85" s="722">
        <v>9</v>
      </c>
      <c r="J85" s="721">
        <f t="shared" si="14"/>
        <v>119.55736568372784</v>
      </c>
      <c r="K85" s="721">
        <f t="shared" si="15"/>
        <v>8.8847691025699884</v>
      </c>
      <c r="L85" s="720">
        <f t="shared" si="16"/>
        <v>-880556.85824678966</v>
      </c>
      <c r="M85" s="720">
        <f t="shared" si="17"/>
        <v>-164073.03221521279</v>
      </c>
      <c r="N85" s="614"/>
      <c r="O85" s="614"/>
    </row>
    <row r="86" spans="1:15">
      <c r="A86" s="724">
        <v>44105</v>
      </c>
      <c r="B86" s="720">
        <v>13977501</v>
      </c>
      <c r="C86" s="720">
        <v>14644969.666398857</v>
      </c>
      <c r="D86" s="720">
        <v>12233269.125715598</v>
      </c>
      <c r="E86" s="720">
        <v>14644969.666398857</v>
      </c>
      <c r="F86" s="723">
        <f t="shared" si="12"/>
        <v>0.16467774229786347</v>
      </c>
      <c r="G86" s="723">
        <f t="shared" si="13"/>
        <v>0</v>
      </c>
      <c r="H86" s="722">
        <v>327.39999389648437</v>
      </c>
      <c r="I86" s="722">
        <v>0</v>
      </c>
      <c r="J86" s="721">
        <f t="shared" si="14"/>
        <v>273.48450207327704</v>
      </c>
      <c r="K86" s="721">
        <f t="shared" si="15"/>
        <v>0</v>
      </c>
      <c r="L86" s="720">
        <f t="shared" si="16"/>
        <v>-2014219.6088683184</v>
      </c>
      <c r="M86" s="720">
        <f t="shared" si="17"/>
        <v>0</v>
      </c>
      <c r="N86" s="614"/>
      <c r="O86" s="614"/>
    </row>
    <row r="87" spans="1:15">
      <c r="A87" s="724">
        <v>44136</v>
      </c>
      <c r="B87" s="720">
        <v>15001741</v>
      </c>
      <c r="C87" s="720">
        <v>15031967.507131906</v>
      </c>
      <c r="D87" s="720">
        <v>11865229.367094899</v>
      </c>
      <c r="E87" s="720">
        <v>15031967.507131906</v>
      </c>
      <c r="F87" s="723">
        <f t="shared" si="12"/>
        <v>0.21066690960677975</v>
      </c>
      <c r="G87" s="723">
        <f t="shared" si="13"/>
        <v>0</v>
      </c>
      <c r="H87" s="722">
        <v>429.89999389648437</v>
      </c>
      <c r="I87" s="722">
        <v>0</v>
      </c>
      <c r="J87" s="721">
        <f t="shared" si="14"/>
        <v>339.33429074233857</v>
      </c>
      <c r="K87" s="721">
        <f t="shared" si="15"/>
        <v>0</v>
      </c>
      <c r="L87" s="720">
        <f t="shared" si="16"/>
        <v>-2499181.139158133</v>
      </c>
      <c r="M87" s="720">
        <f t="shared" si="17"/>
        <v>0</v>
      </c>
      <c r="N87" s="614"/>
      <c r="O87" s="614"/>
    </row>
    <row r="88" spans="1:15">
      <c r="A88" s="724">
        <v>44166</v>
      </c>
      <c r="B88" s="720">
        <v>17976518</v>
      </c>
      <c r="C88" s="720">
        <v>18149766.795890298</v>
      </c>
      <c r="D88" s="720">
        <v>13383822.144359799</v>
      </c>
      <c r="E88" s="720">
        <v>18149766.795890298</v>
      </c>
      <c r="F88" s="723">
        <f t="shared" si="12"/>
        <v>0.2625898561192348</v>
      </c>
      <c r="G88" s="723">
        <f t="shared" si="13"/>
        <v>0</v>
      </c>
      <c r="H88" s="722">
        <v>647</v>
      </c>
      <c r="I88" s="722">
        <v>0</v>
      </c>
      <c r="J88" s="721">
        <f t="shared" si="14"/>
        <v>477.10436309085509</v>
      </c>
      <c r="K88" s="721">
        <f t="shared" si="15"/>
        <v>0</v>
      </c>
      <c r="L88" s="720">
        <f t="shared" si="16"/>
        <v>-3513808.7014871188</v>
      </c>
      <c r="M88" s="720">
        <f t="shared" si="17"/>
        <v>0</v>
      </c>
      <c r="N88" s="719">
        <f>SUM(L77:L88)</f>
        <v>-23758938.805318091</v>
      </c>
      <c r="O88" s="719">
        <f>SUM(M77:M88)</f>
        <v>-5724703.4442166081</v>
      </c>
    </row>
    <row r="89" spans="1:15">
      <c r="A89" s="724">
        <v>44197</v>
      </c>
      <c r="B89" s="720"/>
      <c r="C89" s="720">
        <v>20074162.588711936</v>
      </c>
      <c r="D89" s="720">
        <v>13941152.673227537</v>
      </c>
      <c r="E89" s="720">
        <v>19516832.059844196</v>
      </c>
      <c r="F89" s="723">
        <f t="shared" si="12"/>
        <v>0.30551759697976644</v>
      </c>
      <c r="G89" s="723">
        <f t="shared" si="13"/>
        <v>2.776357551179431E-2</v>
      </c>
      <c r="H89" s="722">
        <v>832.58571079799106</v>
      </c>
      <c r="I89" s="722">
        <v>30.178520483398437</v>
      </c>
      <c r="J89" s="721">
        <f t="shared" si="14"/>
        <v>578.21612515529807</v>
      </c>
      <c r="K89" s="721">
        <f t="shared" si="15"/>
        <v>29.340656851123374</v>
      </c>
      <c r="L89" s="720">
        <f t="shared" si="16"/>
        <v>-4258434.5997306611</v>
      </c>
      <c r="M89" s="720">
        <f t="shared" si="17"/>
        <v>-541826.85198681056</v>
      </c>
      <c r="N89" s="614"/>
      <c r="O89" s="614"/>
    </row>
    <row r="90" spans="1:15">
      <c r="A90" s="724">
        <v>44228</v>
      </c>
      <c r="B90" s="720"/>
      <c r="C90" s="720">
        <v>18329145.304794274</v>
      </c>
      <c r="D90" s="720">
        <v>12837733.141865849</v>
      </c>
      <c r="E90" s="720">
        <v>17771115.031426124</v>
      </c>
      <c r="F90" s="723">
        <f t="shared" si="12"/>
        <v>0.29960001252715585</v>
      </c>
      <c r="G90" s="723">
        <f t="shared" si="13"/>
        <v>3.0444969696551451E-2</v>
      </c>
      <c r="H90" s="722">
        <v>745.4857177734375</v>
      </c>
      <c r="I90" s="722">
        <v>30.216410483398437</v>
      </c>
      <c r="J90" s="721">
        <f t="shared" si="14"/>
        <v>522.13818738969985</v>
      </c>
      <c r="K90" s="721">
        <f t="shared" si="15"/>
        <v>29.296472781892813</v>
      </c>
      <c r="L90" s="720">
        <f t="shared" si="16"/>
        <v>-3845439.2729959814</v>
      </c>
      <c r="M90" s="720">
        <f t="shared" si="17"/>
        <v>-541010.83207328338</v>
      </c>
      <c r="N90" s="614"/>
      <c r="O90" s="614"/>
    </row>
    <row r="91" spans="1:15">
      <c r="A91" s="724">
        <v>44256</v>
      </c>
      <c r="B91" s="720"/>
      <c r="C91" s="720">
        <v>17595301.05612798</v>
      </c>
      <c r="D91" s="720">
        <v>12791999.14358416</v>
      </c>
      <c r="E91" s="720">
        <v>17036571.038259421</v>
      </c>
      <c r="F91" s="723">
        <f t="shared" si="12"/>
        <v>0.27298776515511547</v>
      </c>
      <c r="G91" s="723">
        <f t="shared" si="13"/>
        <v>3.1754501732379786E-2</v>
      </c>
      <c r="H91" s="722">
        <v>652.07142857142856</v>
      </c>
      <c r="I91" s="722">
        <v>30.254300483398438</v>
      </c>
      <c r="J91" s="721">
        <f t="shared" si="14"/>
        <v>474.06390656421075</v>
      </c>
      <c r="K91" s="721">
        <f t="shared" si="15"/>
        <v>29.293590246286424</v>
      </c>
      <c r="L91" s="720">
        <f t="shared" si="16"/>
        <v>-3491406.9583828491</v>
      </c>
      <c r="M91" s="720">
        <f t="shared" si="17"/>
        <v>-540957.56012680207</v>
      </c>
      <c r="N91" s="614"/>
      <c r="O91" s="614"/>
    </row>
    <row r="92" spans="1:15">
      <c r="A92" s="724">
        <v>44287</v>
      </c>
      <c r="B92" s="720"/>
      <c r="C92" s="720">
        <v>15207091.075191583</v>
      </c>
      <c r="D92" s="720">
        <v>12424659.12946387</v>
      </c>
      <c r="E92" s="720">
        <v>14647661.312822612</v>
      </c>
      <c r="F92" s="723">
        <f t="shared" si="12"/>
        <v>0.18296937474563388</v>
      </c>
      <c r="G92" s="723">
        <f t="shared" si="13"/>
        <v>3.6787427628523203E-2</v>
      </c>
      <c r="H92" s="722">
        <v>377.72857230050221</v>
      </c>
      <c r="I92" s="722">
        <v>30.292190483398436</v>
      </c>
      <c r="J92" s="721">
        <f t="shared" si="14"/>
        <v>308.61581160311835</v>
      </c>
      <c r="K92" s="721">
        <f t="shared" si="15"/>
        <v>29.177818718280978</v>
      </c>
      <c r="L92" s="720">
        <f t="shared" si="16"/>
        <v>-2272954.2351748217</v>
      </c>
      <c r="M92" s="720">
        <f t="shared" si="17"/>
        <v>-538819.47820116137</v>
      </c>
      <c r="N92" s="614"/>
      <c r="O92" s="614"/>
    </row>
    <row r="93" spans="1:15">
      <c r="A93" s="724">
        <v>44317</v>
      </c>
      <c r="B93" s="720"/>
      <c r="C93" s="720">
        <v>13879916.15360623</v>
      </c>
      <c r="D93" s="720">
        <v>12793398.632584982</v>
      </c>
      <c r="E93" s="720">
        <v>13319786.646736849</v>
      </c>
      <c r="F93" s="723">
        <f t="shared" si="12"/>
        <v>7.8279833177447092E-2</v>
      </c>
      <c r="G93" s="723">
        <f t="shared" si="13"/>
        <v>4.035539557087673E-2</v>
      </c>
      <c r="H93" s="722">
        <v>147.5</v>
      </c>
      <c r="I93" s="722">
        <v>30.330080483398437</v>
      </c>
      <c r="J93" s="721">
        <f t="shared" si="14"/>
        <v>135.95372460632655</v>
      </c>
      <c r="K93" s="721">
        <f t="shared" si="15"/>
        <v>29.106098087794365</v>
      </c>
      <c r="L93" s="720">
        <f t="shared" si="16"/>
        <v>-1001317.5452696148</v>
      </c>
      <c r="M93" s="720">
        <f t="shared" si="17"/>
        <v>-537494.91891210841</v>
      </c>
      <c r="N93" s="614"/>
      <c r="O93" s="614"/>
    </row>
    <row r="94" spans="1:15">
      <c r="A94" s="724">
        <v>44348</v>
      </c>
      <c r="B94" s="720"/>
      <c r="C94" s="720">
        <v>13871365.686484348</v>
      </c>
      <c r="D94" s="720">
        <v>13576611.637108892</v>
      </c>
      <c r="E94" s="720">
        <v>13310536.435114555</v>
      </c>
      <c r="F94" s="723">
        <f t="shared" si="12"/>
        <v>2.1249100920369454E-2</v>
      </c>
      <c r="G94" s="723">
        <f t="shared" si="13"/>
        <v>4.0430716343686363E-2</v>
      </c>
      <c r="H94" s="722">
        <v>40.01428549630301</v>
      </c>
      <c r="I94" s="722">
        <v>30.367970483398437</v>
      </c>
      <c r="J94" s="721">
        <f t="shared" si="14"/>
        <v>39.164017905535594</v>
      </c>
      <c r="K94" s="721">
        <f t="shared" si="15"/>
        <v>29.140171682850717</v>
      </c>
      <c r="L94" s="720">
        <f t="shared" si="16"/>
        <v>-288450.75769061811</v>
      </c>
      <c r="M94" s="720">
        <f t="shared" si="17"/>
        <v>-538124.14495200687</v>
      </c>
      <c r="N94" s="614"/>
      <c r="O94" s="614"/>
    </row>
    <row r="95" spans="1:15">
      <c r="A95" s="724">
        <v>44378</v>
      </c>
      <c r="B95" s="720"/>
      <c r="C95" s="720">
        <v>13972921.850974333</v>
      </c>
      <c r="D95" s="720">
        <v>13945351.140230004</v>
      </c>
      <c r="E95" s="720">
        <v>13411392.855104128</v>
      </c>
      <c r="F95" s="723">
        <f t="shared" si="12"/>
        <v>1.973152862255956E-3</v>
      </c>
      <c r="G95" s="723">
        <f t="shared" si="13"/>
        <v>4.0186941704755126E-2</v>
      </c>
      <c r="H95" s="722">
        <v>3.7428571156093051</v>
      </c>
      <c r="I95" s="722">
        <v>30.405860483398438</v>
      </c>
      <c r="J95" s="721">
        <f t="shared" si="14"/>
        <v>3.7354718863786256</v>
      </c>
      <c r="K95" s="721">
        <f t="shared" si="15"/>
        <v>29.18394194066919</v>
      </c>
      <c r="L95" s="720">
        <f t="shared" si="16"/>
        <v>-27512.564861764353</v>
      </c>
      <c r="M95" s="720">
        <f t="shared" si="17"/>
        <v>-538932.44690410374</v>
      </c>
      <c r="N95" s="614"/>
      <c r="O95" s="614"/>
    </row>
    <row r="96" spans="1:15">
      <c r="A96" s="724">
        <v>44409</v>
      </c>
      <c r="B96" s="720"/>
      <c r="C96" s="720">
        <v>14045915.787212111</v>
      </c>
      <c r="D96" s="720">
        <v>13946050.884730415</v>
      </c>
      <c r="E96" s="720">
        <v>13483687.046841495</v>
      </c>
      <c r="F96" s="723">
        <f t="shared" si="12"/>
        <v>7.1098890235847855E-3</v>
      </c>
      <c r="G96" s="723">
        <f t="shared" si="13"/>
        <v>4.0027916220492288E-2</v>
      </c>
      <c r="H96" s="722">
        <v>13.557142734527588</v>
      </c>
      <c r="I96" s="722">
        <v>30.443750483398439</v>
      </c>
      <c r="J96" s="721">
        <f t="shared" si="14"/>
        <v>13.460752954208198</v>
      </c>
      <c r="K96" s="721">
        <f t="shared" si="15"/>
        <v>29.225150589611395</v>
      </c>
      <c r="L96" s="720">
        <f t="shared" si="16"/>
        <v>-99141.310483612993</v>
      </c>
      <c r="M96" s="720">
        <f t="shared" si="17"/>
        <v>-539693.44160653476</v>
      </c>
      <c r="N96" s="614"/>
      <c r="O96" s="614"/>
    </row>
    <row r="97" spans="1:15">
      <c r="A97" s="724">
        <v>44440</v>
      </c>
      <c r="B97" s="720"/>
      <c r="C97" s="720">
        <v>13063967.920071937</v>
      </c>
      <c r="D97" s="720">
        <v>12428157.851965925</v>
      </c>
      <c r="E97" s="720">
        <v>12501039.435200911</v>
      </c>
      <c r="F97" s="723">
        <f t="shared" si="12"/>
        <v>4.8668985716746258E-2</v>
      </c>
      <c r="G97" s="723">
        <f t="shared" si="13"/>
        <v>4.3090161298247151E-2</v>
      </c>
      <c r="H97" s="722">
        <v>86.314286913190571</v>
      </c>
      <c r="I97" s="722">
        <v>30.481640483398436</v>
      </c>
      <c r="J97" s="721">
        <f t="shared" si="14"/>
        <v>82.113458116261356</v>
      </c>
      <c r="K97" s="721">
        <f t="shared" si="15"/>
        <v>29.168181678333617</v>
      </c>
      <c r="L97" s="720">
        <f t="shared" si="16"/>
        <v>-604779.4831582536</v>
      </c>
      <c r="M97" s="720">
        <f t="shared" si="17"/>
        <v>-538641.31394046603</v>
      </c>
      <c r="N97" s="614"/>
      <c r="O97" s="614"/>
    </row>
    <row r="98" spans="1:15">
      <c r="A98" s="724">
        <v>44470</v>
      </c>
      <c r="B98" s="720"/>
      <c r="C98" s="720">
        <v>14851441.456618629</v>
      </c>
      <c r="D98" s="720">
        <v>12796897.355087036</v>
      </c>
      <c r="E98" s="720">
        <v>14287813.227247192</v>
      </c>
      <c r="F98" s="723">
        <f t="shared" si="12"/>
        <v>0.13833970982095975</v>
      </c>
      <c r="G98" s="723">
        <f t="shared" si="13"/>
        <v>3.7951079093420499E-2</v>
      </c>
      <c r="H98" s="722">
        <v>278.91428266252791</v>
      </c>
      <c r="I98" s="722">
        <v>30.519530483398437</v>
      </c>
      <c r="J98" s="721">
        <f t="shared" si="14"/>
        <v>240.32936173407265</v>
      </c>
      <c r="K98" s="721">
        <f t="shared" si="15"/>
        <v>29.361281368128925</v>
      </c>
      <c r="L98" s="720">
        <f t="shared" si="16"/>
        <v>-1770040.0367100982</v>
      </c>
      <c r="M98" s="720">
        <f t="shared" si="17"/>
        <v>-542207.40018447151</v>
      </c>
      <c r="N98" s="614"/>
      <c r="O98" s="614"/>
    </row>
    <row r="99" spans="1:15">
      <c r="A99" s="724">
        <v>44501</v>
      </c>
      <c r="B99" s="720"/>
      <c r="C99" s="720">
        <v>16053316.865288751</v>
      </c>
      <c r="D99" s="720">
        <v>12429557.340966748</v>
      </c>
      <c r="E99" s="720">
        <v>15488988.891416904</v>
      </c>
      <c r="F99" s="723">
        <f t="shared" si="12"/>
        <v>0.22573276007262208</v>
      </c>
      <c r="G99" s="723">
        <f t="shared" si="13"/>
        <v>3.5153356693037346E-2</v>
      </c>
      <c r="H99" s="722">
        <v>491.94285365513394</v>
      </c>
      <c r="I99" s="722">
        <v>30.557420483398438</v>
      </c>
      <c r="J99" s="721">
        <f t="shared" si="14"/>
        <v>380.89523550155855</v>
      </c>
      <c r="K99" s="721">
        <f t="shared" si="15"/>
        <v>29.483224581526407</v>
      </c>
      <c r="L99" s="720">
        <f t="shared" si="16"/>
        <v>-2805266.1588026355</v>
      </c>
      <c r="M99" s="720">
        <f t="shared" si="17"/>
        <v>-544459.38370753499</v>
      </c>
      <c r="N99" s="614"/>
      <c r="O99" s="614"/>
    </row>
    <row r="100" spans="1:15">
      <c r="A100" s="724">
        <v>44531</v>
      </c>
      <c r="B100" s="720"/>
      <c r="C100" s="720">
        <v>19027964.122870307</v>
      </c>
      <c r="D100" s="720">
        <v>13948849.862732058</v>
      </c>
      <c r="E100" s="720">
        <v>18462936.404498048</v>
      </c>
      <c r="F100" s="723">
        <f t="shared" si="12"/>
        <v>0.26692893823745978</v>
      </c>
      <c r="G100" s="723">
        <f t="shared" si="13"/>
        <v>2.9694596580258144E-2</v>
      </c>
      <c r="H100" s="722">
        <v>689.51428658621649</v>
      </c>
      <c r="I100" s="722">
        <v>30.595310483398436</v>
      </c>
      <c r="J100" s="721">
        <f t="shared" si="14"/>
        <v>505.46297016819818</v>
      </c>
      <c r="K100" s="721">
        <f t="shared" si="15"/>
        <v>29.686795081346176</v>
      </c>
      <c r="L100" s="720">
        <f t="shared" si="16"/>
        <v>-3722661.9258257989</v>
      </c>
      <c r="M100" s="720">
        <f t="shared" si="17"/>
        <v>-548218.84265126055</v>
      </c>
      <c r="N100" s="719">
        <f>SUM(L89:L100)</f>
        <v>-24187404.849086709</v>
      </c>
      <c r="O100" s="719">
        <f>SUM(M89:M100)</f>
        <v>-6490386.6152465455</v>
      </c>
    </row>
    <row r="101" spans="1:15">
      <c r="A101" s="724">
        <v>44562</v>
      </c>
      <c r="B101" s="720"/>
      <c r="C101" s="720">
        <v>19586498.375952665</v>
      </c>
      <c r="D101" s="720">
        <v>13453488.460468266</v>
      </c>
      <c r="E101" s="720">
        <v>19516832.059844196</v>
      </c>
      <c r="F101" s="723">
        <f t="shared" ref="F101:F112" si="18">(C101-D101)/C101</f>
        <v>0.31312436749869521</v>
      </c>
      <c r="G101" s="723">
        <f t="shared" ref="G101:G112" si="19">(C101-E101)/C101</f>
        <v>3.5568540517687316E-3</v>
      </c>
      <c r="H101" s="722">
        <v>832.58571079799106</v>
      </c>
      <c r="I101" s="722">
        <v>3.7723150604248046</v>
      </c>
      <c r="J101" s="721">
        <f t="shared" ref="J101:J112" si="20">H101*(1-F101)</f>
        <v>571.88283671591853</v>
      </c>
      <c r="K101" s="721">
        <f t="shared" ref="K101:K112" si="21">I101*(1-G101)</f>
        <v>3.7588974863175841</v>
      </c>
      <c r="L101" s="720">
        <f t="shared" ref="L101:L112" si="22">H101-J101*7366.22</f>
        <v>-4211782.2037627352</v>
      </c>
      <c r="M101" s="720">
        <f t="shared" ref="M101:M112" si="23">I101-K101*18467.788</f>
        <v>-69414.749575985625</v>
      </c>
      <c r="N101" s="614"/>
      <c r="O101" s="614"/>
    </row>
    <row r="102" spans="1:15">
      <c r="A102" s="724">
        <v>44593</v>
      </c>
      <c r="B102" s="720"/>
      <c r="C102" s="720">
        <v>17840868.815597143</v>
      </c>
      <c r="D102" s="720">
        <v>12349456.652668718</v>
      </c>
      <c r="E102" s="720">
        <v>17771115.031426124</v>
      </c>
      <c r="F102" s="723">
        <f t="shared" si="18"/>
        <v>0.30779959315252803</v>
      </c>
      <c r="G102" s="723">
        <f t="shared" si="19"/>
        <v>3.9097750727272555E-3</v>
      </c>
      <c r="H102" s="722">
        <v>745.4857177734375</v>
      </c>
      <c r="I102" s="722">
        <v>3.7770513104248047</v>
      </c>
      <c r="J102" s="721">
        <f t="shared" si="20"/>
        <v>516.02551714175308</v>
      </c>
      <c r="K102" s="721">
        <f t="shared" si="21"/>
        <v>3.762283889362894</v>
      </c>
      <c r="L102" s="720">
        <f t="shared" si="22"/>
        <v>-3800411.999162151</v>
      </c>
      <c r="M102" s="720">
        <f t="shared" si="23"/>
        <v>-69477.284213258972</v>
      </c>
      <c r="N102" s="614"/>
      <c r="O102" s="614"/>
    </row>
    <row r="103" spans="1:15">
      <c r="A103" s="724">
        <v>44621</v>
      </c>
      <c r="B103" s="720"/>
      <c r="C103" s="720">
        <v>17106412.290492993</v>
      </c>
      <c r="D103" s="720">
        <v>12303110.377949169</v>
      </c>
      <c r="E103" s="720">
        <v>17036571.038259421</v>
      </c>
      <c r="F103" s="723">
        <f t="shared" si="18"/>
        <v>0.28078955604345468</v>
      </c>
      <c r="G103" s="723">
        <f t="shared" si="19"/>
        <v>4.0827527740803409E-3</v>
      </c>
      <c r="H103" s="722">
        <v>652.07142857142856</v>
      </c>
      <c r="I103" s="722">
        <v>3.7817875604248048</v>
      </c>
      <c r="J103" s="721">
        <f t="shared" si="20"/>
        <v>468.97658163423586</v>
      </c>
      <c r="K103" s="721">
        <f t="shared" si="21"/>
        <v>3.7663474567714981</v>
      </c>
      <c r="L103" s="720">
        <f t="shared" si="22"/>
        <v>-3453932.6037371694</v>
      </c>
      <c r="M103" s="720">
        <f t="shared" si="23"/>
        <v>-69552.324578434767</v>
      </c>
      <c r="N103" s="614"/>
      <c r="O103" s="614"/>
    </row>
    <row r="104" spans="1:15">
      <c r="A104" s="724">
        <v>44652</v>
      </c>
      <c r="B104" s="720"/>
      <c r="C104" s="720">
        <v>14729594.095653385</v>
      </c>
      <c r="D104" s="720">
        <v>11947162.149925672</v>
      </c>
      <c r="E104" s="720">
        <v>14647661.312822612</v>
      </c>
      <c r="F104" s="723">
        <f t="shared" si="18"/>
        <v>0.18890078895987991</v>
      </c>
      <c r="G104" s="723">
        <f t="shared" si="19"/>
        <v>5.5624603297758759E-3</v>
      </c>
      <c r="H104" s="722">
        <v>377.72857230050221</v>
      </c>
      <c r="I104" s="722">
        <v>4.4365238163852689</v>
      </c>
      <c r="J104" s="721">
        <f t="shared" si="20"/>
        <v>306.37534698024831</v>
      </c>
      <c r="K104" s="721">
        <f t="shared" si="21"/>
        <v>4.4118458286545197</v>
      </c>
      <c r="L104" s="720">
        <f t="shared" si="22"/>
        <v>-2256450.4798605442</v>
      </c>
      <c r="M104" s="720">
        <f t="shared" si="23"/>
        <v>-81472.596928459607</v>
      </c>
      <c r="N104" s="614"/>
      <c r="O104" s="614"/>
    </row>
    <row r="105" spans="1:15">
      <c r="A105" s="724">
        <v>44682</v>
      </c>
      <c r="B105" s="720"/>
      <c r="C105" s="720">
        <v>13774856.224741034</v>
      </c>
      <c r="D105" s="720">
        <v>12688338.703719785</v>
      </c>
      <c r="E105" s="720">
        <v>13319786.646736849</v>
      </c>
      <c r="F105" s="723">
        <f t="shared" si="18"/>
        <v>7.8876868353061541E-2</v>
      </c>
      <c r="G105" s="723">
        <f t="shared" si="19"/>
        <v>3.3036248842062986E-2</v>
      </c>
      <c r="H105" s="722">
        <v>147.5</v>
      </c>
      <c r="I105" s="722">
        <v>24.641260203475952</v>
      </c>
      <c r="J105" s="721">
        <f t="shared" si="20"/>
        <v>135.86566191792343</v>
      </c>
      <c r="K105" s="721">
        <f t="shared" si="21"/>
        <v>23.827205399611895</v>
      </c>
      <c r="L105" s="720">
        <f t="shared" si="22"/>
        <v>-1000668.856133046</v>
      </c>
      <c r="M105" s="720">
        <f t="shared" si="23"/>
        <v>-440011.13669228426</v>
      </c>
      <c r="N105" s="614"/>
      <c r="O105" s="614"/>
    </row>
    <row r="106" spans="1:15">
      <c r="A106" s="724">
        <v>44713</v>
      </c>
      <c r="B106" s="720"/>
      <c r="C106" s="720">
        <v>14294795.623444157</v>
      </c>
      <c r="D106" s="720">
        <v>14000041.574068701</v>
      </c>
      <c r="E106" s="720">
        <v>13310536.435114555</v>
      </c>
      <c r="F106" s="723">
        <f t="shared" si="18"/>
        <v>2.0619675659583753E-2</v>
      </c>
      <c r="G106" s="723">
        <f t="shared" si="19"/>
        <v>6.8854372896060778E-2</v>
      </c>
      <c r="H106" s="722">
        <v>40.01428549630301</v>
      </c>
      <c r="I106" s="722">
        <v>53.295996787261963</v>
      </c>
      <c r="J106" s="721">
        <f t="shared" si="20"/>
        <v>39.189203907619252</v>
      </c>
      <c r="K106" s="721">
        <f t="shared" si="21"/>
        <v>49.626334350604573</v>
      </c>
      <c r="L106" s="720">
        <f t="shared" si="22"/>
        <v>-288636.2833228868</v>
      </c>
      <c r="M106" s="720">
        <f t="shared" si="23"/>
        <v>-916435.32600729563</v>
      </c>
      <c r="N106" s="614"/>
      <c r="O106" s="614"/>
    </row>
    <row r="107" spans="1:15">
      <c r="A107" s="724">
        <v>44743</v>
      </c>
      <c r="B107" s="720"/>
      <c r="C107" s="720">
        <v>15568905.767905395</v>
      </c>
      <c r="D107" s="720">
        <v>15541335.057161067</v>
      </c>
      <c r="E107" s="720">
        <v>13411392.855104128</v>
      </c>
      <c r="F107" s="723">
        <f t="shared" si="18"/>
        <v>1.7708830122900856E-3</v>
      </c>
      <c r="G107" s="723">
        <f t="shared" si="19"/>
        <v>0.13857832688851418</v>
      </c>
      <c r="H107" s="722">
        <v>3.7428571156093051</v>
      </c>
      <c r="I107" s="722">
        <v>116.8257331326294</v>
      </c>
      <c r="J107" s="721">
        <f t="shared" si="20"/>
        <v>3.7362289535258433</v>
      </c>
      <c r="K107" s="721">
        <f t="shared" si="21"/>
        <v>100.63621849758556</v>
      </c>
      <c r="L107" s="720">
        <f t="shared" si="22"/>
        <v>-27518.141584925528</v>
      </c>
      <c r="M107" s="720">
        <f t="shared" si="23"/>
        <v>-1858411.522601956</v>
      </c>
      <c r="N107" s="614"/>
      <c r="O107" s="614"/>
    </row>
    <row r="108" spans="1:15">
      <c r="A108" s="724">
        <v>44774</v>
      </c>
      <c r="B108" s="720"/>
      <c r="C108" s="720">
        <v>15011997.525742596</v>
      </c>
      <c r="D108" s="720">
        <v>14912132.6232609</v>
      </c>
      <c r="E108" s="720">
        <v>13483687.046841495</v>
      </c>
      <c r="F108" s="723">
        <f t="shared" si="18"/>
        <v>6.6523393912400501E-3</v>
      </c>
      <c r="G108" s="723">
        <f t="shared" si="19"/>
        <v>0.10180593730317049</v>
      </c>
      <c r="H108" s="722">
        <v>13.557142734527588</v>
      </c>
      <c r="I108" s="722">
        <v>82.755468619689935</v>
      </c>
      <c r="J108" s="721">
        <f t="shared" si="20"/>
        <v>13.466956019882025</v>
      </c>
      <c r="K108" s="721">
        <f t="shared" si="21"/>
        <v>74.33047056989929</v>
      </c>
      <c r="L108" s="720">
        <f t="shared" si="22"/>
        <v>-99187.003630040839</v>
      </c>
      <c r="M108" s="720">
        <f t="shared" si="23"/>
        <v>-1372636.6169565197</v>
      </c>
      <c r="N108" s="614"/>
      <c r="O108" s="614"/>
    </row>
    <row r="109" spans="1:15">
      <c r="A109" s="724">
        <v>44805</v>
      </c>
      <c r="B109" s="720"/>
      <c r="C109" s="720">
        <v>13219855.71761361</v>
      </c>
      <c r="D109" s="720">
        <v>12584045.649507597</v>
      </c>
      <c r="E109" s="720">
        <v>12501039.435200911</v>
      </c>
      <c r="F109" s="723">
        <f t="shared" si="18"/>
        <v>4.8095083765466846E-2</v>
      </c>
      <c r="G109" s="723">
        <f t="shared" si="19"/>
        <v>5.4373988473639411E-2</v>
      </c>
      <c r="H109" s="722">
        <v>86.314286913190571</v>
      </c>
      <c r="I109" s="722">
        <v>38.92270525115967</v>
      </c>
      <c r="J109" s="721">
        <f t="shared" si="20"/>
        <v>82.162994053944132</v>
      </c>
      <c r="K109" s="721">
        <f t="shared" si="21"/>
        <v>36.806322524470254</v>
      </c>
      <c r="L109" s="720">
        <f t="shared" si="22"/>
        <v>-605144.37577313127</v>
      </c>
      <c r="M109" s="720">
        <f t="shared" si="23"/>
        <v>-679692.43873629032</v>
      </c>
      <c r="N109" s="614"/>
      <c r="O109" s="614"/>
    </row>
    <row r="110" spans="1:15">
      <c r="A110" s="724">
        <v>44835</v>
      </c>
      <c r="B110" s="720"/>
      <c r="C110" s="720">
        <v>14400280.97417072</v>
      </c>
      <c r="D110" s="720">
        <v>12345736.872639127</v>
      </c>
      <c r="E110" s="720">
        <v>14287813.227247192</v>
      </c>
      <c r="F110" s="723">
        <f t="shared" si="18"/>
        <v>0.142673889850952</v>
      </c>
      <c r="G110" s="723">
        <f t="shared" si="19"/>
        <v>7.8101078114557673E-3</v>
      </c>
      <c r="H110" s="722">
        <v>278.91428266252791</v>
      </c>
      <c r="I110" s="722">
        <v>6.0899412977588181</v>
      </c>
      <c r="J110" s="721">
        <f t="shared" si="20"/>
        <v>239.12049702007712</v>
      </c>
      <c r="K110" s="721">
        <f t="shared" si="21"/>
        <v>6.0423781996578851</v>
      </c>
      <c r="L110" s="720">
        <f t="shared" si="22"/>
        <v>-1761135.27327657</v>
      </c>
      <c r="M110" s="720">
        <f t="shared" si="23"/>
        <v>-111583.26966580574</v>
      </c>
      <c r="N110" s="614"/>
      <c r="O110" s="614"/>
    </row>
    <row r="111" spans="1:15">
      <c r="A111" s="724">
        <v>44866</v>
      </c>
      <c r="B111" s="720"/>
      <c r="C111" s="720">
        <v>15559529.888150884</v>
      </c>
      <c r="D111" s="720">
        <v>11935770.363828879</v>
      </c>
      <c r="E111" s="720">
        <v>15488988.891416904</v>
      </c>
      <c r="F111" s="723">
        <f t="shared" si="18"/>
        <v>0.23289646604822054</v>
      </c>
      <c r="G111" s="723">
        <f t="shared" si="19"/>
        <v>4.533620054144415E-3</v>
      </c>
      <c r="H111" s="722">
        <v>491.94285365513394</v>
      </c>
      <c r="I111" s="722">
        <v>3.8196775604248048</v>
      </c>
      <c r="J111" s="721">
        <f t="shared" si="20"/>
        <v>377.3711015411763</v>
      </c>
      <c r="K111" s="721">
        <f t="shared" si="21"/>
        <v>3.8023605936364975</v>
      </c>
      <c r="L111" s="720">
        <f t="shared" si="22"/>
        <v>-2779306.6127409884</v>
      </c>
      <c r="M111" s="720">
        <f t="shared" si="23"/>
        <v>-70217.369665272563</v>
      </c>
      <c r="N111" s="614"/>
      <c r="O111" s="614"/>
    </row>
    <row r="112" spans="1:15">
      <c r="A112" s="724">
        <v>44896</v>
      </c>
      <c r="B112" s="720"/>
      <c r="C112" s="720">
        <v>18533564.86929458</v>
      </c>
      <c r="D112" s="720">
        <v>13454450.609156331</v>
      </c>
      <c r="E112" s="720">
        <v>18462936.404498048</v>
      </c>
      <c r="F112" s="723">
        <f t="shared" si="18"/>
        <v>0.27404950401922157</v>
      </c>
      <c r="G112" s="723">
        <f t="shared" si="19"/>
        <v>3.8108407796681042E-3</v>
      </c>
      <c r="H112" s="722">
        <v>689.51428658621649</v>
      </c>
      <c r="I112" s="722">
        <v>3.8244138104248044</v>
      </c>
      <c r="J112" s="721">
        <f t="shared" si="20"/>
        <v>500.55323833309643</v>
      </c>
      <c r="K112" s="721">
        <f t="shared" si="21"/>
        <v>3.8098395783177117</v>
      </c>
      <c r="L112" s="720">
        <f t="shared" si="22"/>
        <v>-3686495.7609874355</v>
      </c>
      <c r="M112" s="720">
        <f t="shared" si="23"/>
        <v>-70355.485232570485</v>
      </c>
      <c r="N112" s="719">
        <f>SUM(L101:L112)</f>
        <v>-23970669.593971625</v>
      </c>
      <c r="O112" s="719">
        <f>SUM(M101:M112)</f>
        <v>-5809260.1208541337</v>
      </c>
    </row>
  </sheetData>
  <mergeCells count="2">
    <mergeCell ref="A1:O1"/>
    <mergeCell ref="A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2" sqref="A2:G2"/>
    </sheetView>
  </sheetViews>
  <sheetFormatPr defaultRowHeight="14.4"/>
  <cols>
    <col min="2" max="2" width="14.21875" style="717" bestFit="1" customWidth="1"/>
    <col min="3" max="5" width="15.44140625" style="717" customWidth="1"/>
    <col min="6" max="7" width="11.77734375" style="717" bestFit="1" customWidth="1"/>
  </cols>
  <sheetData>
    <row r="1" spans="1:15">
      <c r="A1" s="763" t="s">
        <v>39</v>
      </c>
      <c r="B1" s="763"/>
      <c r="C1" s="763"/>
      <c r="D1" s="763"/>
      <c r="E1" s="763"/>
      <c r="F1" s="763"/>
      <c r="G1" s="763"/>
      <c r="H1" s="567"/>
      <c r="I1" s="567"/>
      <c r="J1" s="567"/>
      <c r="K1" s="567"/>
      <c r="L1" s="567"/>
      <c r="M1" s="567"/>
      <c r="N1" s="567"/>
      <c r="O1" s="567"/>
    </row>
    <row r="2" spans="1:15">
      <c r="A2" s="763" t="s">
        <v>580</v>
      </c>
      <c r="B2" s="763"/>
      <c r="C2" s="763"/>
      <c r="D2" s="763"/>
      <c r="E2" s="763"/>
      <c r="F2" s="763"/>
      <c r="G2" s="763"/>
      <c r="H2" s="567"/>
      <c r="I2" s="567"/>
      <c r="J2" s="567"/>
      <c r="K2" s="567"/>
      <c r="L2" s="567"/>
      <c r="M2" s="567"/>
      <c r="N2" s="567"/>
      <c r="O2" s="567"/>
    </row>
    <row r="4" spans="1:15" s="725" customFormat="1" ht="28.8">
      <c r="A4" s="729" t="s">
        <v>106</v>
      </c>
      <c r="B4" s="728" t="s">
        <v>579</v>
      </c>
      <c r="C4" s="727" t="s">
        <v>578</v>
      </c>
      <c r="D4" s="727" t="s">
        <v>577</v>
      </c>
      <c r="E4" s="727" t="s">
        <v>576</v>
      </c>
      <c r="F4" s="727" t="s">
        <v>569</v>
      </c>
      <c r="G4" s="727" t="s">
        <v>568</v>
      </c>
    </row>
    <row r="5" spans="1:15">
      <c r="A5" s="724">
        <v>41974</v>
      </c>
      <c r="B5" s="720">
        <f>SUM('3-VECC-12-1'!B5:B16)</f>
        <v>191637146</v>
      </c>
      <c r="C5" s="720">
        <f>SUM('3-VECC-12-1'!C5:C16)</f>
        <v>189063541.92539945</v>
      </c>
      <c r="D5" s="720">
        <f>SUM('3-VECC-12-1'!D5:D16)</f>
        <v>154949101.50643212</v>
      </c>
      <c r="E5" s="720">
        <f>SUM('3-VECC-12-1'!E5:E16)</f>
        <v>185240709.72907484</v>
      </c>
      <c r="F5" s="720">
        <f>SUM('3-VECC-12-1'!L5:L16)</f>
        <v>-24858551.55117777</v>
      </c>
      <c r="G5" s="720">
        <f>SUM('3-VECC-12-1'!M5:M16)</f>
        <v>-3570745.0036786562</v>
      </c>
    </row>
    <row r="6" spans="1:15">
      <c r="A6" s="724">
        <v>42339</v>
      </c>
      <c r="B6" s="720">
        <f>SUM('3-VECC-12-1'!B17:B28)</f>
        <v>190465329</v>
      </c>
      <c r="C6" s="720">
        <f>SUM('3-VECC-12-1'!C17:C28)</f>
        <v>188460831.24266264</v>
      </c>
      <c r="D6" s="720">
        <f>SUM('3-VECC-12-1'!D17:D28)</f>
        <v>156530474.96463585</v>
      </c>
      <c r="E6" s="720">
        <f>SUM('3-VECC-12-1'!E17:E28)</f>
        <v>183424665.346755</v>
      </c>
      <c r="F6" s="720">
        <f>SUM('3-VECC-12-1'!L17:L28)</f>
        <v>-23339921.552422732</v>
      </c>
      <c r="G6" s="720">
        <f>SUM('3-VECC-12-1'!M17:M28)</f>
        <v>-4583443.9261840861</v>
      </c>
    </row>
    <row r="7" spans="1:15">
      <c r="A7" s="724">
        <v>42705</v>
      </c>
      <c r="B7" s="720">
        <f>SUM('3-VECC-12-1'!B29:B40)</f>
        <v>190198454</v>
      </c>
      <c r="C7" s="720">
        <f>SUM('3-VECC-12-1'!C29:C40)</f>
        <v>191686294.71516696</v>
      </c>
      <c r="D7" s="720">
        <f>SUM('3-VECC-12-1'!D29:D40)</f>
        <v>164718561.53239548</v>
      </c>
      <c r="E7" s="720">
        <f>SUM('3-VECC-12-1'!E29:E40)</f>
        <v>178094002.49287897</v>
      </c>
      <c r="F7" s="720">
        <f>SUM('3-VECC-12-1'!L29:L40)</f>
        <v>-20771130.967663024</v>
      </c>
      <c r="G7" s="720">
        <f>SUM('3-VECC-12-1'!M29:M40)</f>
        <v>-11160915.099276418</v>
      </c>
    </row>
    <row r="8" spans="1:15">
      <c r="A8" s="724">
        <v>43070</v>
      </c>
      <c r="B8" s="720">
        <f>SUM('3-VECC-12-1'!B41:B52)</f>
        <v>184181850</v>
      </c>
      <c r="C8" s="720">
        <f>SUM('3-VECC-12-1'!C41:C52)</f>
        <v>187486875.10763431</v>
      </c>
      <c r="D8" s="720">
        <f>SUM('3-VECC-12-1'!D41:D52)</f>
        <v>155235352.21092701</v>
      </c>
      <c r="E8" s="720">
        <f>SUM('3-VECC-12-1'!E41:E52)</f>
        <v>183377792.20681477</v>
      </c>
      <c r="F8" s="720">
        <f>SUM('3-VECC-12-1'!L41:L52)</f>
        <v>-23920839.981275968</v>
      </c>
      <c r="G8" s="720">
        <f>SUM('3-VECC-12-1'!M41:M52)</f>
        <v>-3832928.0416008029</v>
      </c>
    </row>
    <row r="9" spans="1:15">
      <c r="A9" s="724">
        <v>43435</v>
      </c>
      <c r="B9" s="720">
        <f>SUM('3-VECC-12-1'!B53:B64)</f>
        <v>192794491</v>
      </c>
      <c r="C9" s="720">
        <f>SUM('3-VECC-12-1'!C53:C64)</f>
        <v>191531130.28494945</v>
      </c>
      <c r="D9" s="720">
        <f>SUM('3-VECC-12-1'!D53:D64)</f>
        <v>158040609.19247103</v>
      </c>
      <c r="E9" s="720">
        <f>SUM('3-VECC-12-1'!E53:E64)</f>
        <v>184616790.40258592</v>
      </c>
      <c r="F9" s="720">
        <f>SUM('3-VECC-12-1'!L53:L64)</f>
        <v>-24725115.203550719</v>
      </c>
      <c r="G9" s="720">
        <f>SUM('3-VECC-12-1'!M53:M64)</f>
        <v>-6005795.3850986492</v>
      </c>
    </row>
    <row r="10" spans="1:15">
      <c r="A10" s="724">
        <v>43800</v>
      </c>
      <c r="B10" s="720">
        <f>SUM('3-VECC-12-1'!B65:B76)</f>
        <v>190916363</v>
      </c>
      <c r="C10" s="720">
        <f>SUM('3-VECC-12-1'!C65:C76)</f>
        <v>190586280.8050701</v>
      </c>
      <c r="D10" s="720">
        <f>SUM('3-VECC-12-1'!D65:D76)</f>
        <v>155723432.70552123</v>
      </c>
      <c r="E10" s="720">
        <f>SUM('3-VECC-12-1'!E65:E76)</f>
        <v>186357157.16827708</v>
      </c>
      <c r="F10" s="720">
        <f>SUM('3-VECC-12-1'!L65:L76)</f>
        <v>-25595768.020263135</v>
      </c>
      <c r="G10" s="720">
        <f>SUM('3-VECC-12-1'!M65:M76)</f>
        <v>-3749416.4824880445</v>
      </c>
    </row>
    <row r="11" spans="1:15">
      <c r="A11" s="724">
        <v>44166</v>
      </c>
      <c r="B11" s="720">
        <f>SUM('3-VECC-12-1'!B77:B88)</f>
        <v>187587218</v>
      </c>
      <c r="C11" s="720">
        <f>SUM('3-VECC-12-1'!C77:C88)</f>
        <v>188965896.91847926</v>
      </c>
      <c r="D11" s="720">
        <f>SUM('3-VECC-12-1'!D77:D88)</f>
        <v>157798681.36614487</v>
      </c>
      <c r="E11" s="720">
        <f>SUM('3-VECC-12-1'!E77:E88)</f>
        <v>182293484.8624419</v>
      </c>
      <c r="F11" s="720">
        <f>SUM('3-VECC-12-1'!L77:L88)</f>
        <v>-23758938.805318091</v>
      </c>
      <c r="G11" s="720">
        <f>SUM('3-VECC-12-1'!M77:M88)</f>
        <v>-5724703.4442166081</v>
      </c>
    </row>
    <row r="12" spans="1:15">
      <c r="A12" s="724">
        <v>44531</v>
      </c>
      <c r="B12" s="720"/>
      <c r="C12" s="720">
        <f>SUM('3-VECC-12-1'!C89:C100)</f>
        <v>189972509.86795244</v>
      </c>
      <c r="D12" s="720">
        <f>SUM('3-VECC-12-1'!D89:D100)</f>
        <v>157860418.79354748</v>
      </c>
      <c r="E12" s="720">
        <f>SUM('3-VECC-12-1'!E89:E100)</f>
        <v>183238360.38451239</v>
      </c>
      <c r="F12" s="720">
        <f>SUM('3-VECC-12-1'!L89:L100)</f>
        <v>-24187404.849086709</v>
      </c>
      <c r="G12" s="720">
        <f>SUM('3-VECC-12-1'!M89:M100)</f>
        <v>-6490386.6152465455</v>
      </c>
    </row>
    <row r="13" spans="1:15">
      <c r="A13" s="724">
        <v>44896</v>
      </c>
      <c r="B13" s="720"/>
      <c r="C13" s="720">
        <f>SUM('3-VECC-12-1'!C101:C112)</f>
        <v>189627160.16875914</v>
      </c>
      <c r="D13" s="720">
        <f>SUM('3-VECC-12-1'!D101:D112)</f>
        <v>157515069.09435421</v>
      </c>
      <c r="E13" s="720">
        <f>SUM('3-VECC-12-1'!E101:E112)</f>
        <v>183238360.38451239</v>
      </c>
      <c r="F13" s="720">
        <f>SUM('3-VECC-12-1'!L101:L112)</f>
        <v>-23970669.593971625</v>
      </c>
      <c r="G13" s="720">
        <f>SUM('3-VECC-12-1'!M101:M112)</f>
        <v>-5809260.1208541337</v>
      </c>
    </row>
  </sheetData>
  <mergeCells count="2">
    <mergeCell ref="A1:G1"/>
    <mergeCell ref="A2:G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M15" sqref="M15"/>
    </sheetView>
  </sheetViews>
  <sheetFormatPr defaultRowHeight="14.4"/>
  <cols>
    <col min="1" max="1" width="34.88671875" bestFit="1" customWidth="1"/>
    <col min="2" max="9" width="11.44140625" bestFit="1" customWidth="1"/>
  </cols>
  <sheetData>
    <row r="1" spans="1:9">
      <c r="A1" s="763" t="s">
        <v>39</v>
      </c>
      <c r="B1" s="763"/>
      <c r="C1" s="763"/>
      <c r="D1" s="763"/>
      <c r="E1" s="763"/>
      <c r="F1" s="763"/>
      <c r="G1" s="763"/>
      <c r="H1" s="763"/>
      <c r="I1" s="763"/>
    </row>
    <row r="2" spans="1:9">
      <c r="A2" s="763" t="s">
        <v>601</v>
      </c>
      <c r="B2" s="763"/>
      <c r="C2" s="763"/>
      <c r="D2" s="763"/>
      <c r="E2" s="763"/>
      <c r="F2" s="763"/>
      <c r="G2" s="763"/>
      <c r="H2" s="763"/>
      <c r="I2" s="763"/>
    </row>
    <row r="3" spans="1:9" ht="15" thickBot="1"/>
    <row r="4" spans="1:9" ht="66.599999999999994" thickBot="1">
      <c r="A4" s="744"/>
      <c r="B4" s="550" t="s">
        <v>612</v>
      </c>
      <c r="C4" s="550" t="s">
        <v>613</v>
      </c>
      <c r="D4" s="550" t="s">
        <v>614</v>
      </c>
      <c r="E4" s="550" t="s">
        <v>615</v>
      </c>
      <c r="F4" s="550" t="s">
        <v>616</v>
      </c>
      <c r="G4" s="550" t="s">
        <v>617</v>
      </c>
      <c r="H4" s="550" t="s">
        <v>611</v>
      </c>
      <c r="I4" s="611" t="s">
        <v>618</v>
      </c>
    </row>
    <row r="5" spans="1:9" ht="16.2">
      <c r="A5" s="814" t="s">
        <v>594</v>
      </c>
      <c r="B5" s="815"/>
      <c r="C5" s="815"/>
      <c r="D5" s="815"/>
      <c r="E5" s="815"/>
      <c r="F5" s="815"/>
      <c r="G5" s="815"/>
      <c r="H5" s="815"/>
      <c r="I5" s="816"/>
    </row>
    <row r="6" spans="1:9">
      <c r="A6" s="745" t="s">
        <v>595</v>
      </c>
      <c r="B6" s="746">
        <v>6</v>
      </c>
      <c r="C6" s="746">
        <v>5</v>
      </c>
      <c r="D6" s="746">
        <v>6</v>
      </c>
      <c r="E6" s="746">
        <v>6</v>
      </c>
      <c r="F6" s="746">
        <v>5</v>
      </c>
      <c r="G6" s="746">
        <v>6</v>
      </c>
      <c r="H6" s="746">
        <v>6</v>
      </c>
      <c r="I6" s="746">
        <v>6</v>
      </c>
    </row>
    <row r="7" spans="1:9">
      <c r="A7" s="745" t="s">
        <v>596</v>
      </c>
      <c r="B7" s="746">
        <v>22</v>
      </c>
      <c r="C7" s="746">
        <v>21</v>
      </c>
      <c r="D7" s="746">
        <v>20</v>
      </c>
      <c r="E7" s="746">
        <v>20</v>
      </c>
      <c r="F7" s="746">
        <v>21</v>
      </c>
      <c r="G7" s="746">
        <v>20</v>
      </c>
      <c r="H7" s="746">
        <v>20</v>
      </c>
      <c r="I7" s="746">
        <v>20</v>
      </c>
    </row>
    <row r="8" spans="1:9">
      <c r="A8" s="745" t="s">
        <v>2</v>
      </c>
      <c r="B8" s="747">
        <f>SUM(B6:B7)</f>
        <v>28</v>
      </c>
      <c r="C8" s="747">
        <f t="shared" ref="C8:I8" si="0">SUM(C6:C7)</f>
        <v>26</v>
      </c>
      <c r="D8" s="747">
        <f t="shared" si="0"/>
        <v>26</v>
      </c>
      <c r="E8" s="747">
        <f t="shared" si="0"/>
        <v>26</v>
      </c>
      <c r="F8" s="747">
        <f t="shared" si="0"/>
        <v>26</v>
      </c>
      <c r="G8" s="747">
        <f t="shared" si="0"/>
        <v>26</v>
      </c>
      <c r="H8" s="747">
        <f t="shared" si="0"/>
        <v>26</v>
      </c>
      <c r="I8" s="747">
        <f t="shared" si="0"/>
        <v>26</v>
      </c>
    </row>
    <row r="9" spans="1:9">
      <c r="A9" s="817" t="s">
        <v>597</v>
      </c>
      <c r="B9" s="818"/>
      <c r="C9" s="818"/>
      <c r="D9" s="818"/>
      <c r="E9" s="818"/>
      <c r="F9" s="818"/>
      <c r="G9" s="818"/>
      <c r="H9" s="818"/>
      <c r="I9" s="819"/>
    </row>
    <row r="10" spans="1:9">
      <c r="A10" s="745" t="s">
        <v>595</v>
      </c>
      <c r="B10" s="748">
        <v>564693.98</v>
      </c>
      <c r="C10" s="748">
        <v>568279.65</v>
      </c>
      <c r="D10" s="748">
        <v>511046.98000000004</v>
      </c>
      <c r="E10" s="748">
        <v>599303.62</v>
      </c>
      <c r="F10" s="748">
        <v>537136.31999999995</v>
      </c>
      <c r="G10" s="748">
        <v>529564.82000000007</v>
      </c>
      <c r="H10" s="748">
        <v>619197.56999999995</v>
      </c>
      <c r="I10" s="748">
        <v>623958.94999999995</v>
      </c>
    </row>
    <row r="11" spans="1:9">
      <c r="A11" s="745" t="s">
        <v>596</v>
      </c>
      <c r="B11" s="748">
        <v>1489690.86</v>
      </c>
      <c r="C11" s="748">
        <v>1222518.9700000002</v>
      </c>
      <c r="D11" s="748">
        <v>1343179.25</v>
      </c>
      <c r="E11" s="748">
        <v>1409748.0300000005</v>
      </c>
      <c r="F11" s="748">
        <v>1507261.5299999998</v>
      </c>
      <c r="G11" s="748">
        <v>1497540.0799999998</v>
      </c>
      <c r="H11" s="748">
        <v>1455182.2</v>
      </c>
      <c r="I11" s="748">
        <v>1572299</v>
      </c>
    </row>
    <row r="12" spans="1:9">
      <c r="A12" s="745" t="s">
        <v>2</v>
      </c>
      <c r="B12" s="749">
        <f t="shared" ref="B12:I12" si="1">SUM(B10:B11)</f>
        <v>2054384.84</v>
      </c>
      <c r="C12" s="749">
        <f t="shared" si="1"/>
        <v>1790798.62</v>
      </c>
      <c r="D12" s="749">
        <f t="shared" si="1"/>
        <v>1854226.23</v>
      </c>
      <c r="E12" s="749">
        <f t="shared" si="1"/>
        <v>2009051.6500000004</v>
      </c>
      <c r="F12" s="749">
        <f t="shared" si="1"/>
        <v>2044397.8499999996</v>
      </c>
      <c r="G12" s="749">
        <f t="shared" si="1"/>
        <v>2027104.9</v>
      </c>
      <c r="H12" s="749">
        <f t="shared" si="1"/>
        <v>2074379.77</v>
      </c>
      <c r="I12" s="749">
        <f t="shared" si="1"/>
        <v>2196257.9500000002</v>
      </c>
    </row>
    <row r="13" spans="1:9">
      <c r="A13" s="817" t="s">
        <v>598</v>
      </c>
      <c r="B13" s="818"/>
      <c r="C13" s="818"/>
      <c r="D13" s="818"/>
      <c r="E13" s="818"/>
      <c r="F13" s="818"/>
      <c r="G13" s="818"/>
      <c r="H13" s="818"/>
      <c r="I13" s="819"/>
    </row>
    <row r="14" spans="1:9">
      <c r="A14" s="745" t="s">
        <v>595</v>
      </c>
      <c r="B14" s="748">
        <v>106381.73631583835</v>
      </c>
      <c r="C14" s="748">
        <v>136348.71993699999</v>
      </c>
      <c r="D14" s="748">
        <v>134518.41525799999</v>
      </c>
      <c r="E14" s="748">
        <v>166733.17409399999</v>
      </c>
      <c r="F14" s="748">
        <v>147629.017846</v>
      </c>
      <c r="G14" s="748">
        <v>144999.62889399999</v>
      </c>
      <c r="H14" s="748">
        <v>170279.33175000001</v>
      </c>
      <c r="I14" s="748">
        <v>171588.71124999999</v>
      </c>
    </row>
    <row r="15" spans="1:9">
      <c r="A15" s="745" t="s">
        <v>596</v>
      </c>
      <c r="B15" s="748">
        <v>276546.7636820706</v>
      </c>
      <c r="C15" s="748">
        <v>312882.37901700003</v>
      </c>
      <c r="D15" s="748">
        <v>341588.73491400003</v>
      </c>
      <c r="E15" s="748">
        <v>374292.67570499994</v>
      </c>
      <c r="F15" s="748">
        <v>390716.35138200002</v>
      </c>
      <c r="G15" s="748">
        <v>412751.44838699989</v>
      </c>
      <c r="H15" s="748">
        <v>400175.10500000004</v>
      </c>
      <c r="I15" s="748">
        <v>432382</v>
      </c>
    </row>
    <row r="16" spans="1:9">
      <c r="A16" s="745" t="s">
        <v>2</v>
      </c>
      <c r="B16" s="749">
        <f t="shared" ref="B16:I16" si="2">SUM(B14:B15)</f>
        <v>382928.49999790895</v>
      </c>
      <c r="C16" s="749">
        <f t="shared" si="2"/>
        <v>449231.09895400004</v>
      </c>
      <c r="D16" s="749">
        <f t="shared" si="2"/>
        <v>476107.15017200005</v>
      </c>
      <c r="E16" s="749">
        <f t="shared" si="2"/>
        <v>541025.84979899996</v>
      </c>
      <c r="F16" s="749">
        <f t="shared" si="2"/>
        <v>538345.36922800005</v>
      </c>
      <c r="G16" s="749">
        <f t="shared" si="2"/>
        <v>557751.07728099986</v>
      </c>
      <c r="H16" s="749">
        <f t="shared" si="2"/>
        <v>570454.43675000011</v>
      </c>
      <c r="I16" s="749">
        <f t="shared" si="2"/>
        <v>603970.71124999993</v>
      </c>
    </row>
    <row r="17" spans="1:9">
      <c r="A17" s="817" t="s">
        <v>599</v>
      </c>
      <c r="B17" s="818"/>
      <c r="C17" s="818"/>
      <c r="D17" s="818"/>
      <c r="E17" s="818"/>
      <c r="F17" s="818"/>
      <c r="G17" s="818"/>
      <c r="H17" s="818"/>
      <c r="I17" s="819"/>
    </row>
    <row r="18" spans="1:9">
      <c r="A18" s="745" t="s">
        <v>595</v>
      </c>
      <c r="B18" s="749">
        <f t="shared" ref="B18:I20" si="3">B10+B14</f>
        <v>671075.71631583828</v>
      </c>
      <c r="C18" s="749">
        <f t="shared" si="3"/>
        <v>704628.36993699998</v>
      </c>
      <c r="D18" s="749">
        <f t="shared" si="3"/>
        <v>645565.395258</v>
      </c>
      <c r="E18" s="749">
        <f t="shared" si="3"/>
        <v>766036.79409400001</v>
      </c>
      <c r="F18" s="749">
        <f t="shared" si="3"/>
        <v>684765.33784599998</v>
      </c>
      <c r="G18" s="749">
        <f t="shared" si="3"/>
        <v>674564.44889400003</v>
      </c>
      <c r="H18" s="749">
        <f t="shared" si="3"/>
        <v>789476.90174999996</v>
      </c>
      <c r="I18" s="749">
        <f t="shared" si="3"/>
        <v>795547.66124999989</v>
      </c>
    </row>
    <row r="19" spans="1:9">
      <c r="A19" s="745" t="s">
        <v>596</v>
      </c>
      <c r="B19" s="749">
        <f t="shared" si="3"/>
        <v>1766237.6236820708</v>
      </c>
      <c r="C19" s="749">
        <f t="shared" si="3"/>
        <v>1535401.3490170003</v>
      </c>
      <c r="D19" s="749">
        <f t="shared" si="3"/>
        <v>1684767.9849140001</v>
      </c>
      <c r="E19" s="749">
        <f t="shared" si="3"/>
        <v>1784040.7057050006</v>
      </c>
      <c r="F19" s="749">
        <f t="shared" si="3"/>
        <v>1897977.8813819997</v>
      </c>
      <c r="G19" s="749">
        <f t="shared" si="3"/>
        <v>1910291.5283869999</v>
      </c>
      <c r="H19" s="749">
        <f t="shared" si="3"/>
        <v>1855357.3049999999</v>
      </c>
      <c r="I19" s="749">
        <f t="shared" si="3"/>
        <v>2004681</v>
      </c>
    </row>
    <row r="20" spans="1:9">
      <c r="A20" s="745" t="s">
        <v>2</v>
      </c>
      <c r="B20" s="749">
        <f t="shared" si="3"/>
        <v>2437313.339997909</v>
      </c>
      <c r="C20" s="749">
        <f t="shared" si="3"/>
        <v>2240029.7189540002</v>
      </c>
      <c r="D20" s="749">
        <f t="shared" si="3"/>
        <v>2330333.3801720003</v>
      </c>
      <c r="E20" s="749">
        <f t="shared" si="3"/>
        <v>2550077.4997990001</v>
      </c>
      <c r="F20" s="749">
        <f t="shared" si="3"/>
        <v>2582743.2192279994</v>
      </c>
      <c r="G20" s="749">
        <f t="shared" si="3"/>
        <v>2584855.9772809995</v>
      </c>
      <c r="H20" s="749">
        <f t="shared" si="3"/>
        <v>2644834.2067499999</v>
      </c>
      <c r="I20" s="749">
        <f t="shared" si="3"/>
        <v>2800228.6612499999</v>
      </c>
    </row>
    <row r="21" spans="1:9">
      <c r="A21" s="745" t="s">
        <v>600</v>
      </c>
      <c r="B21" s="749"/>
      <c r="C21" s="749">
        <v>321668.65999999997</v>
      </c>
      <c r="D21" s="749">
        <v>407948.79</v>
      </c>
      <c r="E21" s="749">
        <v>492968.78</v>
      </c>
      <c r="F21" s="749">
        <v>345259</v>
      </c>
      <c r="G21" s="749">
        <v>243767.23</v>
      </c>
      <c r="H21" s="749">
        <v>286774</v>
      </c>
      <c r="I21" s="749">
        <v>317519</v>
      </c>
    </row>
    <row r="22" spans="1:9">
      <c r="A22" s="745" t="s">
        <v>657</v>
      </c>
      <c r="B22" s="749"/>
      <c r="C22" s="749">
        <v>168303.58</v>
      </c>
      <c r="D22" s="749">
        <f>194701.25</f>
        <v>194701.25</v>
      </c>
      <c r="E22" s="749">
        <v>187556.03</v>
      </c>
      <c r="F22" s="749">
        <f>205840.19+60589.96</f>
        <v>266430.15000000002</v>
      </c>
      <c r="G22" s="749">
        <v>222367.01</v>
      </c>
      <c r="H22" s="749">
        <f>288059.06</f>
        <v>288059.06</v>
      </c>
      <c r="I22" s="749">
        <f>292800.16</f>
        <v>292800.15999999997</v>
      </c>
    </row>
    <row r="23" spans="1:9">
      <c r="A23" s="745" t="s">
        <v>656</v>
      </c>
      <c r="B23" s="749"/>
      <c r="C23" s="749">
        <f t="shared" ref="C23:I23" si="4">C20-C21-C22</f>
        <v>1750057.4789540002</v>
      </c>
      <c r="D23" s="749">
        <f t="shared" si="4"/>
        <v>1727683.3401720002</v>
      </c>
      <c r="E23" s="749">
        <f t="shared" si="4"/>
        <v>1869552.689799</v>
      </c>
      <c r="F23" s="749">
        <f t="shared" si="4"/>
        <v>1971054.0692279995</v>
      </c>
      <c r="G23" s="749">
        <f t="shared" si="4"/>
        <v>2118721.7372809993</v>
      </c>
      <c r="H23" s="749">
        <f t="shared" si="4"/>
        <v>2070001.1467499998</v>
      </c>
      <c r="I23" s="749">
        <f t="shared" si="4"/>
        <v>2189909.5012499997</v>
      </c>
    </row>
  </sheetData>
  <mergeCells count="6">
    <mergeCell ref="A5:I5"/>
    <mergeCell ref="A9:I9"/>
    <mergeCell ref="A13:I13"/>
    <mergeCell ref="A17:I17"/>
    <mergeCell ref="A1:I1"/>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workbookViewId="0">
      <selection activeCell="A23" sqref="A23"/>
    </sheetView>
  </sheetViews>
  <sheetFormatPr defaultRowHeight="14.4"/>
  <cols>
    <col min="1" max="1" width="53.77734375" bestFit="1" customWidth="1"/>
    <col min="2" max="3" width="17" customWidth="1"/>
  </cols>
  <sheetData>
    <row r="1" spans="1:3">
      <c r="A1" s="763" t="s">
        <v>39</v>
      </c>
      <c r="B1" s="763"/>
      <c r="C1" s="763"/>
    </row>
    <row r="2" spans="1:3">
      <c r="A2" s="763" t="s">
        <v>70</v>
      </c>
      <c r="B2" s="763"/>
      <c r="C2" s="763"/>
    </row>
    <row r="5" spans="1:3" ht="43.2">
      <c r="A5" s="3" t="s">
        <v>1</v>
      </c>
      <c r="B5" s="21" t="s">
        <v>71</v>
      </c>
      <c r="C5" s="21" t="s">
        <v>72</v>
      </c>
    </row>
    <row r="6" spans="1:3">
      <c r="A6" s="3"/>
      <c r="B6" s="4"/>
      <c r="C6" s="4"/>
    </row>
    <row r="7" spans="1:3">
      <c r="A7" s="6" t="s">
        <v>73</v>
      </c>
      <c r="B7" s="7">
        <v>84000</v>
      </c>
      <c r="C7" s="572">
        <f>2500+82746.18+20.53</f>
        <v>85266.709999999992</v>
      </c>
    </row>
    <row r="8" spans="1:3">
      <c r="A8" s="6" t="s">
        <v>74</v>
      </c>
      <c r="B8" s="7">
        <v>3000</v>
      </c>
      <c r="C8" s="7">
        <f>3454.35</f>
        <v>3454.35</v>
      </c>
    </row>
    <row r="9" spans="1:3">
      <c r="A9" s="22" t="s">
        <v>81</v>
      </c>
      <c r="B9" s="7">
        <v>260000</v>
      </c>
      <c r="C9" s="7">
        <f>185446.36+59096.93+3850</f>
        <v>248393.28999999998</v>
      </c>
    </row>
    <row r="10" spans="1:3">
      <c r="A10" s="6" t="s">
        <v>83</v>
      </c>
      <c r="B10" s="8">
        <v>60000</v>
      </c>
      <c r="C10" s="7">
        <f>57260</f>
        <v>57260</v>
      </c>
    </row>
    <row r="11" spans="1:3">
      <c r="A11" s="6" t="s">
        <v>310</v>
      </c>
      <c r="B11" s="7">
        <v>125000</v>
      </c>
      <c r="C11" s="7">
        <f>65132.1+54873.35</f>
        <v>120005.45</v>
      </c>
    </row>
    <row r="12" spans="1:3">
      <c r="A12" s="6" t="s">
        <v>89</v>
      </c>
      <c r="B12" s="7">
        <v>45000</v>
      </c>
      <c r="C12" s="7">
        <f>41000</f>
        <v>41000</v>
      </c>
    </row>
    <row r="13" spans="1:3">
      <c r="A13" s="22" t="s">
        <v>96</v>
      </c>
      <c r="B13" s="7">
        <v>100000</v>
      </c>
      <c r="C13" s="7">
        <f>40000</f>
        <v>40000</v>
      </c>
    </row>
    <row r="14" spans="1:3">
      <c r="A14" s="22" t="s">
        <v>104</v>
      </c>
      <c r="B14" s="7">
        <v>50000</v>
      </c>
      <c r="C14" s="7">
        <f>45000+8000</f>
        <v>53000</v>
      </c>
    </row>
    <row r="15" spans="1:3">
      <c r="A15" s="22"/>
      <c r="B15" s="7"/>
      <c r="C15" s="7"/>
    </row>
    <row r="16" spans="1:3">
      <c r="A16" s="6" t="s">
        <v>75</v>
      </c>
      <c r="B16" s="8">
        <v>95000</v>
      </c>
      <c r="C16" s="8"/>
    </row>
    <row r="17" spans="1:3">
      <c r="A17" s="6" t="s">
        <v>76</v>
      </c>
      <c r="B17" s="7">
        <v>25000</v>
      </c>
      <c r="C17" s="7"/>
    </row>
    <row r="18" spans="1:3">
      <c r="A18" s="6" t="s">
        <v>77</v>
      </c>
      <c r="B18" s="7">
        <v>10000</v>
      </c>
      <c r="C18" s="7"/>
    </row>
    <row r="19" spans="1:3">
      <c r="A19" s="6" t="s">
        <v>78</v>
      </c>
      <c r="B19" s="7">
        <v>5000</v>
      </c>
      <c r="C19" s="7"/>
    </row>
    <row r="20" spans="1:3">
      <c r="A20" s="6" t="s">
        <v>79</v>
      </c>
      <c r="B20" s="7">
        <v>15000</v>
      </c>
      <c r="C20" s="7"/>
    </row>
    <row r="21" spans="1:3">
      <c r="A21" s="6" t="s">
        <v>80</v>
      </c>
      <c r="B21" s="7">
        <v>30000</v>
      </c>
      <c r="C21" s="7"/>
    </row>
    <row r="22" spans="1:3">
      <c r="A22" s="571"/>
      <c r="B22" s="14"/>
      <c r="C22" s="7"/>
    </row>
    <row r="23" spans="1:3" ht="15" thickBot="1">
      <c r="A23" s="568" t="s">
        <v>304</v>
      </c>
      <c r="B23" s="569">
        <f>SUM(B16:B21)</f>
        <v>180000</v>
      </c>
      <c r="C23" s="569">
        <f>3225.5+300+6282.23+1400+76972.86+60517.02+10200+1020+7260+6913+17986+6530.18</f>
        <v>198606.78999999998</v>
      </c>
    </row>
    <row r="24" spans="1:3">
      <c r="A24" s="6"/>
      <c r="B24" s="13"/>
      <c r="C24" s="7"/>
    </row>
    <row r="25" spans="1:3">
      <c r="A25" s="23" t="s">
        <v>82</v>
      </c>
      <c r="B25" s="7">
        <v>105000</v>
      </c>
      <c r="C25" s="7"/>
    </row>
    <row r="26" spans="1:3">
      <c r="A26" s="6" t="s">
        <v>84</v>
      </c>
      <c r="B26" s="7">
        <v>35000</v>
      </c>
      <c r="C26" s="7"/>
    </row>
    <row r="27" spans="1:3">
      <c r="A27" s="6" t="s">
        <v>85</v>
      </c>
      <c r="B27" s="7">
        <v>8000</v>
      </c>
      <c r="C27" s="7"/>
    </row>
    <row r="28" spans="1:3">
      <c r="A28" s="6" t="s">
        <v>86</v>
      </c>
      <c r="B28" s="7">
        <v>20000</v>
      </c>
      <c r="C28" s="7"/>
    </row>
    <row r="29" spans="1:3">
      <c r="A29" s="6" t="s">
        <v>87</v>
      </c>
      <c r="B29" s="7">
        <v>125000</v>
      </c>
      <c r="C29" s="7"/>
    </row>
    <row r="30" spans="1:3">
      <c r="A30" s="6" t="s">
        <v>88</v>
      </c>
      <c r="B30" s="13">
        <v>15000</v>
      </c>
      <c r="C30" s="7"/>
    </row>
    <row r="31" spans="1:3">
      <c r="A31" s="6" t="s">
        <v>90</v>
      </c>
      <c r="B31" s="7">
        <v>8000</v>
      </c>
      <c r="C31" s="7"/>
    </row>
    <row r="32" spans="1:3">
      <c r="A32" s="6" t="s">
        <v>91</v>
      </c>
      <c r="B32" s="7">
        <v>60000</v>
      </c>
      <c r="C32" s="7"/>
    </row>
    <row r="33" spans="1:3">
      <c r="A33" s="6" t="s">
        <v>92</v>
      </c>
      <c r="B33" s="14">
        <v>10000</v>
      </c>
      <c r="C33" s="14"/>
    </row>
    <row r="34" spans="1:3">
      <c r="A34" s="6" t="s">
        <v>93</v>
      </c>
      <c r="B34" s="8">
        <v>15000</v>
      </c>
      <c r="C34" s="7"/>
    </row>
    <row r="35" spans="1:3">
      <c r="A35" s="6" t="s">
        <v>94</v>
      </c>
      <c r="B35" s="13">
        <v>120000</v>
      </c>
      <c r="C35" s="13"/>
    </row>
    <row r="36" spans="1:3">
      <c r="A36" s="6" t="s">
        <v>95</v>
      </c>
      <c r="B36" s="7">
        <v>75000</v>
      </c>
      <c r="C36" s="7"/>
    </row>
    <row r="37" spans="1:3">
      <c r="A37" s="22" t="s">
        <v>76</v>
      </c>
      <c r="B37" s="7">
        <v>40000</v>
      </c>
      <c r="C37" s="7"/>
    </row>
    <row r="38" spans="1:3">
      <c r="A38" s="22" t="s">
        <v>97</v>
      </c>
      <c r="B38" s="7">
        <v>2500</v>
      </c>
      <c r="C38" s="7"/>
    </row>
    <row r="39" spans="1:3">
      <c r="A39" s="22" t="s">
        <v>98</v>
      </c>
      <c r="B39" s="7">
        <v>8500</v>
      </c>
      <c r="C39" s="7"/>
    </row>
    <row r="40" spans="1:3">
      <c r="A40" s="22" t="s">
        <v>99</v>
      </c>
      <c r="B40" s="7">
        <v>10000</v>
      </c>
      <c r="C40" s="7"/>
    </row>
    <row r="41" spans="1:3">
      <c r="A41" s="22" t="s">
        <v>100</v>
      </c>
      <c r="B41" s="7">
        <v>12000</v>
      </c>
      <c r="C41" s="7"/>
    </row>
    <row r="42" spans="1:3">
      <c r="A42" s="22" t="s">
        <v>101</v>
      </c>
      <c r="B42" s="7">
        <v>7500</v>
      </c>
      <c r="C42" s="7"/>
    </row>
    <row r="43" spans="1:3">
      <c r="A43" s="22" t="s">
        <v>102</v>
      </c>
      <c r="B43" s="7">
        <v>5000</v>
      </c>
      <c r="C43" s="7"/>
    </row>
    <row r="44" spans="1:3">
      <c r="A44" s="22" t="s">
        <v>103</v>
      </c>
      <c r="B44" s="7">
        <v>30000</v>
      </c>
      <c r="C44" s="7"/>
    </row>
    <row r="45" spans="1:3">
      <c r="A45" s="22" t="s">
        <v>105</v>
      </c>
      <c r="B45" s="7">
        <v>5000</v>
      </c>
      <c r="C45" s="7"/>
    </row>
    <row r="46" spans="1:3">
      <c r="A46" s="568"/>
      <c r="B46" s="14"/>
      <c r="C46" s="7"/>
    </row>
    <row r="47" spans="1:3" ht="15" thickBot="1">
      <c r="A47" s="568" t="s">
        <v>304</v>
      </c>
      <c r="B47" s="570">
        <f>SUM(B25:B45)</f>
        <v>716500</v>
      </c>
      <c r="C47" s="570">
        <f>1268579.94-41000-40000-53000</f>
        <v>1134579.94</v>
      </c>
    </row>
    <row r="48" spans="1:3">
      <c r="A48" s="568"/>
      <c r="B48" s="13"/>
      <c r="C48" s="13"/>
    </row>
    <row r="49" spans="1:3">
      <c r="A49" s="568" t="s">
        <v>305</v>
      </c>
      <c r="B49" s="13">
        <v>0</v>
      </c>
      <c r="C49" s="13">
        <v>22020.77</v>
      </c>
    </row>
    <row r="50" spans="1:3">
      <c r="A50" s="568" t="s">
        <v>306</v>
      </c>
      <c r="B50" s="13">
        <v>0</v>
      </c>
      <c r="C50" s="13">
        <f>7521.52+1706.29</f>
        <v>9227.8100000000013</v>
      </c>
    </row>
    <row r="51" spans="1:3">
      <c r="A51" s="568" t="s">
        <v>307</v>
      </c>
      <c r="B51" s="13">
        <v>0</v>
      </c>
      <c r="C51" s="13">
        <v>7952.5</v>
      </c>
    </row>
    <row r="52" spans="1:3">
      <c r="A52" s="568" t="s">
        <v>309</v>
      </c>
      <c r="B52" s="13">
        <v>0</v>
      </c>
      <c r="C52" s="13">
        <f>19936.9</f>
        <v>19936.900000000001</v>
      </c>
    </row>
    <row r="53" spans="1:3">
      <c r="A53" s="568" t="s">
        <v>308</v>
      </c>
      <c r="B53" s="13">
        <v>0</v>
      </c>
      <c r="C53" s="13">
        <f>19049.04</f>
        <v>19049.04</v>
      </c>
    </row>
    <row r="54" spans="1:3" ht="15" thickBot="1">
      <c r="A54" s="24"/>
      <c r="B54" s="8"/>
      <c r="C54" s="8"/>
    </row>
    <row r="55" spans="1:3" ht="15.6" thickTop="1" thickBot="1">
      <c r="A55" s="19" t="s">
        <v>2</v>
      </c>
      <c r="B55" s="20">
        <f>SUM(B7:B44)+B23+B47+SUM(B49:B53)</f>
        <v>2695000</v>
      </c>
      <c r="C55" s="20">
        <f>SUM(C7:C14)+C23+C47+SUM(C49:C53)</f>
        <v>2059753.55</v>
      </c>
    </row>
    <row r="56" spans="1:3">
      <c r="C56" s="25"/>
    </row>
    <row r="57" spans="1:3">
      <c r="C57" s="573"/>
    </row>
  </sheetData>
  <mergeCells count="2">
    <mergeCell ref="A1:C1"/>
    <mergeCell ref="A2:C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2"/>
    </sheetView>
  </sheetViews>
  <sheetFormatPr defaultRowHeight="14.4"/>
  <cols>
    <col min="2" max="2" width="42.44140625" bestFit="1" customWidth="1"/>
    <col min="3" max="5" width="12.77734375" customWidth="1"/>
  </cols>
  <sheetData>
    <row r="1" spans="1:5">
      <c r="A1" s="763" t="s">
        <v>39</v>
      </c>
      <c r="B1" s="763"/>
      <c r="C1" s="763"/>
      <c r="D1" s="763"/>
      <c r="E1" s="763"/>
    </row>
    <row r="2" spans="1:5">
      <c r="A2" s="763" t="s">
        <v>625</v>
      </c>
      <c r="B2" s="763"/>
      <c r="C2" s="763"/>
      <c r="D2" s="763"/>
      <c r="E2" s="763"/>
    </row>
    <row r="5" spans="1:5" ht="29.4" thickBot="1">
      <c r="A5" s="576" t="s">
        <v>1</v>
      </c>
      <c r="B5" s="576" t="s">
        <v>143</v>
      </c>
      <c r="C5" s="755" t="s">
        <v>643</v>
      </c>
      <c r="D5" s="755" t="s">
        <v>642</v>
      </c>
      <c r="E5" s="755" t="s">
        <v>644</v>
      </c>
    </row>
    <row r="6" spans="1:5">
      <c r="A6" t="s">
        <v>634</v>
      </c>
      <c r="B6" t="s">
        <v>635</v>
      </c>
      <c r="C6" s="754">
        <v>0.95</v>
      </c>
      <c r="D6" s="754">
        <v>0.5353</v>
      </c>
      <c r="E6" s="756">
        <f>D6-C6</f>
        <v>-0.41469999999999996</v>
      </c>
    </row>
    <row r="7" spans="1:5">
      <c r="A7" t="s">
        <v>636</v>
      </c>
      <c r="B7" t="s">
        <v>637</v>
      </c>
      <c r="C7" s="754">
        <v>0.05</v>
      </c>
      <c r="D7" s="754">
        <v>0.4647</v>
      </c>
      <c r="E7" s="756">
        <f t="shared" ref="E7:E13" si="0">D7-C7</f>
        <v>0.41470000000000001</v>
      </c>
    </row>
    <row r="8" spans="1:5">
      <c r="A8" t="s">
        <v>626</v>
      </c>
      <c r="B8" t="s">
        <v>627</v>
      </c>
      <c r="C8" s="754">
        <v>0.65</v>
      </c>
      <c r="D8" s="754">
        <v>0.5353</v>
      </c>
      <c r="E8" s="756">
        <f t="shared" si="0"/>
        <v>-0.11470000000000002</v>
      </c>
    </row>
    <row r="9" spans="1:5">
      <c r="A9" t="s">
        <v>628</v>
      </c>
      <c r="B9" t="s">
        <v>629</v>
      </c>
      <c r="C9" s="754">
        <v>0.35</v>
      </c>
      <c r="D9" s="754">
        <v>0.4647</v>
      </c>
      <c r="E9" s="756">
        <f t="shared" si="0"/>
        <v>0.11470000000000002</v>
      </c>
    </row>
    <row r="10" spans="1:5">
      <c r="A10" t="s">
        <v>630</v>
      </c>
      <c r="B10" t="s">
        <v>631</v>
      </c>
      <c r="C10" s="754">
        <v>0</v>
      </c>
      <c r="D10" s="754">
        <v>0.41270000000000001</v>
      </c>
      <c r="E10" s="756">
        <f t="shared" si="0"/>
        <v>0.41270000000000001</v>
      </c>
    </row>
    <row r="11" spans="1:5">
      <c r="A11" t="s">
        <v>632</v>
      </c>
      <c r="B11" t="s">
        <v>633</v>
      </c>
      <c r="C11" s="754">
        <v>1</v>
      </c>
      <c r="D11" s="754">
        <v>0.58729999999999993</v>
      </c>
      <c r="E11" s="756">
        <f t="shared" si="0"/>
        <v>-0.41270000000000007</v>
      </c>
    </row>
    <row r="12" spans="1:5">
      <c r="A12" t="s">
        <v>638</v>
      </c>
      <c r="B12" t="s">
        <v>639</v>
      </c>
      <c r="C12" s="754">
        <v>0</v>
      </c>
      <c r="D12" s="754">
        <v>0.41270000000000001</v>
      </c>
      <c r="E12" s="756">
        <f t="shared" si="0"/>
        <v>0.41270000000000001</v>
      </c>
    </row>
    <row r="13" spans="1:5">
      <c r="A13" t="s">
        <v>640</v>
      </c>
      <c r="B13" t="s">
        <v>641</v>
      </c>
      <c r="C13" s="754">
        <v>1</v>
      </c>
      <c r="D13" s="754">
        <v>0.58729999999999993</v>
      </c>
      <c r="E13" s="756">
        <f t="shared" si="0"/>
        <v>-0.41270000000000007</v>
      </c>
    </row>
  </sheetData>
  <mergeCells count="2">
    <mergeCell ref="A1:E1"/>
    <mergeCell ref="A2: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11" sqref="A11"/>
    </sheetView>
  </sheetViews>
  <sheetFormatPr defaultRowHeight="14.4"/>
  <cols>
    <col min="1" max="1" width="60.33203125" bestFit="1" customWidth="1"/>
    <col min="2" max="7" width="10.77734375" customWidth="1"/>
  </cols>
  <sheetData>
    <row r="1" spans="1:7">
      <c r="A1" s="763" t="s">
        <v>39</v>
      </c>
      <c r="B1" s="763"/>
      <c r="C1" s="763"/>
      <c r="D1" s="763"/>
      <c r="E1" s="763"/>
      <c r="F1" s="763"/>
      <c r="G1" s="763"/>
    </row>
    <row r="2" spans="1:7">
      <c r="A2" s="763" t="s">
        <v>645</v>
      </c>
      <c r="B2" s="763"/>
      <c r="C2" s="763"/>
      <c r="D2" s="763"/>
      <c r="E2" s="763"/>
      <c r="F2" s="763"/>
      <c r="G2" s="763"/>
    </row>
    <row r="3" spans="1:7" ht="15" thickBot="1"/>
    <row r="4" spans="1:7" ht="15" thickBot="1">
      <c r="A4" s="764" t="s">
        <v>650</v>
      </c>
      <c r="B4" s="765"/>
      <c r="C4" s="765"/>
      <c r="D4" s="765"/>
      <c r="E4" s="765"/>
      <c r="F4" s="765"/>
      <c r="G4" s="766"/>
    </row>
    <row r="5" spans="1:7" ht="28.8">
      <c r="A5" s="762"/>
      <c r="B5" s="761" t="s">
        <v>492</v>
      </c>
      <c r="C5" s="761" t="s">
        <v>651</v>
      </c>
      <c r="D5" s="761" t="s">
        <v>652</v>
      </c>
      <c r="E5" s="761" t="s">
        <v>653</v>
      </c>
      <c r="F5" s="761" t="s">
        <v>608</v>
      </c>
      <c r="G5" s="761" t="s">
        <v>607</v>
      </c>
    </row>
    <row r="6" spans="1:7">
      <c r="A6" s="759" t="s">
        <v>646</v>
      </c>
      <c r="B6" s="760">
        <v>17745.645637814188</v>
      </c>
      <c r="C6" s="760">
        <v>2227.8386548854764</v>
      </c>
      <c r="D6" s="760">
        <v>264.46826799348031</v>
      </c>
      <c r="E6" s="760">
        <v>33.277464184610103</v>
      </c>
      <c r="F6" s="760">
        <v>8.7572274170026585</v>
      </c>
      <c r="G6" s="760">
        <v>136.61274770524147</v>
      </c>
    </row>
    <row r="7" spans="1:7">
      <c r="A7" s="757" t="s">
        <v>647</v>
      </c>
      <c r="B7" s="758">
        <v>98212.743237539675</v>
      </c>
      <c r="C7" s="758">
        <v>12329.906178261988</v>
      </c>
      <c r="D7" s="758">
        <v>1463.6916925452517</v>
      </c>
      <c r="E7" s="758">
        <v>184.17312687655485</v>
      </c>
      <c r="F7" s="758">
        <v>48.466612335935487</v>
      </c>
      <c r="G7" s="758">
        <v>756.0791524405937</v>
      </c>
    </row>
    <row r="8" spans="1:7">
      <c r="A8" s="757" t="s">
        <v>648</v>
      </c>
      <c r="B8" s="758">
        <v>11514.426524834862</v>
      </c>
      <c r="C8" s="758">
        <v>1445.5537445311829</v>
      </c>
      <c r="D8" s="758">
        <v>171.60268508192502</v>
      </c>
      <c r="E8" s="758">
        <v>21.592390838123016</v>
      </c>
      <c r="F8" s="758">
        <v>5.6822081152955306</v>
      </c>
      <c r="G8" s="758">
        <v>88.642446598610277</v>
      </c>
    </row>
    <row r="9" spans="1:7">
      <c r="A9" s="757" t="s">
        <v>649</v>
      </c>
      <c r="B9" s="758">
        <v>3003.1901621343395</v>
      </c>
      <c r="C9" s="758">
        <v>377.02900574761946</v>
      </c>
      <c r="D9" s="758">
        <v>44.757374109976837</v>
      </c>
      <c r="E9" s="758">
        <v>5.6317225701295364</v>
      </c>
      <c r="F9" s="758">
        <v>1.4820322552972462</v>
      </c>
      <c r="G9" s="758">
        <v>23.119703182637043</v>
      </c>
    </row>
    <row r="10" spans="1:7">
      <c r="A10" s="757" t="s">
        <v>654</v>
      </c>
      <c r="B10" s="758">
        <v>1</v>
      </c>
      <c r="C10" s="758">
        <v>0.97893412375470401</v>
      </c>
      <c r="D10" s="758">
        <v>0.87457139646078097</v>
      </c>
      <c r="E10" s="758">
        <v>0.9922873547621609</v>
      </c>
      <c r="F10" s="758">
        <v>0.91193634389371658</v>
      </c>
      <c r="G10" s="758">
        <v>0.89065437105224765</v>
      </c>
    </row>
    <row r="12" spans="1:7" ht="15" thickBot="1"/>
    <row r="13" spans="1:7" ht="15" thickBot="1">
      <c r="A13" s="764" t="s">
        <v>655</v>
      </c>
      <c r="B13" s="765"/>
      <c r="C13" s="765"/>
      <c r="D13" s="765"/>
      <c r="E13" s="765"/>
      <c r="F13" s="765"/>
      <c r="G13" s="766"/>
    </row>
    <row r="14" spans="1:7" ht="28.8">
      <c r="A14" s="762"/>
      <c r="B14" s="761" t="s">
        <v>492</v>
      </c>
      <c r="C14" s="761" t="s">
        <v>651</v>
      </c>
      <c r="D14" s="761" t="s">
        <v>652</v>
      </c>
      <c r="E14" s="761" t="s">
        <v>653</v>
      </c>
      <c r="F14" s="761" t="s">
        <v>608</v>
      </c>
      <c r="G14" s="761" t="s">
        <v>607</v>
      </c>
    </row>
    <row r="15" spans="1:7">
      <c r="A15" s="759" t="s">
        <v>646</v>
      </c>
      <c r="B15" s="760">
        <v>17649.38781758265</v>
      </c>
      <c r="C15" s="760">
        <v>2218.1104709259062</v>
      </c>
      <c r="D15" s="760">
        <v>327.72473689805463</v>
      </c>
      <c r="E15" s="760">
        <v>41.236887424258526</v>
      </c>
      <c r="F15" s="760">
        <v>10.851812480068034</v>
      </c>
      <c r="G15" s="760">
        <v>169.28827468906132</v>
      </c>
    </row>
    <row r="16" spans="1:7">
      <c r="A16" s="757" t="s">
        <v>647</v>
      </c>
      <c r="B16" s="758">
        <v>97680.007220155196</v>
      </c>
      <c r="C16" s="758">
        <v>12276.065836079515</v>
      </c>
      <c r="D16" s="758">
        <v>1813.7827213776975</v>
      </c>
      <c r="E16" s="758">
        <v>228.22431593494204</v>
      </c>
      <c r="F16" s="758">
        <v>60.059030509195281</v>
      </c>
      <c r="G16" s="758">
        <v>936.92087594344639</v>
      </c>
    </row>
    <row r="17" spans="1:7">
      <c r="A17" s="757" t="s">
        <v>648</v>
      </c>
      <c r="B17" s="758">
        <v>11451.968746678005</v>
      </c>
      <c r="C17" s="758">
        <v>1439.2415222706495</v>
      </c>
      <c r="D17" s="758">
        <v>212.64723078558521</v>
      </c>
      <c r="E17" s="758">
        <v>26.756936324014028</v>
      </c>
      <c r="F17" s="758">
        <v>7.0412990326352718</v>
      </c>
      <c r="G17" s="758">
        <v>109.84426490911024</v>
      </c>
    </row>
    <row r="18" spans="1:7">
      <c r="A18" s="757" t="s">
        <v>649</v>
      </c>
      <c r="B18" s="758">
        <v>2986.8999383437863</v>
      </c>
      <c r="C18" s="758">
        <v>375.38265334325501</v>
      </c>
      <c r="D18" s="758">
        <v>55.46260338046136</v>
      </c>
      <c r="E18" s="758">
        <v>6.9787381737004353</v>
      </c>
      <c r="F18" s="758">
        <v>1.8365100457106411</v>
      </c>
      <c r="G18" s="758">
        <v>28.649556713086</v>
      </c>
    </row>
    <row r="19" spans="1:7">
      <c r="A19" s="757" t="s">
        <v>654</v>
      </c>
      <c r="B19" s="758">
        <v>1</v>
      </c>
      <c r="C19" s="758">
        <v>0.97912888793386332</v>
      </c>
      <c r="D19" s="758">
        <v>0.92493046009061386</v>
      </c>
      <c r="E19" s="758">
        <v>1.0427782429696566</v>
      </c>
      <c r="F19" s="758">
        <v>0.9623372507747604</v>
      </c>
      <c r="G19" s="758">
        <v>0.94103144525060234</v>
      </c>
    </row>
  </sheetData>
  <mergeCells count="4">
    <mergeCell ref="A1:G1"/>
    <mergeCell ref="A2:G2"/>
    <mergeCell ref="A4:G4"/>
    <mergeCell ref="A13:G1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13" workbookViewId="0">
      <selection sqref="A1:G2"/>
    </sheetView>
  </sheetViews>
  <sheetFormatPr defaultRowHeight="14.4"/>
  <cols>
    <col min="1" max="1" width="43.88671875" bestFit="1" customWidth="1"/>
    <col min="2" max="2" width="10.77734375" customWidth="1"/>
    <col min="3" max="7" width="12.77734375" customWidth="1"/>
  </cols>
  <sheetData>
    <row r="1" spans="1:7">
      <c r="A1" s="763" t="s">
        <v>39</v>
      </c>
      <c r="B1" s="763"/>
      <c r="C1" s="763"/>
      <c r="D1" s="763"/>
      <c r="E1" s="763"/>
      <c r="F1" s="763"/>
      <c r="G1" s="763"/>
    </row>
    <row r="2" spans="1:7">
      <c r="A2" s="763" t="s">
        <v>602</v>
      </c>
      <c r="B2" s="763"/>
      <c r="C2" s="763"/>
      <c r="D2" s="763"/>
      <c r="E2" s="763"/>
      <c r="F2" s="763"/>
      <c r="G2" s="763"/>
    </row>
    <row r="3" spans="1:7" ht="15" thickBot="1"/>
    <row r="4" spans="1:7" ht="15" thickBot="1">
      <c r="A4" s="764" t="s">
        <v>603</v>
      </c>
      <c r="B4" s="765"/>
      <c r="C4" s="765"/>
      <c r="D4" s="765"/>
      <c r="E4" s="765"/>
      <c r="F4" s="765"/>
      <c r="G4" s="766"/>
    </row>
    <row r="5" spans="1:7" ht="58.2" thickBot="1">
      <c r="A5" s="750" t="s">
        <v>610</v>
      </c>
      <c r="B5" s="742" t="s">
        <v>604</v>
      </c>
      <c r="C5" s="742" t="s">
        <v>623</v>
      </c>
      <c r="D5" s="742" t="s">
        <v>620</v>
      </c>
      <c r="E5" s="742" t="s">
        <v>621</v>
      </c>
      <c r="F5" s="742" t="s">
        <v>619</v>
      </c>
      <c r="G5" s="742" t="s">
        <v>622</v>
      </c>
    </row>
    <row r="6" spans="1:7">
      <c r="A6" t="s">
        <v>492</v>
      </c>
      <c r="B6" s="743" t="s">
        <v>498</v>
      </c>
      <c r="C6" s="751">
        <v>83654165</v>
      </c>
      <c r="D6" s="739">
        <v>6.0000000000000001E-3</v>
      </c>
      <c r="E6" s="649">
        <f>C6*D6</f>
        <v>501924.99</v>
      </c>
      <c r="F6" s="739">
        <v>5.8210802582404804E-3</v>
      </c>
      <c r="G6" s="649">
        <f>C6*F6</f>
        <v>486957.60840109177</v>
      </c>
    </row>
    <row r="7" spans="1:7">
      <c r="A7" t="s">
        <v>605</v>
      </c>
      <c r="B7" s="743" t="s">
        <v>498</v>
      </c>
      <c r="C7" s="751">
        <v>30861804</v>
      </c>
      <c r="D7" s="739">
        <v>5.3E-3</v>
      </c>
      <c r="E7" s="649">
        <f t="shared" ref="E7:E11" si="0">C7*D7</f>
        <v>163567.5612</v>
      </c>
      <c r="F7" s="739">
        <v>5.1419542624014077E-3</v>
      </c>
      <c r="G7" s="649">
        <f t="shared" ref="G7:G11" si="1">C7*F7</f>
        <v>158689.98462319683</v>
      </c>
    </row>
    <row r="8" spans="1:7">
      <c r="A8" t="s">
        <v>606</v>
      </c>
      <c r="B8" s="743" t="s">
        <v>500</v>
      </c>
      <c r="C8" s="751">
        <v>219807</v>
      </c>
      <c r="D8" s="739">
        <v>2.2134999999999998</v>
      </c>
      <c r="E8" s="649">
        <f t="shared" si="0"/>
        <v>486542.79449999996</v>
      </c>
      <c r="F8" s="739">
        <v>2.1474935112627977</v>
      </c>
      <c r="G8" s="649">
        <f t="shared" si="1"/>
        <v>472034.10623014177</v>
      </c>
    </row>
    <row r="9" spans="1:7">
      <c r="A9" t="s">
        <v>607</v>
      </c>
      <c r="B9" s="743" t="s">
        <v>500</v>
      </c>
      <c r="C9" s="751">
        <v>495</v>
      </c>
      <c r="D9" s="739">
        <v>1.6776</v>
      </c>
      <c r="E9" s="649">
        <f t="shared" si="0"/>
        <v>830.41200000000003</v>
      </c>
      <c r="F9" s="739">
        <v>1.6275724820691408</v>
      </c>
      <c r="G9" s="649">
        <f t="shared" si="1"/>
        <v>805.64837862422473</v>
      </c>
    </row>
    <row r="10" spans="1:7">
      <c r="A10" t="s">
        <v>608</v>
      </c>
      <c r="B10" s="743" t="s">
        <v>500</v>
      </c>
      <c r="C10" s="751">
        <v>3027</v>
      </c>
      <c r="D10" s="739">
        <v>1.6693</v>
      </c>
      <c r="E10" s="649">
        <f t="shared" si="0"/>
        <v>5052.9710999999998</v>
      </c>
      <c r="F10" s="739">
        <v>1.6195222819711086</v>
      </c>
      <c r="G10" s="649">
        <f t="shared" si="1"/>
        <v>4902.2939475265457</v>
      </c>
    </row>
    <row r="11" spans="1:7">
      <c r="A11" t="s">
        <v>609</v>
      </c>
      <c r="B11" s="743" t="s">
        <v>498</v>
      </c>
      <c r="C11" s="751">
        <v>631786</v>
      </c>
      <c r="D11" s="739">
        <v>5.3E-3</v>
      </c>
      <c r="E11" s="752">
        <f t="shared" si="0"/>
        <v>3348.4657999999999</v>
      </c>
      <c r="F11" s="739">
        <v>5.1419438709056371E-3</v>
      </c>
      <c r="G11" s="752">
        <f t="shared" si="1"/>
        <v>3248.6081504239887</v>
      </c>
    </row>
    <row r="13" spans="1:7" ht="15" thickBot="1">
      <c r="A13" s="738" t="s">
        <v>2</v>
      </c>
      <c r="E13" s="753">
        <f>SUM(E6:E11)</f>
        <v>1161267.1945999998</v>
      </c>
      <c r="G13" s="753">
        <f>SUM(G6:G11)</f>
        <v>1126638.2497310049</v>
      </c>
    </row>
    <row r="15" spans="1:7" ht="15" thickBot="1"/>
    <row r="16" spans="1:7" ht="15" thickBot="1">
      <c r="A16" s="764" t="s">
        <v>624</v>
      </c>
      <c r="B16" s="765"/>
      <c r="C16" s="765"/>
      <c r="D16" s="765"/>
      <c r="E16" s="765"/>
      <c r="F16" s="765"/>
      <c r="G16" s="766"/>
    </row>
    <row r="17" spans="1:7" ht="58.2" thickBot="1">
      <c r="A17" s="750" t="s">
        <v>610</v>
      </c>
      <c r="B17" s="742" t="s">
        <v>604</v>
      </c>
      <c r="C17" s="742" t="s">
        <v>623</v>
      </c>
      <c r="D17" s="742" t="s">
        <v>620</v>
      </c>
      <c r="E17" s="742" t="s">
        <v>621</v>
      </c>
      <c r="F17" s="742" t="s">
        <v>619</v>
      </c>
      <c r="G17" s="742" t="s">
        <v>622</v>
      </c>
    </row>
    <row r="18" spans="1:7">
      <c r="A18" t="s">
        <v>492</v>
      </c>
      <c r="B18" s="743" t="s">
        <v>498</v>
      </c>
      <c r="C18" s="751">
        <v>83654165</v>
      </c>
      <c r="D18" s="739">
        <v>5.0000000000000001E-3</v>
      </c>
      <c r="E18" s="649">
        <f>C18*D18</f>
        <v>418270.82500000001</v>
      </c>
      <c r="F18" s="739">
        <v>5.0795468667211687E-3</v>
      </c>
      <c r="G18" s="649">
        <f>C18*F18</f>
        <v>424925.25171392568</v>
      </c>
    </row>
    <row r="19" spans="1:7">
      <c r="A19" t="s">
        <v>605</v>
      </c>
      <c r="B19" s="743" t="s">
        <v>498</v>
      </c>
      <c r="C19" s="751">
        <v>30861804</v>
      </c>
      <c r="D19" s="739">
        <v>4.4000000000000003E-3</v>
      </c>
      <c r="E19" s="649">
        <f t="shared" ref="E19:E23" si="2">C19*D19</f>
        <v>135791.9376</v>
      </c>
      <c r="F19" s="739">
        <v>4.470001094796193E-3</v>
      </c>
      <c r="G19" s="649">
        <f t="shared" ref="G19:G23" si="3">C19*F19</f>
        <v>137952.29766738552</v>
      </c>
    </row>
    <row r="20" spans="1:7">
      <c r="A20" t="s">
        <v>606</v>
      </c>
      <c r="B20" s="743" t="s">
        <v>500</v>
      </c>
      <c r="C20" s="751">
        <v>219807</v>
      </c>
      <c r="D20" s="739">
        <v>1.7725</v>
      </c>
      <c r="E20" s="649">
        <f t="shared" si="2"/>
        <v>389607.90749999997</v>
      </c>
      <c r="F20" s="739">
        <v>1.8006993869599521</v>
      </c>
      <c r="G20" s="649">
        <f t="shared" si="3"/>
        <v>395806.33014950622</v>
      </c>
    </row>
    <row r="21" spans="1:7">
      <c r="A21" t="s">
        <v>607</v>
      </c>
      <c r="B21" s="743" t="s">
        <v>500</v>
      </c>
      <c r="C21" s="751">
        <v>495</v>
      </c>
      <c r="D21" s="739">
        <v>1.3993</v>
      </c>
      <c r="E21" s="649">
        <f t="shared" si="2"/>
        <v>692.65350000000001</v>
      </c>
      <c r="F21" s="739">
        <v>1.4215606867287551</v>
      </c>
      <c r="G21" s="649">
        <f t="shared" si="3"/>
        <v>703.67253993073382</v>
      </c>
    </row>
    <row r="22" spans="1:7">
      <c r="A22" t="s">
        <v>608</v>
      </c>
      <c r="B22" s="743" t="s">
        <v>500</v>
      </c>
      <c r="C22" s="751">
        <v>3027</v>
      </c>
      <c r="D22" s="739">
        <v>1.3704000000000001</v>
      </c>
      <c r="E22" s="649">
        <f t="shared" si="2"/>
        <v>4148.2008000000005</v>
      </c>
      <c r="F22" s="739">
        <v>1.3922009993301208</v>
      </c>
      <c r="G22" s="649">
        <f t="shared" si="3"/>
        <v>4214.1924249722751</v>
      </c>
    </row>
    <row r="23" spans="1:7">
      <c r="A23" t="s">
        <v>609</v>
      </c>
      <c r="B23" s="743" t="s">
        <v>498</v>
      </c>
      <c r="C23" s="751">
        <v>631786</v>
      </c>
      <c r="D23" s="739">
        <v>4.4000000000000003E-3</v>
      </c>
      <c r="E23" s="752">
        <f t="shared" si="2"/>
        <v>2779.8584000000001</v>
      </c>
      <c r="F23" s="739">
        <v>4.4699946496663534E-3</v>
      </c>
      <c r="G23" s="752">
        <f t="shared" si="3"/>
        <v>2824.0800397341068</v>
      </c>
    </row>
    <row r="25" spans="1:7" ht="15" thickBot="1">
      <c r="A25" s="738" t="s">
        <v>2</v>
      </c>
      <c r="E25" s="753">
        <f>SUM(E18:E23)</f>
        <v>951291.38280000002</v>
      </c>
      <c r="G25" s="753">
        <f>SUM(G18:G23)</f>
        <v>966425.82453545462</v>
      </c>
    </row>
  </sheetData>
  <mergeCells count="4">
    <mergeCell ref="A1:G1"/>
    <mergeCell ref="A2:G2"/>
    <mergeCell ref="A4:G4"/>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18" sqref="B18"/>
    </sheetView>
  </sheetViews>
  <sheetFormatPr defaultRowHeight="14.4"/>
  <cols>
    <col min="1" max="1" width="49.21875" bestFit="1" customWidth="1"/>
    <col min="2" max="2" width="17" customWidth="1"/>
    <col min="3" max="3" width="16.5546875" bestFit="1" customWidth="1"/>
    <col min="4" max="5" width="17" customWidth="1"/>
  </cols>
  <sheetData>
    <row r="1" spans="1:5">
      <c r="A1" s="763" t="s">
        <v>39</v>
      </c>
      <c r="B1" s="763"/>
      <c r="C1" s="763"/>
      <c r="D1" s="763"/>
      <c r="E1" s="763"/>
    </row>
    <row r="2" spans="1:5">
      <c r="A2" s="763" t="s">
        <v>311</v>
      </c>
      <c r="B2" s="763"/>
      <c r="C2" s="763"/>
      <c r="D2" s="763"/>
      <c r="E2" s="763"/>
    </row>
    <row r="5" spans="1:5">
      <c r="A5" s="1" t="s">
        <v>0</v>
      </c>
      <c r="B5" s="2">
        <v>2023</v>
      </c>
      <c r="C5" s="2">
        <v>2024</v>
      </c>
      <c r="D5" s="2">
        <v>2025</v>
      </c>
      <c r="E5" s="2">
        <v>2026</v>
      </c>
    </row>
    <row r="6" spans="1:5">
      <c r="A6" s="3"/>
      <c r="B6" s="4"/>
      <c r="C6" s="4"/>
      <c r="D6" s="4"/>
      <c r="E6" s="4"/>
    </row>
    <row r="7" spans="1:5">
      <c r="A7" s="3" t="s">
        <v>3</v>
      </c>
      <c r="B7" s="5"/>
      <c r="C7" s="5"/>
      <c r="D7" s="5"/>
      <c r="E7" s="5"/>
    </row>
    <row r="8" spans="1:5">
      <c r="A8" s="6" t="s">
        <v>312</v>
      </c>
      <c r="B8" s="7">
        <v>40750</v>
      </c>
      <c r="C8" s="7">
        <v>67910</v>
      </c>
      <c r="D8" s="7">
        <v>81490</v>
      </c>
      <c r="E8" s="7">
        <v>81490</v>
      </c>
    </row>
    <row r="9" spans="1:5">
      <c r="A9" s="6" t="s">
        <v>313</v>
      </c>
      <c r="B9" s="7">
        <v>86060</v>
      </c>
      <c r="C9" s="7">
        <v>68800</v>
      </c>
      <c r="D9" s="7">
        <v>88840</v>
      </c>
      <c r="E9" s="7">
        <v>56550</v>
      </c>
    </row>
    <row r="10" spans="1:5">
      <c r="A10" s="6" t="s">
        <v>314</v>
      </c>
      <c r="B10" s="7">
        <v>85730</v>
      </c>
      <c r="C10" s="7">
        <v>98650</v>
      </c>
      <c r="D10" s="7">
        <v>35470</v>
      </c>
      <c r="E10" s="7">
        <v>41380</v>
      </c>
    </row>
    <row r="11" spans="1:5">
      <c r="A11" s="9"/>
      <c r="B11" s="7"/>
      <c r="C11" s="7"/>
      <c r="D11" s="7"/>
      <c r="E11" s="7"/>
    </row>
    <row r="12" spans="1:5">
      <c r="A12" s="1" t="s">
        <v>12</v>
      </c>
      <c r="B12" s="10">
        <f>SUM(B8:B11)</f>
        <v>212540</v>
      </c>
      <c r="C12" s="10">
        <f>SUM(C8:C11)</f>
        <v>235360</v>
      </c>
      <c r="D12" s="10">
        <f>SUM(D8:D11)</f>
        <v>205800</v>
      </c>
      <c r="E12" s="10">
        <f>SUM(E8:E11)</f>
        <v>179420</v>
      </c>
    </row>
    <row r="13" spans="1:5">
      <c r="A13" s="11" t="s">
        <v>13</v>
      </c>
      <c r="B13" s="12"/>
      <c r="C13" s="12"/>
      <c r="D13" s="12"/>
      <c r="E13" s="12"/>
    </row>
    <row r="14" spans="1:5">
      <c r="A14" s="22" t="s">
        <v>315</v>
      </c>
      <c r="B14" s="7">
        <v>48110</v>
      </c>
      <c r="C14" s="7">
        <v>60140</v>
      </c>
      <c r="D14" s="7">
        <v>64950</v>
      </c>
      <c r="E14" s="7">
        <v>67360</v>
      </c>
    </row>
    <row r="15" spans="1:5">
      <c r="A15" s="22" t="s">
        <v>316</v>
      </c>
      <c r="B15" s="7">
        <v>463490</v>
      </c>
      <c r="C15" s="7">
        <v>483640</v>
      </c>
      <c r="D15" s="7">
        <v>523940</v>
      </c>
      <c r="E15" s="7">
        <v>544090</v>
      </c>
    </row>
    <row r="16" spans="1:5">
      <c r="A16" s="22" t="s">
        <v>317</v>
      </c>
      <c r="B16" s="7">
        <v>227010</v>
      </c>
      <c r="C16" s="7">
        <v>227010</v>
      </c>
      <c r="D16" s="7">
        <v>272410</v>
      </c>
      <c r="E16" s="7">
        <v>181610</v>
      </c>
    </row>
    <row r="17" spans="1:5">
      <c r="A17" s="22"/>
      <c r="B17" s="7"/>
      <c r="C17" s="7"/>
      <c r="D17" s="7"/>
      <c r="E17" s="7"/>
    </row>
    <row r="18" spans="1:5">
      <c r="A18" s="15" t="s">
        <v>12</v>
      </c>
      <c r="B18" s="10">
        <f>SUM(B14:B17)</f>
        <v>738610</v>
      </c>
      <c r="C18" s="10">
        <f>SUM(C14:C17)</f>
        <v>770790</v>
      </c>
      <c r="D18" s="10">
        <f>SUM(D14:D17)</f>
        <v>861300</v>
      </c>
      <c r="E18" s="10">
        <f>SUM(E14:E17)</f>
        <v>793060</v>
      </c>
    </row>
    <row r="19" spans="1:5">
      <c r="A19" s="11" t="s">
        <v>25</v>
      </c>
      <c r="B19" s="12"/>
      <c r="C19" s="12"/>
      <c r="D19" s="12"/>
      <c r="E19" s="12"/>
    </row>
    <row r="20" spans="1:5">
      <c r="A20" s="6" t="s">
        <v>318</v>
      </c>
      <c r="B20" s="7">
        <v>51910</v>
      </c>
      <c r="C20" s="7">
        <v>62300</v>
      </c>
      <c r="D20" s="7">
        <v>70080</v>
      </c>
      <c r="E20" s="7">
        <v>75270</v>
      </c>
    </row>
    <row r="21" spans="1:5">
      <c r="A21" s="6" t="s">
        <v>319</v>
      </c>
      <c r="B21" s="7">
        <v>110000</v>
      </c>
      <c r="C21" s="7">
        <v>0</v>
      </c>
      <c r="D21" s="7">
        <v>0</v>
      </c>
      <c r="E21" s="7">
        <v>0</v>
      </c>
    </row>
    <row r="22" spans="1:5">
      <c r="A22" s="9"/>
      <c r="B22" s="7"/>
      <c r="C22" s="7"/>
      <c r="D22" s="7"/>
      <c r="E22" s="7"/>
    </row>
    <row r="23" spans="1:5">
      <c r="A23" s="15" t="s">
        <v>12</v>
      </c>
      <c r="B23" s="16">
        <f>SUM(B20:B22)</f>
        <v>161910</v>
      </c>
      <c r="C23" s="16">
        <f>SUM(C20:C22)</f>
        <v>62300</v>
      </c>
      <c r="D23" s="16">
        <f>SUM(D20:D22)</f>
        <v>70080</v>
      </c>
      <c r="E23" s="16">
        <f>SUM(E20:E22)</f>
        <v>75270</v>
      </c>
    </row>
    <row r="24" spans="1:5">
      <c r="A24" s="11" t="s">
        <v>27</v>
      </c>
      <c r="B24" s="12"/>
      <c r="C24" s="12"/>
      <c r="D24" s="12"/>
      <c r="E24" s="12"/>
    </row>
    <row r="25" spans="1:5">
      <c r="A25" s="6" t="s">
        <v>320</v>
      </c>
      <c r="B25" s="7">
        <v>1400</v>
      </c>
      <c r="C25" s="7">
        <v>12400</v>
      </c>
      <c r="D25" s="7">
        <v>1400</v>
      </c>
      <c r="E25" s="7">
        <v>11400</v>
      </c>
    </row>
    <row r="26" spans="1:5">
      <c r="A26" s="6" t="s">
        <v>321</v>
      </c>
      <c r="B26" s="7">
        <v>5000</v>
      </c>
      <c r="C26" s="7">
        <v>5000</v>
      </c>
      <c r="D26" s="7">
        <v>5000</v>
      </c>
      <c r="E26" s="7">
        <v>412000</v>
      </c>
    </row>
    <row r="27" spans="1:5">
      <c r="A27" s="6" t="s">
        <v>322</v>
      </c>
      <c r="B27" s="7">
        <v>0</v>
      </c>
      <c r="C27" s="7">
        <v>0</v>
      </c>
      <c r="D27" s="7">
        <v>0</v>
      </c>
      <c r="E27" s="7">
        <v>0</v>
      </c>
    </row>
    <row r="28" spans="1:5">
      <c r="A28" s="6" t="s">
        <v>323</v>
      </c>
      <c r="B28" s="7">
        <v>13000</v>
      </c>
      <c r="C28" s="7">
        <v>12500</v>
      </c>
      <c r="D28" s="7">
        <v>1000</v>
      </c>
      <c r="E28" s="7">
        <v>5000</v>
      </c>
    </row>
    <row r="29" spans="1:5">
      <c r="A29" s="9"/>
      <c r="B29" s="7"/>
      <c r="C29" s="7"/>
      <c r="D29" s="7"/>
      <c r="E29" s="7"/>
    </row>
    <row r="30" spans="1:5" ht="15" thickBot="1">
      <c r="A30" s="17" t="s">
        <v>12</v>
      </c>
      <c r="B30" s="18">
        <f>SUM(B25:B29)</f>
        <v>19400</v>
      </c>
      <c r="C30" s="18">
        <f>SUM(C25:C29)</f>
        <v>29900</v>
      </c>
      <c r="D30" s="18">
        <f>SUM(D25:D29)</f>
        <v>7400</v>
      </c>
      <c r="E30" s="18">
        <f>SUM(E25:E29)</f>
        <v>428400</v>
      </c>
    </row>
    <row r="31" spans="1:5" ht="15.6" thickTop="1" thickBot="1">
      <c r="A31" s="19" t="s">
        <v>2</v>
      </c>
      <c r="B31" s="20">
        <f>B12+B18+B23+B30</f>
        <v>1132460</v>
      </c>
      <c r="C31" s="20">
        <f>C12+C18+C23+C30</f>
        <v>1098350</v>
      </c>
      <c r="D31" s="20">
        <f>D12+D18+D23+D30</f>
        <v>1144580</v>
      </c>
      <c r="E31" s="20">
        <f>E12+E18+E23+E30</f>
        <v>1476150</v>
      </c>
    </row>
  </sheetData>
  <mergeCells count="2">
    <mergeCell ref="A1:E1"/>
    <mergeCell ref="A2:E2"/>
  </mergeCells>
  <pageMargins left="0.7" right="0.7" top="0.75" bottom="0.75" header="0.3" footer="0.3"/>
  <pageSetup orientation="portrait" r:id="rId1"/>
  <ignoredErrors>
    <ignoredError sqref="B12:E1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sqref="A1:F1"/>
    </sheetView>
  </sheetViews>
  <sheetFormatPr defaultRowHeight="14.4"/>
  <cols>
    <col min="1" max="1" width="38.88671875" bestFit="1" customWidth="1"/>
    <col min="2" max="2" width="72.44140625" customWidth="1"/>
    <col min="3" max="6" width="12.77734375" customWidth="1"/>
  </cols>
  <sheetData>
    <row r="1" spans="1:6">
      <c r="A1" s="763" t="s">
        <v>39</v>
      </c>
      <c r="B1" s="763"/>
      <c r="C1" s="763"/>
      <c r="D1" s="763"/>
      <c r="E1" s="763"/>
      <c r="F1" s="763"/>
    </row>
    <row r="2" spans="1:6">
      <c r="A2" s="763" t="s">
        <v>324</v>
      </c>
      <c r="B2" s="763"/>
      <c r="C2" s="763"/>
      <c r="D2" s="763"/>
      <c r="E2" s="763"/>
      <c r="F2" s="763"/>
    </row>
    <row r="3" spans="1:6" ht="15" thickBot="1"/>
    <row r="4" spans="1:6" ht="15" thickBot="1">
      <c r="B4" s="764" t="s">
        <v>331</v>
      </c>
      <c r="C4" s="765"/>
      <c r="D4" s="765"/>
      <c r="E4" s="765"/>
      <c r="F4" s="766"/>
    </row>
    <row r="5" spans="1:6" ht="15" thickBot="1">
      <c r="B5" s="575"/>
      <c r="C5" s="575"/>
      <c r="D5" s="575"/>
      <c r="E5" s="575"/>
      <c r="F5" s="575"/>
    </row>
    <row r="6" spans="1:6" ht="72.599999999999994" thickBot="1">
      <c r="A6" s="576" t="s">
        <v>325</v>
      </c>
      <c r="B6" s="574" t="s">
        <v>335</v>
      </c>
      <c r="C6" s="574" t="s">
        <v>334</v>
      </c>
      <c r="D6" s="574" t="s">
        <v>336</v>
      </c>
      <c r="E6" s="574" t="s">
        <v>332</v>
      </c>
      <c r="F6" s="574" t="s">
        <v>333</v>
      </c>
    </row>
    <row r="7" spans="1:6" ht="72">
      <c r="A7" s="577" t="s">
        <v>326</v>
      </c>
      <c r="B7" s="578" t="s">
        <v>337</v>
      </c>
      <c r="C7" s="579">
        <v>2196</v>
      </c>
      <c r="D7" s="579">
        <v>-5450</v>
      </c>
      <c r="E7" s="579">
        <f>(41+20)/2</f>
        <v>30.5</v>
      </c>
      <c r="F7" s="579">
        <f>(25+9)/2</f>
        <v>17</v>
      </c>
    </row>
    <row r="8" spans="1:6" ht="57.6">
      <c r="A8" s="577" t="s">
        <v>327</v>
      </c>
      <c r="B8" s="578" t="s">
        <v>338</v>
      </c>
      <c r="C8" s="579">
        <v>64502</v>
      </c>
      <c r="D8" s="579">
        <v>-51900</v>
      </c>
      <c r="E8" s="579">
        <f>(296)</f>
        <v>296</v>
      </c>
      <c r="F8" s="579">
        <f>(296)</f>
        <v>296</v>
      </c>
    </row>
    <row r="9" spans="1:6" ht="72">
      <c r="A9" s="577" t="s">
        <v>328</v>
      </c>
      <c r="B9" s="578" t="s">
        <v>339</v>
      </c>
      <c r="C9" s="579">
        <v>33263</v>
      </c>
      <c r="D9" s="579">
        <v>-50600</v>
      </c>
      <c r="E9" s="579">
        <f>188</f>
        <v>188</v>
      </c>
      <c r="F9" s="579">
        <f>188</f>
        <v>188</v>
      </c>
    </row>
    <row r="10" spans="1:6" ht="72">
      <c r="A10" s="577" t="s">
        <v>329</v>
      </c>
      <c r="B10" s="578" t="s">
        <v>341</v>
      </c>
      <c r="C10" s="579">
        <v>42500</v>
      </c>
      <c r="D10" s="579">
        <v>-25000</v>
      </c>
      <c r="E10" s="579">
        <v>225</v>
      </c>
      <c r="F10" s="579">
        <v>225</v>
      </c>
    </row>
    <row r="11" spans="1:6" ht="86.4">
      <c r="A11" s="577" t="s">
        <v>330</v>
      </c>
      <c r="B11" s="578" t="s">
        <v>340</v>
      </c>
      <c r="C11" s="579">
        <v>12000</v>
      </c>
      <c r="D11" s="579">
        <v>-8000</v>
      </c>
      <c r="E11" s="579">
        <v>65</v>
      </c>
      <c r="F11" s="579">
        <v>65</v>
      </c>
    </row>
  </sheetData>
  <mergeCells count="3">
    <mergeCell ref="A1:F1"/>
    <mergeCell ref="A2:F2"/>
    <mergeCell ref="B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workbookViewId="0">
      <selection activeCell="R28" sqref="R7:R28"/>
    </sheetView>
  </sheetViews>
  <sheetFormatPr defaultRowHeight="14.4"/>
  <cols>
    <col min="1" max="18" width="17.6640625" customWidth="1"/>
  </cols>
  <sheetData>
    <row r="1" spans="1:19">
      <c r="A1" s="763" t="s">
        <v>39</v>
      </c>
      <c r="B1" s="763"/>
      <c r="C1" s="763"/>
      <c r="D1" s="763"/>
      <c r="E1" s="763"/>
      <c r="F1" s="763"/>
      <c r="G1" s="763"/>
      <c r="H1" s="763"/>
      <c r="I1" s="763"/>
      <c r="J1" s="763"/>
      <c r="K1" s="763"/>
      <c r="L1" s="763"/>
      <c r="M1" s="763"/>
      <c r="N1" s="763"/>
      <c r="O1" s="763"/>
      <c r="P1" s="763"/>
      <c r="Q1" s="763"/>
      <c r="R1" s="763"/>
    </row>
    <row r="2" spans="1:19">
      <c r="A2" s="763" t="s">
        <v>302</v>
      </c>
      <c r="B2" s="763"/>
      <c r="C2" s="763"/>
      <c r="D2" s="763"/>
      <c r="E2" s="763"/>
      <c r="F2" s="763"/>
      <c r="G2" s="763"/>
      <c r="H2" s="763"/>
      <c r="I2" s="763"/>
      <c r="J2" s="763"/>
      <c r="K2" s="763"/>
      <c r="L2" s="763"/>
      <c r="M2" s="763"/>
      <c r="N2" s="763"/>
      <c r="O2" s="763"/>
      <c r="P2" s="763"/>
      <c r="Q2" s="763"/>
      <c r="R2" s="763"/>
    </row>
    <row r="3" spans="1:19" ht="15" thickBot="1"/>
    <row r="4" spans="1:19" ht="16.5" customHeight="1" thickBot="1">
      <c r="A4" s="767" t="s">
        <v>490</v>
      </c>
      <c r="B4" s="767"/>
      <c r="C4" s="768" t="s">
        <v>491</v>
      </c>
      <c r="D4" s="769"/>
      <c r="E4" s="769"/>
      <c r="F4" s="769"/>
      <c r="G4" s="769"/>
      <c r="H4" s="769"/>
      <c r="I4" s="769"/>
      <c r="J4" s="769"/>
      <c r="K4" s="769"/>
      <c r="L4" s="769"/>
      <c r="M4" s="769"/>
      <c r="N4" s="769"/>
      <c r="O4" s="769"/>
      <c r="P4" s="769"/>
      <c r="Q4" s="769"/>
      <c r="R4" s="769"/>
      <c r="S4" s="636"/>
    </row>
    <row r="5" spans="1:19">
      <c r="A5" s="634"/>
      <c r="B5" s="624"/>
      <c r="C5" s="770" t="s">
        <v>492</v>
      </c>
      <c r="D5" s="771"/>
      <c r="E5" s="772" t="s">
        <v>493</v>
      </c>
      <c r="F5" s="771"/>
      <c r="G5" s="773" t="s">
        <v>494</v>
      </c>
      <c r="H5" s="774"/>
      <c r="I5" s="775"/>
      <c r="J5" s="773" t="s">
        <v>495</v>
      </c>
      <c r="K5" s="774"/>
      <c r="L5" s="775"/>
      <c r="M5" s="773" t="s">
        <v>496</v>
      </c>
      <c r="N5" s="774"/>
      <c r="O5" s="775"/>
      <c r="P5" s="776" t="s">
        <v>497</v>
      </c>
      <c r="Q5" s="777"/>
      <c r="R5" s="775"/>
      <c r="S5" s="636"/>
    </row>
    <row r="6" spans="1:19" ht="38.25" customHeight="1">
      <c r="A6" s="634"/>
      <c r="B6" s="624"/>
      <c r="C6" s="628" t="s">
        <v>498</v>
      </c>
      <c r="D6" s="624" t="s">
        <v>499</v>
      </c>
      <c r="E6" s="642" t="s">
        <v>498</v>
      </c>
      <c r="F6" s="624" t="s">
        <v>499</v>
      </c>
      <c r="G6" s="642" t="s">
        <v>498</v>
      </c>
      <c r="H6" s="634" t="s">
        <v>500</v>
      </c>
      <c r="I6" s="624" t="s">
        <v>499</v>
      </c>
      <c r="J6" s="642" t="s">
        <v>498</v>
      </c>
      <c r="K6" s="634" t="s">
        <v>500</v>
      </c>
      <c r="L6" s="624" t="s">
        <v>515</v>
      </c>
      <c r="M6" s="642" t="s">
        <v>498</v>
      </c>
      <c r="N6" s="634" t="s">
        <v>500</v>
      </c>
      <c r="O6" s="624" t="s">
        <v>515</v>
      </c>
      <c r="P6" s="642" t="s">
        <v>498</v>
      </c>
      <c r="Q6" s="646" t="s">
        <v>514</v>
      </c>
      <c r="R6" s="624" t="s">
        <v>515</v>
      </c>
      <c r="S6" s="636"/>
    </row>
    <row r="7" spans="1:19">
      <c r="A7" s="633">
        <v>2020</v>
      </c>
      <c r="B7" s="622" t="s">
        <v>504</v>
      </c>
      <c r="C7" s="632">
        <v>8252808</v>
      </c>
      <c r="D7" s="637">
        <v>9912</v>
      </c>
      <c r="E7" s="630">
        <v>2851727</v>
      </c>
      <c r="F7" s="637">
        <v>1282</v>
      </c>
      <c r="G7" s="630">
        <v>6440679</v>
      </c>
      <c r="H7" s="639">
        <v>15098</v>
      </c>
      <c r="I7" s="637">
        <v>149</v>
      </c>
      <c r="J7" s="630">
        <v>19661</v>
      </c>
      <c r="K7" s="626">
        <v>43</v>
      </c>
      <c r="L7" s="637">
        <v>171</v>
      </c>
      <c r="M7" s="630">
        <v>106653</v>
      </c>
      <c r="N7" s="623">
        <v>236</v>
      </c>
      <c r="O7" s="637">
        <v>2875</v>
      </c>
      <c r="P7" s="630">
        <v>51241</v>
      </c>
      <c r="Q7" s="637">
        <v>19</v>
      </c>
      <c r="R7" s="637">
        <v>88</v>
      </c>
      <c r="S7" s="638"/>
    </row>
    <row r="8" spans="1:19">
      <c r="A8" s="633">
        <v>2020</v>
      </c>
      <c r="B8" s="622" t="s">
        <v>505</v>
      </c>
      <c r="C8" s="632">
        <v>7653590</v>
      </c>
      <c r="D8" s="637">
        <v>9916</v>
      </c>
      <c r="E8" s="630">
        <v>2655070</v>
      </c>
      <c r="F8" s="637">
        <v>1280</v>
      </c>
      <c r="G8" s="630">
        <v>5907939</v>
      </c>
      <c r="H8" s="639">
        <v>14713</v>
      </c>
      <c r="I8" s="637">
        <v>149</v>
      </c>
      <c r="J8" s="630">
        <v>16528</v>
      </c>
      <c r="K8" s="626">
        <v>43</v>
      </c>
      <c r="L8" s="637">
        <v>171</v>
      </c>
      <c r="M8" s="630">
        <v>91818</v>
      </c>
      <c r="N8" s="623">
        <v>236</v>
      </c>
      <c r="O8" s="637">
        <v>2875</v>
      </c>
      <c r="P8" s="630">
        <v>48847</v>
      </c>
      <c r="Q8" s="637">
        <v>19</v>
      </c>
      <c r="R8" s="637">
        <v>88</v>
      </c>
      <c r="S8" s="638"/>
    </row>
    <row r="9" spans="1:19">
      <c r="A9" s="633">
        <v>2020</v>
      </c>
      <c r="B9" s="622" t="s">
        <v>506</v>
      </c>
      <c r="C9" s="632">
        <v>7390200</v>
      </c>
      <c r="D9" s="637">
        <v>9928</v>
      </c>
      <c r="E9" s="630">
        <v>2392130</v>
      </c>
      <c r="F9" s="637">
        <v>1280</v>
      </c>
      <c r="G9" s="630">
        <v>5610578</v>
      </c>
      <c r="H9" s="639">
        <v>14021</v>
      </c>
      <c r="I9" s="637">
        <v>149</v>
      </c>
      <c r="J9" s="630">
        <v>16258</v>
      </c>
      <c r="K9" s="626">
        <v>44</v>
      </c>
      <c r="L9" s="637">
        <v>171</v>
      </c>
      <c r="M9" s="630">
        <v>87913</v>
      </c>
      <c r="N9" s="623">
        <v>236</v>
      </c>
      <c r="O9" s="637">
        <v>2875</v>
      </c>
      <c r="P9" s="630">
        <v>49981</v>
      </c>
      <c r="Q9" s="637">
        <v>19</v>
      </c>
      <c r="R9" s="637">
        <v>88</v>
      </c>
      <c r="S9" s="638"/>
    </row>
    <row r="10" spans="1:19">
      <c r="A10" s="633">
        <v>2020</v>
      </c>
      <c r="B10" s="622" t="s">
        <v>507</v>
      </c>
      <c r="C10" s="632">
        <v>6556759</v>
      </c>
      <c r="D10" s="637">
        <v>9943</v>
      </c>
      <c r="E10" s="630">
        <v>1855781</v>
      </c>
      <c r="F10" s="637">
        <v>1281</v>
      </c>
      <c r="G10" s="630">
        <v>4999240</v>
      </c>
      <c r="H10" s="639">
        <v>36779</v>
      </c>
      <c r="I10" s="637">
        <v>149</v>
      </c>
      <c r="J10" s="630">
        <v>16645</v>
      </c>
      <c r="K10" s="626">
        <v>43</v>
      </c>
      <c r="L10" s="637">
        <v>171</v>
      </c>
      <c r="M10" s="630">
        <v>74549</v>
      </c>
      <c r="N10" s="623">
        <v>236</v>
      </c>
      <c r="O10" s="637">
        <v>2875</v>
      </c>
      <c r="P10" s="630">
        <v>46957</v>
      </c>
      <c r="Q10" s="637">
        <v>19</v>
      </c>
      <c r="R10" s="637">
        <v>88</v>
      </c>
      <c r="S10" s="638"/>
    </row>
    <row r="11" spans="1:19">
      <c r="A11" s="633">
        <v>2020</v>
      </c>
      <c r="B11" s="622" t="s">
        <v>508</v>
      </c>
      <c r="C11" s="632">
        <v>6323124</v>
      </c>
      <c r="D11" s="637">
        <v>9945</v>
      </c>
      <c r="E11" s="630">
        <v>1785317</v>
      </c>
      <c r="F11" s="637">
        <v>1281</v>
      </c>
      <c r="G11" s="630">
        <v>4744682</v>
      </c>
      <c r="H11" s="639">
        <v>13599</v>
      </c>
      <c r="I11" s="637">
        <v>150</v>
      </c>
      <c r="J11" s="630">
        <v>16468</v>
      </c>
      <c r="K11" s="626">
        <v>43</v>
      </c>
      <c r="L11" s="637">
        <v>171</v>
      </c>
      <c r="M11" s="630">
        <v>67740</v>
      </c>
      <c r="N11" s="623">
        <v>236</v>
      </c>
      <c r="O11" s="637">
        <v>2920</v>
      </c>
      <c r="P11" s="630">
        <v>50359</v>
      </c>
      <c r="Q11" s="637">
        <v>19</v>
      </c>
      <c r="R11" s="637">
        <v>88</v>
      </c>
      <c r="S11" s="638"/>
    </row>
    <row r="12" spans="1:19">
      <c r="A12" s="633">
        <v>2020</v>
      </c>
      <c r="B12" s="622" t="s">
        <v>509</v>
      </c>
      <c r="C12" s="632">
        <v>6629679</v>
      </c>
      <c r="D12" s="637">
        <v>9949</v>
      </c>
      <c r="E12" s="630">
        <v>1892488</v>
      </c>
      <c r="F12" s="637">
        <v>1276</v>
      </c>
      <c r="G12" s="630">
        <v>5036829</v>
      </c>
      <c r="H12" s="639">
        <v>15696</v>
      </c>
      <c r="I12" s="637">
        <v>150</v>
      </c>
      <c r="J12" s="630">
        <v>16451</v>
      </c>
      <c r="K12" s="626">
        <v>43</v>
      </c>
      <c r="L12" s="637">
        <v>171</v>
      </c>
      <c r="M12" s="630">
        <v>61049</v>
      </c>
      <c r="N12" s="623">
        <v>236</v>
      </c>
      <c r="O12" s="637">
        <v>2920</v>
      </c>
      <c r="P12" s="630">
        <v>48889</v>
      </c>
      <c r="Q12" s="637">
        <v>19</v>
      </c>
      <c r="R12" s="637">
        <v>88</v>
      </c>
      <c r="S12" s="638"/>
    </row>
    <row r="13" spans="1:19">
      <c r="A13" s="633">
        <v>2020</v>
      </c>
      <c r="B13" s="622" t="s">
        <v>510</v>
      </c>
      <c r="C13" s="632">
        <v>8725974</v>
      </c>
      <c r="D13" s="637">
        <v>9955</v>
      </c>
      <c r="E13" s="630">
        <v>2323074</v>
      </c>
      <c r="F13" s="637">
        <v>1275</v>
      </c>
      <c r="G13" s="630">
        <v>5743151</v>
      </c>
      <c r="H13" s="639">
        <v>18614</v>
      </c>
      <c r="I13" s="637">
        <v>150</v>
      </c>
      <c r="J13" s="630">
        <v>16451</v>
      </c>
      <c r="K13" s="626">
        <v>43</v>
      </c>
      <c r="L13" s="637">
        <v>171</v>
      </c>
      <c r="M13" s="630">
        <v>65464</v>
      </c>
      <c r="N13" s="623">
        <v>236</v>
      </c>
      <c r="O13" s="637">
        <v>2920</v>
      </c>
      <c r="P13" s="630">
        <v>50149</v>
      </c>
      <c r="Q13" s="637">
        <v>19</v>
      </c>
      <c r="R13" s="637">
        <v>88</v>
      </c>
      <c r="S13" s="638"/>
    </row>
    <row r="14" spans="1:19">
      <c r="A14" s="633">
        <v>2020</v>
      </c>
      <c r="B14" s="622" t="s">
        <v>511</v>
      </c>
      <c r="C14" s="632">
        <v>6819648</v>
      </c>
      <c r="D14" s="637">
        <v>9965</v>
      </c>
      <c r="E14" s="630">
        <v>2013319</v>
      </c>
      <c r="F14" s="637">
        <v>1274</v>
      </c>
      <c r="G14" s="630">
        <v>5542475</v>
      </c>
      <c r="H14" s="639">
        <v>18179</v>
      </c>
      <c r="I14" s="637">
        <v>150</v>
      </c>
      <c r="J14" s="630">
        <v>16457</v>
      </c>
      <c r="K14" s="626">
        <v>43</v>
      </c>
      <c r="L14" s="637">
        <v>171</v>
      </c>
      <c r="M14" s="630">
        <v>73705</v>
      </c>
      <c r="N14" s="623">
        <v>236</v>
      </c>
      <c r="O14" s="637">
        <v>2920</v>
      </c>
      <c r="P14" s="630">
        <v>49855</v>
      </c>
      <c r="Q14" s="637">
        <v>19</v>
      </c>
      <c r="R14" s="637">
        <v>88</v>
      </c>
      <c r="S14" s="638"/>
    </row>
    <row r="15" spans="1:19">
      <c r="A15" s="633">
        <v>2020</v>
      </c>
      <c r="B15" s="622" t="s">
        <v>512</v>
      </c>
      <c r="C15" s="632">
        <v>5431156</v>
      </c>
      <c r="D15" s="637">
        <v>9980</v>
      </c>
      <c r="E15" s="630">
        <v>1782342</v>
      </c>
      <c r="F15" s="637">
        <v>1274</v>
      </c>
      <c r="G15" s="630">
        <v>4718668</v>
      </c>
      <c r="H15" s="639">
        <v>15554</v>
      </c>
      <c r="I15" s="637">
        <v>150</v>
      </c>
      <c r="J15" s="630">
        <v>16312</v>
      </c>
      <c r="K15" s="626">
        <v>43</v>
      </c>
      <c r="L15" s="637">
        <v>171</v>
      </c>
      <c r="M15" s="630">
        <v>81378</v>
      </c>
      <c r="N15" s="623">
        <v>236</v>
      </c>
      <c r="O15" s="637">
        <v>2920</v>
      </c>
      <c r="P15" s="630">
        <v>49681</v>
      </c>
      <c r="Q15" s="637">
        <v>19</v>
      </c>
      <c r="R15" s="637">
        <v>88</v>
      </c>
      <c r="S15" s="638"/>
    </row>
    <row r="16" spans="1:19">
      <c r="A16" s="633">
        <v>2020</v>
      </c>
      <c r="B16" s="622" t="s">
        <v>501</v>
      </c>
      <c r="C16" s="632">
        <v>6120244</v>
      </c>
      <c r="D16" s="637">
        <v>9996</v>
      </c>
      <c r="E16" s="630">
        <v>1924819</v>
      </c>
      <c r="F16" s="637">
        <v>1272</v>
      </c>
      <c r="G16" s="630">
        <v>5012347</v>
      </c>
      <c r="H16" s="639">
        <v>16239</v>
      </c>
      <c r="I16" s="637">
        <v>150</v>
      </c>
      <c r="J16" s="630">
        <v>16089</v>
      </c>
      <c r="K16" s="626">
        <v>42</v>
      </c>
      <c r="L16" s="637">
        <v>171</v>
      </c>
      <c r="M16" s="630">
        <v>94879</v>
      </c>
      <c r="N16" s="623">
        <v>236</v>
      </c>
      <c r="O16" s="637">
        <v>2920</v>
      </c>
      <c r="P16" s="630">
        <v>49975</v>
      </c>
      <c r="Q16" s="637">
        <v>19</v>
      </c>
      <c r="R16" s="637">
        <v>88</v>
      </c>
      <c r="S16" s="638"/>
    </row>
    <row r="17" spans="1:19">
      <c r="A17" s="633">
        <v>2020</v>
      </c>
      <c r="B17" s="622" t="s">
        <v>502</v>
      </c>
      <c r="C17" s="632">
        <v>6617422</v>
      </c>
      <c r="D17" s="637">
        <v>10001</v>
      </c>
      <c r="E17" s="630">
        <v>2153940</v>
      </c>
      <c r="F17" s="637">
        <v>1275</v>
      </c>
      <c r="G17" s="630">
        <v>5211201</v>
      </c>
      <c r="H17" s="639">
        <v>19093</v>
      </c>
      <c r="I17" s="637">
        <v>150</v>
      </c>
      <c r="J17" s="630">
        <v>16052</v>
      </c>
      <c r="K17" s="626">
        <v>43</v>
      </c>
      <c r="L17" s="637">
        <v>171</v>
      </c>
      <c r="M17" s="630">
        <v>101060</v>
      </c>
      <c r="N17" s="623">
        <v>236</v>
      </c>
      <c r="O17" s="637">
        <v>2920</v>
      </c>
      <c r="P17" s="630">
        <v>52957</v>
      </c>
      <c r="Q17" s="637">
        <v>19</v>
      </c>
      <c r="R17" s="637">
        <v>88</v>
      </c>
      <c r="S17" s="638"/>
    </row>
    <row r="18" spans="1:19">
      <c r="A18" s="633">
        <v>2020</v>
      </c>
      <c r="B18" s="622" t="s">
        <v>503</v>
      </c>
      <c r="C18" s="632">
        <v>8621253</v>
      </c>
      <c r="D18" s="637">
        <v>10019</v>
      </c>
      <c r="E18" s="630">
        <v>2603393</v>
      </c>
      <c r="F18" s="637">
        <v>1273</v>
      </c>
      <c r="G18" s="630">
        <v>6193301</v>
      </c>
      <c r="H18" s="639">
        <v>19008</v>
      </c>
      <c r="I18" s="637">
        <v>150</v>
      </c>
      <c r="J18" s="630">
        <v>15752</v>
      </c>
      <c r="K18" s="626">
        <v>43</v>
      </c>
      <c r="L18" s="637">
        <v>171</v>
      </c>
      <c r="M18" s="630">
        <v>109459</v>
      </c>
      <c r="N18" s="623">
        <v>236</v>
      </c>
      <c r="O18" s="637">
        <v>2920</v>
      </c>
      <c r="P18" s="630">
        <v>53209</v>
      </c>
      <c r="Q18" s="637">
        <v>19</v>
      </c>
      <c r="R18" s="637">
        <v>88</v>
      </c>
      <c r="S18" s="638"/>
    </row>
    <row r="19" spans="1:19">
      <c r="A19" s="633">
        <v>2021</v>
      </c>
      <c r="B19" s="622" t="s">
        <v>504</v>
      </c>
      <c r="C19" s="632">
        <v>8784376</v>
      </c>
      <c r="D19" s="637">
        <v>10021</v>
      </c>
      <c r="E19" s="630">
        <v>2608498</v>
      </c>
      <c r="F19" s="637">
        <v>1276</v>
      </c>
      <c r="G19" s="630">
        <v>5749753</v>
      </c>
      <c r="H19" s="639">
        <v>14527</v>
      </c>
      <c r="I19" s="637">
        <v>150</v>
      </c>
      <c r="J19" s="630">
        <v>15789</v>
      </c>
      <c r="K19" s="626">
        <v>43</v>
      </c>
      <c r="L19" s="637">
        <v>171</v>
      </c>
      <c r="M19" s="630">
        <v>106503</v>
      </c>
      <c r="N19" s="623">
        <v>235</v>
      </c>
      <c r="O19" s="637">
        <f t="shared" ref="O19:O28" si="0">1898+136+150+736</f>
        <v>2920</v>
      </c>
      <c r="P19" s="630">
        <v>53335</v>
      </c>
      <c r="Q19" s="637">
        <v>19</v>
      </c>
      <c r="R19" s="637">
        <v>88</v>
      </c>
      <c r="S19" s="638"/>
    </row>
    <row r="20" spans="1:19">
      <c r="A20" s="633">
        <v>2021</v>
      </c>
      <c r="B20" s="622" t="s">
        <v>505</v>
      </c>
      <c r="C20" s="632">
        <v>8120445</v>
      </c>
      <c r="D20" s="637">
        <v>10032</v>
      </c>
      <c r="E20" s="630">
        <v>2521210</v>
      </c>
      <c r="F20" s="637">
        <v>1274</v>
      </c>
      <c r="G20" s="630">
        <v>5518701</v>
      </c>
      <c r="H20" s="639">
        <v>16002</v>
      </c>
      <c r="I20" s="637">
        <v>151</v>
      </c>
      <c r="J20" s="630">
        <v>16215</v>
      </c>
      <c r="K20" s="626">
        <v>45</v>
      </c>
      <c r="L20" s="637">
        <v>171</v>
      </c>
      <c r="M20" s="630">
        <v>88675</v>
      </c>
      <c r="N20" s="623">
        <v>235</v>
      </c>
      <c r="O20" s="637">
        <f t="shared" si="0"/>
        <v>2920</v>
      </c>
      <c r="P20" s="630">
        <v>50185</v>
      </c>
      <c r="Q20" s="637">
        <v>19</v>
      </c>
      <c r="R20" s="637">
        <v>88</v>
      </c>
      <c r="S20" s="638"/>
    </row>
    <row r="21" spans="1:19">
      <c r="A21" s="633">
        <v>2021</v>
      </c>
      <c r="B21" s="622" t="s">
        <v>506</v>
      </c>
      <c r="C21" s="632">
        <v>7679053</v>
      </c>
      <c r="D21" s="637">
        <v>10053</v>
      </c>
      <c r="E21" s="630">
        <v>2523119</v>
      </c>
      <c r="F21" s="637">
        <v>1273</v>
      </c>
      <c r="G21" s="630">
        <v>5685859</v>
      </c>
      <c r="H21" s="639">
        <v>14040</v>
      </c>
      <c r="I21" s="637">
        <v>151</v>
      </c>
      <c r="J21" s="630">
        <v>15388</v>
      </c>
      <c r="K21" s="626">
        <f>34+9</f>
        <v>43</v>
      </c>
      <c r="L21" s="637">
        <v>171</v>
      </c>
      <c r="M21" s="630">
        <v>88166</v>
      </c>
      <c r="N21" s="623">
        <v>236</v>
      </c>
      <c r="O21" s="637">
        <f t="shared" si="0"/>
        <v>2920</v>
      </c>
      <c r="P21" s="630">
        <v>52327</v>
      </c>
      <c r="Q21" s="637">
        <v>19</v>
      </c>
      <c r="R21" s="637">
        <v>88</v>
      </c>
      <c r="S21" s="638"/>
    </row>
    <row r="22" spans="1:19">
      <c r="A22" s="633">
        <v>2021</v>
      </c>
      <c r="B22" s="622" t="s">
        <v>507</v>
      </c>
      <c r="C22" s="632">
        <v>6013718</v>
      </c>
      <c r="D22" s="637">
        <v>10059</v>
      </c>
      <c r="E22" s="630">
        <v>1865695</v>
      </c>
      <c r="F22" s="637">
        <v>1272</v>
      </c>
      <c r="G22" s="630">
        <v>4525427</v>
      </c>
      <c r="H22" s="639">
        <v>12393</v>
      </c>
      <c r="I22" s="637">
        <v>151</v>
      </c>
      <c r="J22" s="630">
        <v>14996</v>
      </c>
      <c r="K22" s="626">
        <v>42</v>
      </c>
      <c r="L22" s="637">
        <v>171</v>
      </c>
      <c r="M22" s="630">
        <v>74448</v>
      </c>
      <c r="N22" s="623">
        <v>235</v>
      </c>
      <c r="O22" s="637">
        <f t="shared" si="0"/>
        <v>2920</v>
      </c>
      <c r="P22" s="630">
        <v>49933</v>
      </c>
      <c r="Q22" s="637">
        <v>19</v>
      </c>
      <c r="R22" s="637">
        <v>88</v>
      </c>
      <c r="S22" s="638"/>
    </row>
    <row r="23" spans="1:19">
      <c r="A23" s="633">
        <v>2021</v>
      </c>
      <c r="B23" s="622" t="s">
        <v>508</v>
      </c>
      <c r="C23" s="632">
        <v>6083974</v>
      </c>
      <c r="D23" s="637">
        <v>10066</v>
      </c>
      <c r="E23" s="630">
        <v>1895909</v>
      </c>
      <c r="F23" s="637">
        <v>1272</v>
      </c>
      <c r="G23" s="630">
        <v>4820904</v>
      </c>
      <c r="H23" s="639">
        <v>15080</v>
      </c>
      <c r="I23" s="637">
        <v>151</v>
      </c>
      <c r="J23" s="630">
        <v>14994</v>
      </c>
      <c r="K23" s="626">
        <v>42</v>
      </c>
      <c r="L23" s="637">
        <v>171</v>
      </c>
      <c r="M23" s="630">
        <v>67648</v>
      </c>
      <c r="N23" s="623">
        <v>235</v>
      </c>
      <c r="O23" s="637">
        <f t="shared" si="0"/>
        <v>2920</v>
      </c>
      <c r="P23" s="630">
        <v>50521</v>
      </c>
      <c r="Q23" s="637">
        <v>19</v>
      </c>
      <c r="R23" s="637">
        <v>88</v>
      </c>
      <c r="S23" s="638"/>
    </row>
    <row r="24" spans="1:19">
      <c r="A24" s="633">
        <v>2021</v>
      </c>
      <c r="B24" s="622" t="s">
        <v>509</v>
      </c>
      <c r="C24" s="632">
        <v>6848419</v>
      </c>
      <c r="D24" s="637">
        <v>10066</v>
      </c>
      <c r="E24" s="630">
        <v>2035952</v>
      </c>
      <c r="F24" s="637">
        <v>1285</v>
      </c>
      <c r="G24" s="630">
        <v>5238854</v>
      </c>
      <c r="H24" s="639">
        <v>14817</v>
      </c>
      <c r="I24" s="637">
        <v>139</v>
      </c>
      <c r="J24" s="630">
        <v>14995</v>
      </c>
      <c r="K24" s="626">
        <v>40</v>
      </c>
      <c r="L24" s="637">
        <v>171</v>
      </c>
      <c r="M24" s="630">
        <v>60965</v>
      </c>
      <c r="N24" s="623">
        <v>235</v>
      </c>
      <c r="O24" s="637">
        <f t="shared" si="0"/>
        <v>2920</v>
      </c>
      <c r="P24" s="630">
        <v>50269</v>
      </c>
      <c r="Q24" s="637">
        <v>19</v>
      </c>
      <c r="R24" s="637">
        <v>88</v>
      </c>
      <c r="S24" s="638"/>
    </row>
    <row r="25" spans="1:19">
      <c r="A25" s="633">
        <v>2021</v>
      </c>
      <c r="B25" s="622" t="s">
        <v>510</v>
      </c>
      <c r="C25" s="632">
        <v>6984979</v>
      </c>
      <c r="D25" s="637">
        <v>10086</v>
      </c>
      <c r="E25" s="630">
        <v>2136408</v>
      </c>
      <c r="F25" s="637">
        <v>1284</v>
      </c>
      <c r="G25" s="620">
        <v>5356668</v>
      </c>
      <c r="H25" s="639">
        <v>17791</v>
      </c>
      <c r="I25" s="637">
        <v>139</v>
      </c>
      <c r="J25" s="630">
        <v>15787</v>
      </c>
      <c r="K25" s="626">
        <v>42</v>
      </c>
      <c r="L25" s="637">
        <v>171</v>
      </c>
      <c r="M25" s="630">
        <v>65375</v>
      </c>
      <c r="N25" s="623">
        <v>235</v>
      </c>
      <c r="O25" s="637">
        <f t="shared" si="0"/>
        <v>2920</v>
      </c>
      <c r="P25" s="630">
        <v>52453</v>
      </c>
      <c r="Q25" s="637">
        <v>19</v>
      </c>
      <c r="R25" s="637">
        <v>88</v>
      </c>
      <c r="S25" s="638"/>
    </row>
    <row r="26" spans="1:19">
      <c r="A26" s="633">
        <v>2021</v>
      </c>
      <c r="B26" s="622" t="s">
        <v>511</v>
      </c>
      <c r="C26" s="632">
        <v>8202587</v>
      </c>
      <c r="D26" s="637">
        <v>10096</v>
      </c>
      <c r="E26" s="630">
        <v>2418277</v>
      </c>
      <c r="F26" s="637">
        <v>1283</v>
      </c>
      <c r="G26" s="643">
        <v>7370478</v>
      </c>
      <c r="H26" s="639">
        <v>17684</v>
      </c>
      <c r="I26" s="637">
        <v>140</v>
      </c>
      <c r="J26" s="630">
        <v>15500</v>
      </c>
      <c r="K26" s="626">
        <v>42</v>
      </c>
      <c r="L26" s="637">
        <v>171</v>
      </c>
      <c r="M26" s="630">
        <v>73605</v>
      </c>
      <c r="N26" s="623">
        <v>235</v>
      </c>
      <c r="O26" s="637">
        <f t="shared" si="0"/>
        <v>2920</v>
      </c>
      <c r="P26" s="630">
        <v>51739</v>
      </c>
      <c r="Q26" s="637">
        <v>19</v>
      </c>
      <c r="R26" s="637">
        <v>88</v>
      </c>
      <c r="S26" s="638"/>
    </row>
    <row r="27" spans="1:19">
      <c r="A27" s="633">
        <v>2021</v>
      </c>
      <c r="B27" s="622" t="s">
        <v>512</v>
      </c>
      <c r="C27" s="632">
        <v>5475601</v>
      </c>
      <c r="D27" s="637">
        <f>678+1009+238+675+220+632+207+218+490+410+170+179+133+174+233+580+85+1+1401+1598+5+464+307</f>
        <v>10107</v>
      </c>
      <c r="E27" s="630">
        <v>1914965</v>
      </c>
      <c r="F27" s="637">
        <f>53+19+9+40+16+23+12+10+21+21+4+10+10+3+2+12+3+638+4+277+37+2+4+52</f>
        <v>1282</v>
      </c>
      <c r="G27" s="630">
        <v>6987415</v>
      </c>
      <c r="H27" s="639">
        <v>11665</v>
      </c>
      <c r="I27" s="637">
        <f>24+1+37+9+68</f>
        <v>139</v>
      </c>
      <c r="J27" s="630">
        <v>17588</v>
      </c>
      <c r="K27" s="626">
        <v>42</v>
      </c>
      <c r="L27" s="637">
        <v>171</v>
      </c>
      <c r="M27" s="630">
        <v>81268</v>
      </c>
      <c r="N27" s="623">
        <v>235</v>
      </c>
      <c r="O27" s="637">
        <f t="shared" si="0"/>
        <v>2920</v>
      </c>
      <c r="P27" s="630">
        <v>49597</v>
      </c>
      <c r="Q27" s="637">
        <f>7+10+1+1</f>
        <v>19</v>
      </c>
      <c r="R27" s="637">
        <v>88</v>
      </c>
      <c r="S27" s="638"/>
    </row>
    <row r="28" spans="1:19">
      <c r="A28" s="633">
        <v>2021</v>
      </c>
      <c r="B28" s="622" t="s">
        <v>513</v>
      </c>
      <c r="C28" s="632">
        <v>5828517</v>
      </c>
      <c r="D28" s="637">
        <f>464+307+133+174+233+581+85+2+1402+1598+5+680+1009+238+675+221+632+207+218+490+410+170+179</f>
        <v>10113</v>
      </c>
      <c r="E28" s="630">
        <v>1980105</v>
      </c>
      <c r="F28" s="637">
        <f>52+19+9+40+16+23+12+10+21+21+4+10+10+3+2+12+3+636+4+278+37+2+4+52</f>
        <v>1280</v>
      </c>
      <c r="G28" s="630">
        <v>5384512</v>
      </c>
      <c r="H28" s="639">
        <v>12860</v>
      </c>
      <c r="I28" s="637">
        <f>24+34+69+1+9+1</f>
        <v>138</v>
      </c>
      <c r="J28" s="630">
        <v>16879</v>
      </c>
      <c r="K28" s="626">
        <v>44</v>
      </c>
      <c r="L28" s="637">
        <v>171</v>
      </c>
      <c r="M28" s="630">
        <v>94750</v>
      </c>
      <c r="N28" s="623">
        <v>235</v>
      </c>
      <c r="O28" s="637">
        <f t="shared" si="0"/>
        <v>2920</v>
      </c>
      <c r="P28" s="630">
        <v>50605</v>
      </c>
      <c r="Q28" s="637">
        <f>1+1+7+10</f>
        <v>19</v>
      </c>
      <c r="R28" s="637">
        <v>88</v>
      </c>
      <c r="S28" s="638"/>
    </row>
    <row r="29" spans="1:19" ht="15" thickBot="1">
      <c r="A29" s="619"/>
      <c r="B29" s="641"/>
      <c r="C29" s="640"/>
      <c r="D29" s="635"/>
      <c r="E29" s="629"/>
      <c r="F29" s="635"/>
      <c r="G29" s="629"/>
      <c r="H29" s="625"/>
      <c r="I29" s="635"/>
      <c r="J29" s="629"/>
      <c r="K29" s="621"/>
      <c r="L29" s="635"/>
      <c r="M29" s="629"/>
      <c r="N29" s="631"/>
      <c r="O29" s="635"/>
      <c r="P29" s="629"/>
      <c r="Q29" s="647"/>
      <c r="R29" s="635"/>
      <c r="S29" s="638"/>
    </row>
    <row r="30" spans="1:19">
      <c r="P30" s="627"/>
      <c r="Q30" s="27"/>
    </row>
  </sheetData>
  <mergeCells count="10">
    <mergeCell ref="A2:R2"/>
    <mergeCell ref="A1:R1"/>
    <mergeCell ref="A4:B4"/>
    <mergeCell ref="C4:R4"/>
    <mergeCell ref="C5:D5"/>
    <mergeCell ref="E5:F5"/>
    <mergeCell ref="G5:I5"/>
    <mergeCell ref="J5:L5"/>
    <mergeCell ref="M5:O5"/>
    <mergeCell ref="P5:R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selection sqref="A1:E1"/>
    </sheetView>
  </sheetViews>
  <sheetFormatPr defaultRowHeight="14.4"/>
  <cols>
    <col min="1" max="1" width="74.33203125" customWidth="1"/>
    <col min="2" max="5" width="20" customWidth="1"/>
  </cols>
  <sheetData>
    <row r="1" spans="1:6">
      <c r="A1" s="763" t="s">
        <v>39</v>
      </c>
      <c r="B1" s="763"/>
      <c r="C1" s="763"/>
      <c r="D1" s="763"/>
      <c r="E1" s="763"/>
      <c r="F1" s="567"/>
    </row>
    <row r="2" spans="1:6">
      <c r="A2" s="763" t="s">
        <v>302</v>
      </c>
      <c r="B2" s="763"/>
      <c r="C2" s="763"/>
      <c r="D2" s="763"/>
      <c r="E2" s="763"/>
      <c r="F2" s="567"/>
    </row>
    <row r="4" spans="1:6" ht="15" thickBot="1"/>
    <row r="5" spans="1:6" ht="53.4" thickBot="1">
      <c r="A5" s="610" t="s">
        <v>244</v>
      </c>
      <c r="B5" s="550" t="s">
        <v>383</v>
      </c>
      <c r="C5" s="550" t="s">
        <v>382</v>
      </c>
      <c r="D5" s="550" t="s">
        <v>381</v>
      </c>
      <c r="E5" s="611" t="s">
        <v>303</v>
      </c>
    </row>
    <row r="6" spans="1:6">
      <c r="A6" s="608" t="s">
        <v>245</v>
      </c>
      <c r="B6" s="609">
        <v>88098.94</v>
      </c>
      <c r="C6" s="609">
        <v>75624.38</v>
      </c>
      <c r="D6" s="609">
        <v>95111.81</v>
      </c>
      <c r="E6" s="609">
        <v>104209.83818181817</v>
      </c>
    </row>
    <row r="7" spans="1:6">
      <c r="A7" s="551" t="s">
        <v>246</v>
      </c>
      <c r="B7" s="552">
        <v>5399.46</v>
      </c>
      <c r="C7" s="552">
        <v>5098.4399999999996</v>
      </c>
      <c r="D7" s="552">
        <v>4620</v>
      </c>
      <c r="E7" s="552">
        <v>5040</v>
      </c>
    </row>
    <row r="8" spans="1:6">
      <c r="A8" s="551" t="s">
        <v>247</v>
      </c>
      <c r="B8" s="552">
        <v>52585.98</v>
      </c>
      <c r="C8" s="552">
        <v>46982.69</v>
      </c>
      <c r="D8" s="552">
        <v>80325.88</v>
      </c>
      <c r="E8" s="552">
        <v>87711.372727272726</v>
      </c>
    </row>
    <row r="9" spans="1:6">
      <c r="A9" s="551" t="s">
        <v>248</v>
      </c>
      <c r="B9" s="552">
        <v>20.260000000000002</v>
      </c>
      <c r="C9" s="552">
        <v>12774.69</v>
      </c>
      <c r="D9" s="552">
        <v>616.70000000000005</v>
      </c>
      <c r="E9" s="552">
        <v>672.76363636363646</v>
      </c>
    </row>
    <row r="10" spans="1:6">
      <c r="A10" s="551" t="s">
        <v>386</v>
      </c>
      <c r="B10" s="552">
        <v>7538.7</v>
      </c>
      <c r="C10" s="552">
        <v>7528.06</v>
      </c>
      <c r="D10" s="552">
        <v>0</v>
      </c>
      <c r="E10" s="552">
        <v>0</v>
      </c>
    </row>
    <row r="11" spans="1:6">
      <c r="A11" s="551" t="s">
        <v>249</v>
      </c>
      <c r="B11" s="552">
        <v>1314.92</v>
      </c>
      <c r="C11" s="552">
        <v>29097.17</v>
      </c>
      <c r="D11" s="552">
        <v>14995.96</v>
      </c>
      <c r="E11" s="552">
        <v>16453.289090909093</v>
      </c>
    </row>
    <row r="12" spans="1:6">
      <c r="A12" s="551" t="s">
        <v>250</v>
      </c>
      <c r="B12" s="552">
        <v>993.31</v>
      </c>
      <c r="C12" s="552">
        <v>22.97</v>
      </c>
      <c r="D12" s="552">
        <v>5808.6</v>
      </c>
      <c r="E12" s="552">
        <v>6336.6545454545467</v>
      </c>
    </row>
    <row r="13" spans="1:6">
      <c r="A13" s="551" t="s">
        <v>251</v>
      </c>
      <c r="B13" s="552">
        <v>0</v>
      </c>
      <c r="C13" s="552">
        <v>0</v>
      </c>
      <c r="D13" s="552">
        <v>184.72</v>
      </c>
      <c r="E13" s="552">
        <v>201.51272727272726</v>
      </c>
    </row>
    <row r="14" spans="1:6">
      <c r="A14" s="551" t="s">
        <v>252</v>
      </c>
      <c r="B14" s="552">
        <v>0</v>
      </c>
      <c r="C14" s="552">
        <v>6120.7</v>
      </c>
      <c r="D14" s="552">
        <v>637.98</v>
      </c>
      <c r="E14" s="552">
        <v>695.97818181818184</v>
      </c>
    </row>
    <row r="15" spans="1:6">
      <c r="A15" s="551" t="s">
        <v>253</v>
      </c>
      <c r="B15" s="552">
        <v>0</v>
      </c>
      <c r="C15" s="552">
        <v>4675.93</v>
      </c>
      <c r="D15" s="552">
        <v>9207.48</v>
      </c>
      <c r="E15" s="552">
        <v>10044.523636363636</v>
      </c>
    </row>
    <row r="16" spans="1:6">
      <c r="A16" s="551" t="s">
        <v>254</v>
      </c>
      <c r="B16" s="552">
        <v>0</v>
      </c>
      <c r="C16" s="552">
        <v>868.15</v>
      </c>
      <c r="D16" s="552">
        <v>1187.99</v>
      </c>
      <c r="E16" s="552">
        <v>1295.9890909090909</v>
      </c>
    </row>
    <row r="17" spans="1:5">
      <c r="A17" s="551" t="s">
        <v>255</v>
      </c>
      <c r="B17" s="552">
        <v>100904.12</v>
      </c>
      <c r="C17" s="552">
        <v>44819.58</v>
      </c>
      <c r="D17" s="552">
        <v>79597.59</v>
      </c>
      <c r="E17" s="552">
        <v>122367.28454545455</v>
      </c>
    </row>
    <row r="18" spans="1:5">
      <c r="A18" s="551" t="s">
        <v>256</v>
      </c>
      <c r="B18" s="552">
        <v>87941.78</v>
      </c>
      <c r="C18" s="552">
        <v>107308.05</v>
      </c>
      <c r="D18" s="552">
        <v>90742.02</v>
      </c>
      <c r="E18" s="552">
        <v>99239.094545454558</v>
      </c>
    </row>
    <row r="19" spans="1:5">
      <c r="A19" s="551" t="s">
        <v>257</v>
      </c>
      <c r="B19" s="552">
        <v>0</v>
      </c>
      <c r="C19" s="552">
        <v>2542.75</v>
      </c>
      <c r="D19" s="552">
        <v>5589.5</v>
      </c>
      <c r="E19" s="552">
        <v>6097.636363636364</v>
      </c>
    </row>
    <row r="20" spans="1:5">
      <c r="A20" s="551" t="s">
        <v>258</v>
      </c>
      <c r="B20" s="552">
        <v>51672.46</v>
      </c>
      <c r="C20" s="552">
        <v>177107.41</v>
      </c>
      <c r="D20" s="552">
        <v>51306.33</v>
      </c>
      <c r="E20" s="552">
        <v>83046.780000000013</v>
      </c>
    </row>
    <row r="21" spans="1:5">
      <c r="A21" s="551" t="s">
        <v>259</v>
      </c>
      <c r="B21" s="552">
        <v>0</v>
      </c>
      <c r="C21" s="552">
        <v>37264.31</v>
      </c>
      <c r="D21" s="552">
        <v>39077.300000000003</v>
      </c>
      <c r="E21" s="552">
        <v>39077.300000000003</v>
      </c>
    </row>
    <row r="22" spans="1:5">
      <c r="A22" s="551" t="s">
        <v>260</v>
      </c>
      <c r="B22" s="552">
        <v>0</v>
      </c>
      <c r="C22" s="552">
        <v>6050</v>
      </c>
      <c r="D22" s="552">
        <v>5100</v>
      </c>
      <c r="E22" s="552">
        <v>5675</v>
      </c>
    </row>
    <row r="23" spans="1:5">
      <c r="A23" s="553" t="s">
        <v>261</v>
      </c>
      <c r="B23" s="554">
        <f>SUM(B6:B22)</f>
        <v>396469.93000000005</v>
      </c>
      <c r="C23" s="554">
        <f>SUM(C6:C22)</f>
        <v>563885.28</v>
      </c>
      <c r="D23" s="554">
        <f>SUM(D6:D22)</f>
        <v>484109.86000000004</v>
      </c>
      <c r="E23" s="554">
        <f>SUM(E6:E22)</f>
        <v>588165.01727272721</v>
      </c>
    </row>
    <row r="24" spans="1:5">
      <c r="A24" s="555"/>
      <c r="B24" s="552"/>
      <c r="C24" s="552"/>
      <c r="D24" s="552"/>
      <c r="E24" s="552"/>
    </row>
    <row r="25" spans="1:5">
      <c r="A25" s="551" t="s">
        <v>262</v>
      </c>
      <c r="B25" s="552">
        <v>2200</v>
      </c>
      <c r="C25" s="552">
        <v>45141.25</v>
      </c>
      <c r="D25" s="552">
        <v>56368.85</v>
      </c>
      <c r="E25" s="552">
        <v>61818.590909090912</v>
      </c>
    </row>
    <row r="26" spans="1:5">
      <c r="A26" s="551" t="s">
        <v>263</v>
      </c>
      <c r="B26" s="552">
        <v>6252.05</v>
      </c>
      <c r="C26" s="552">
        <v>14578.46</v>
      </c>
      <c r="D26" s="552">
        <v>14394.91</v>
      </c>
      <c r="E26" s="552">
        <v>15763.518181818181</v>
      </c>
    </row>
    <row r="27" spans="1:5">
      <c r="A27" s="551" t="s">
        <v>264</v>
      </c>
      <c r="B27" s="552">
        <v>96623.82</v>
      </c>
      <c r="C27" s="552">
        <v>31784.560000000001</v>
      </c>
      <c r="D27" s="552">
        <v>19259.810000000001</v>
      </c>
      <c r="E27" s="552">
        <v>21070.68181818182</v>
      </c>
    </row>
    <row r="28" spans="1:5">
      <c r="A28" s="551" t="s">
        <v>265</v>
      </c>
      <c r="B28" s="552">
        <v>4514.6099999999997</v>
      </c>
      <c r="C28" s="552">
        <v>6068.4</v>
      </c>
      <c r="D28" s="552">
        <v>67062.179999999993</v>
      </c>
      <c r="E28" s="552">
        <v>73158.741818181807</v>
      </c>
    </row>
    <row r="29" spans="1:5">
      <c r="A29" s="551" t="s">
        <v>266</v>
      </c>
      <c r="B29" s="552">
        <v>118325.31</v>
      </c>
      <c r="C29" s="552">
        <v>68577.149999999994</v>
      </c>
      <c r="D29" s="552">
        <v>48076.28</v>
      </c>
      <c r="E29" s="552">
        <v>52965.940909090903</v>
      </c>
    </row>
    <row r="30" spans="1:5">
      <c r="A30" s="551" t="s">
        <v>267</v>
      </c>
      <c r="B30" s="552">
        <v>68656.789999999994</v>
      </c>
      <c r="C30" s="552">
        <v>47634.68</v>
      </c>
      <c r="D30" s="552">
        <v>47503.83</v>
      </c>
      <c r="E30" s="552">
        <v>52114.12</v>
      </c>
    </row>
    <row r="31" spans="1:5">
      <c r="A31" s="551" t="s">
        <v>268</v>
      </c>
      <c r="B31" s="552">
        <v>216729.31</v>
      </c>
      <c r="C31" s="552">
        <v>94204.96</v>
      </c>
      <c r="D31" s="552">
        <v>238840.1</v>
      </c>
      <c r="E31" s="552">
        <v>266627.96636363637</v>
      </c>
    </row>
    <row r="32" spans="1:5">
      <c r="A32" s="551" t="s">
        <v>269</v>
      </c>
      <c r="B32" s="552">
        <v>0</v>
      </c>
      <c r="C32" s="552">
        <v>1367.94</v>
      </c>
      <c r="D32" s="552">
        <v>1955.25</v>
      </c>
      <c r="E32" s="552">
        <v>2133</v>
      </c>
    </row>
    <row r="33" spans="1:5">
      <c r="A33" s="551" t="s">
        <v>270</v>
      </c>
      <c r="B33" s="552">
        <v>9383.74</v>
      </c>
      <c r="C33" s="552">
        <v>11112.66</v>
      </c>
      <c r="D33" s="552">
        <v>10424.530000000001</v>
      </c>
      <c r="E33" s="552">
        <v>11372.214545454546</v>
      </c>
    </row>
    <row r="34" spans="1:5">
      <c r="A34" s="551" t="s">
        <v>271</v>
      </c>
      <c r="B34" s="552">
        <v>20633.900000000001</v>
      </c>
      <c r="C34" s="552">
        <v>10840.45</v>
      </c>
      <c r="D34" s="552">
        <v>12397.96</v>
      </c>
      <c r="E34" s="552">
        <v>13525.047272727272</v>
      </c>
    </row>
    <row r="35" spans="1:5">
      <c r="A35" s="556" t="s">
        <v>272</v>
      </c>
      <c r="B35" s="552">
        <v>57189</v>
      </c>
      <c r="C35" s="552">
        <v>141141.85999999999</v>
      </c>
      <c r="D35" s="552">
        <v>63044.71</v>
      </c>
      <c r="E35" s="552">
        <v>68776.047272727272</v>
      </c>
    </row>
    <row r="36" spans="1:5">
      <c r="A36" s="551" t="s">
        <v>273</v>
      </c>
      <c r="B36" s="552">
        <v>325.77</v>
      </c>
      <c r="C36" s="552">
        <v>6081.16</v>
      </c>
      <c r="D36" s="552">
        <v>709.07</v>
      </c>
      <c r="E36" s="552">
        <v>773.53090909090918</v>
      </c>
    </row>
    <row r="37" spans="1:5">
      <c r="A37" s="553" t="s">
        <v>274</v>
      </c>
      <c r="B37" s="554">
        <f>SUM(B25:B36)</f>
        <v>600834.30000000005</v>
      </c>
      <c r="C37" s="554">
        <f>SUM(C25:C36)</f>
        <v>478533.52999999997</v>
      </c>
      <c r="D37" s="554">
        <f>SUM(D25:D36)</f>
        <v>580037.48</v>
      </c>
      <c r="E37" s="554">
        <f>SUM(E25:E36)</f>
        <v>640099.4</v>
      </c>
    </row>
    <row r="38" spans="1:5">
      <c r="A38" s="555"/>
      <c r="B38" s="552"/>
      <c r="C38" s="552"/>
      <c r="D38" s="552"/>
      <c r="E38" s="552"/>
    </row>
    <row r="39" spans="1:5">
      <c r="A39" s="557" t="s">
        <v>275</v>
      </c>
      <c r="B39" s="552">
        <v>0</v>
      </c>
      <c r="C39" s="552">
        <v>0</v>
      </c>
      <c r="D39" s="552">
        <v>26676.55</v>
      </c>
      <c r="E39" s="552">
        <v>29101.69090909091</v>
      </c>
    </row>
    <row r="40" spans="1:5">
      <c r="A40" s="557" t="s">
        <v>276</v>
      </c>
      <c r="B40" s="552">
        <v>46102.22</v>
      </c>
      <c r="C40" s="552">
        <v>50117.65</v>
      </c>
      <c r="D40" s="552">
        <v>28925.64</v>
      </c>
      <c r="E40" s="552">
        <v>31555.243636363637</v>
      </c>
    </row>
    <row r="41" spans="1:5">
      <c r="A41" s="557" t="s">
        <v>277</v>
      </c>
      <c r="B41" s="552">
        <v>396139.07</v>
      </c>
      <c r="C41" s="552">
        <v>564344.77</v>
      </c>
      <c r="D41" s="552">
        <v>464076.37</v>
      </c>
      <c r="E41" s="552">
        <v>523504.37090909091</v>
      </c>
    </row>
    <row r="42" spans="1:5">
      <c r="A42" s="557" t="s">
        <v>278</v>
      </c>
      <c r="B42" s="552">
        <v>141753.04</v>
      </c>
      <c r="C42" s="552">
        <v>135145.66</v>
      </c>
      <c r="D42" s="552">
        <v>138905.81</v>
      </c>
      <c r="E42" s="552">
        <v>152679.09090909088</v>
      </c>
    </row>
    <row r="43" spans="1:5">
      <c r="A43" s="557" t="s">
        <v>279</v>
      </c>
      <c r="B43" s="552">
        <v>0</v>
      </c>
      <c r="C43" s="552">
        <v>-308.83999999999997</v>
      </c>
      <c r="D43" s="552">
        <v>99.4</v>
      </c>
      <c r="E43" s="552">
        <v>99.4</v>
      </c>
    </row>
    <row r="44" spans="1:5">
      <c r="A44" s="557" t="s">
        <v>280</v>
      </c>
      <c r="B44" s="552">
        <v>-10635</v>
      </c>
      <c r="C44" s="552">
        <v>-6120</v>
      </c>
      <c r="D44" s="552">
        <v>-5281.66</v>
      </c>
      <c r="E44" s="552">
        <v>-5761.8109090909093</v>
      </c>
    </row>
    <row r="45" spans="1:5">
      <c r="A45" s="557" t="s">
        <v>281</v>
      </c>
      <c r="B45" s="552">
        <v>38099.56</v>
      </c>
      <c r="C45" s="552">
        <v>45144.5</v>
      </c>
      <c r="D45" s="552">
        <v>-3944.27</v>
      </c>
      <c r="E45" s="552">
        <v>101500</v>
      </c>
    </row>
    <row r="46" spans="1:5">
      <c r="A46" s="557" t="s">
        <v>282</v>
      </c>
      <c r="B46" s="552">
        <v>-374.2</v>
      </c>
      <c r="C46" s="552">
        <v>-42.91</v>
      </c>
      <c r="D46" s="552">
        <v>-189.17</v>
      </c>
      <c r="E46" s="552">
        <v>-206.36727272727271</v>
      </c>
    </row>
    <row r="47" spans="1:5">
      <c r="A47" s="558" t="s">
        <v>283</v>
      </c>
      <c r="B47" s="554">
        <f>SUM(B39:B46)</f>
        <v>611084.69000000018</v>
      </c>
      <c r="C47" s="554">
        <f>SUM(C39:C46)</f>
        <v>788280.83000000007</v>
      </c>
      <c r="D47" s="554">
        <f>SUM(D39:D46)</f>
        <v>649268.66999999993</v>
      </c>
      <c r="E47" s="554">
        <f>SUM(E39:E46)</f>
        <v>832471.61818181805</v>
      </c>
    </row>
    <row r="48" spans="1:5">
      <c r="A48" s="555"/>
      <c r="B48" s="552"/>
      <c r="C48" s="552"/>
      <c r="D48" s="552"/>
      <c r="E48" s="552"/>
    </row>
    <row r="49" spans="1:5">
      <c r="A49" s="557" t="s">
        <v>284</v>
      </c>
      <c r="B49" s="552">
        <v>0</v>
      </c>
      <c r="C49" s="552">
        <v>391.67</v>
      </c>
      <c r="D49" s="552">
        <v>515.73</v>
      </c>
      <c r="E49" s="552">
        <v>562.61454545454546</v>
      </c>
    </row>
    <row r="50" spans="1:5">
      <c r="A50" s="559" t="s">
        <v>285</v>
      </c>
      <c r="B50" s="552">
        <v>19050.37</v>
      </c>
      <c r="C50" s="552">
        <v>26510.76</v>
      </c>
      <c r="D50" s="552">
        <v>19252.21</v>
      </c>
      <c r="E50" s="552">
        <v>26997.69</v>
      </c>
    </row>
    <row r="51" spans="1:5">
      <c r="A51" s="559" t="s">
        <v>387</v>
      </c>
      <c r="B51" s="552">
        <v>35005.11</v>
      </c>
      <c r="C51" s="552">
        <v>1411.45</v>
      </c>
      <c r="D51" s="552">
        <v>0</v>
      </c>
      <c r="E51" s="552">
        <v>0</v>
      </c>
    </row>
    <row r="52" spans="1:5">
      <c r="A52" s="558" t="s">
        <v>286</v>
      </c>
      <c r="B52" s="554">
        <f>SUM(B49:B51)</f>
        <v>54055.479999999996</v>
      </c>
      <c r="C52" s="554">
        <f>SUM(C49:C51)</f>
        <v>28313.879999999997</v>
      </c>
      <c r="D52" s="554">
        <f>SUM(D49:D51)</f>
        <v>19767.939999999999</v>
      </c>
      <c r="E52" s="554">
        <f>SUM(E49:E51)</f>
        <v>27560.304545454543</v>
      </c>
    </row>
    <row r="53" spans="1:5">
      <c r="A53" s="555"/>
      <c r="B53" s="552"/>
      <c r="C53" s="552"/>
      <c r="D53" s="552"/>
      <c r="E53" s="552"/>
    </row>
    <row r="54" spans="1:5">
      <c r="A54" s="557" t="s">
        <v>287</v>
      </c>
      <c r="B54" s="552">
        <v>38996.74</v>
      </c>
      <c r="C54" s="552">
        <v>39732.660000000003</v>
      </c>
      <c r="D54" s="552">
        <v>39337.96</v>
      </c>
      <c r="E54" s="552">
        <v>47934.858181818185</v>
      </c>
    </row>
    <row r="55" spans="1:5">
      <c r="A55" s="557" t="s">
        <v>288</v>
      </c>
      <c r="B55" s="552">
        <v>237466.08</v>
      </c>
      <c r="C55" s="552">
        <v>300190.52</v>
      </c>
      <c r="D55" s="552">
        <v>386605.42</v>
      </c>
      <c r="E55" s="552">
        <v>421795.94727272732</v>
      </c>
    </row>
    <row r="56" spans="1:5">
      <c r="A56" s="557" t="s">
        <v>289</v>
      </c>
      <c r="B56" s="552">
        <v>235112.4</v>
      </c>
      <c r="C56" s="552">
        <v>62414.879999999997</v>
      </c>
      <c r="D56" s="552">
        <v>113719.67</v>
      </c>
      <c r="E56" s="552">
        <v>136946.2518181818</v>
      </c>
    </row>
    <row r="57" spans="1:5">
      <c r="A57" s="557" t="s">
        <v>290</v>
      </c>
      <c r="B57" s="552">
        <v>77175.34</v>
      </c>
      <c r="C57" s="552">
        <v>71693.850000000006</v>
      </c>
      <c r="D57" s="552">
        <v>65460.85</v>
      </c>
      <c r="E57" s="552">
        <v>71411.836363636365</v>
      </c>
    </row>
    <row r="58" spans="1:5">
      <c r="A58" s="557" t="s">
        <v>291</v>
      </c>
      <c r="B58" s="552">
        <v>18850.48</v>
      </c>
      <c r="C58" s="552">
        <v>10243.209999999999</v>
      </c>
      <c r="D58" s="552">
        <v>27565.5</v>
      </c>
      <c r="E58" s="552">
        <v>30071.454545454544</v>
      </c>
    </row>
    <row r="59" spans="1:5">
      <c r="A59" s="557" t="s">
        <v>292</v>
      </c>
      <c r="B59" s="552">
        <v>7429.95</v>
      </c>
      <c r="C59" s="552">
        <v>5488.49</v>
      </c>
      <c r="D59" s="552">
        <v>27773.02</v>
      </c>
      <c r="E59" s="552">
        <v>30297.840000000004</v>
      </c>
    </row>
    <row r="60" spans="1:5">
      <c r="A60" s="560" t="s">
        <v>293</v>
      </c>
      <c r="B60" s="552">
        <v>128329.78000000001</v>
      </c>
      <c r="C60" s="552">
        <v>205805.3</v>
      </c>
      <c r="D60" s="552">
        <f>94987.04+87062.78</f>
        <v>182049.82</v>
      </c>
      <c r="E60" s="552">
        <v>238757.9</v>
      </c>
    </row>
    <row r="61" spans="1:5">
      <c r="A61" s="560" t="s">
        <v>294</v>
      </c>
      <c r="B61" s="552">
        <v>185360.54</v>
      </c>
      <c r="C61" s="552">
        <v>173916.78</v>
      </c>
      <c r="D61" s="552">
        <v>109299.57</v>
      </c>
      <c r="E61" s="552">
        <v>119235.89454545456</v>
      </c>
    </row>
    <row r="62" spans="1:5">
      <c r="A62" s="557" t="s">
        <v>295</v>
      </c>
      <c r="B62" s="552">
        <v>66799</v>
      </c>
      <c r="C62" s="552">
        <v>75150</v>
      </c>
      <c r="D62" s="552">
        <v>73023.509999999995</v>
      </c>
      <c r="E62" s="552">
        <v>79662.01090909091</v>
      </c>
    </row>
    <row r="63" spans="1:5">
      <c r="A63" s="557" t="s">
        <v>296</v>
      </c>
      <c r="B63" s="552">
        <v>12500</v>
      </c>
      <c r="C63" s="552">
        <v>13303.84</v>
      </c>
      <c r="D63" s="552">
        <v>9242.2800000000007</v>
      </c>
      <c r="E63" s="552">
        <v>10082.487272727274</v>
      </c>
    </row>
    <row r="64" spans="1:5">
      <c r="A64" s="557" t="s">
        <v>297</v>
      </c>
      <c r="B64" s="552">
        <v>93100.39</v>
      </c>
      <c r="C64" s="552">
        <v>139250.85</v>
      </c>
      <c r="D64" s="552">
        <v>135339.25</v>
      </c>
      <c r="E64" s="552">
        <v>158208.11818181819</v>
      </c>
    </row>
    <row r="65" spans="1:5">
      <c r="A65" s="557" t="s">
        <v>298</v>
      </c>
      <c r="B65" s="552">
        <v>7404.52</v>
      </c>
      <c r="C65" s="552">
        <v>8612</v>
      </c>
      <c r="D65" s="552">
        <v>8184</v>
      </c>
      <c r="E65" s="552">
        <v>8184</v>
      </c>
    </row>
    <row r="66" spans="1:5">
      <c r="A66" s="557" t="s">
        <v>299</v>
      </c>
      <c r="B66" s="552">
        <v>5199.96</v>
      </c>
      <c r="C66" s="552">
        <v>4720</v>
      </c>
      <c r="D66" s="552">
        <v>10498.42</v>
      </c>
      <c r="E66" s="552">
        <v>10498.42</v>
      </c>
    </row>
    <row r="67" spans="1:5">
      <c r="A67" s="561" t="s">
        <v>300</v>
      </c>
      <c r="B67" s="554">
        <f>SUM(B54:B66)</f>
        <v>1113725.18</v>
      </c>
      <c r="C67" s="554">
        <f>SUM(C54:C66)</f>
        <v>1110522.3800000001</v>
      </c>
      <c r="D67" s="554">
        <f>SUM(D54:D66)</f>
        <v>1188099.27</v>
      </c>
      <c r="E67" s="554">
        <f>SUM(E54:E66)</f>
        <v>1363087.0190909093</v>
      </c>
    </row>
    <row r="68" spans="1:5" ht="15" thickBot="1">
      <c r="A68" s="562"/>
      <c r="B68" s="563"/>
      <c r="C68" s="563"/>
      <c r="D68" s="563"/>
      <c r="E68" s="563"/>
    </row>
    <row r="69" spans="1:5" ht="15.6" thickTop="1" thickBot="1">
      <c r="A69" s="564" t="s">
        <v>301</v>
      </c>
      <c r="B69" s="565">
        <f>SUM(B6:B68)/2</f>
        <v>2776169.5799999991</v>
      </c>
      <c r="C69" s="565">
        <f>SUM(C6:C68)/2</f>
        <v>2969535.9</v>
      </c>
      <c r="D69" s="565">
        <f>SUM(D6:D68)/2</f>
        <v>2921283.2199999997</v>
      </c>
      <c r="E69" s="565">
        <f>SUM(E6:E68)/2</f>
        <v>3451383.3590909089</v>
      </c>
    </row>
    <row r="71" spans="1:5">
      <c r="E71" s="566"/>
    </row>
  </sheetData>
  <mergeCells count="2">
    <mergeCell ref="A1:E1"/>
    <mergeCell ref="A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workbookViewId="0">
      <pane xSplit="2" ySplit="5" topLeftCell="C69" activePane="bottomRight" state="frozen"/>
      <selection pane="topRight" activeCell="C1" sqref="C1"/>
      <selection pane="bottomLeft" activeCell="A6" sqref="A6"/>
      <selection pane="bottomRight" activeCell="C84" sqref="C84"/>
    </sheetView>
  </sheetViews>
  <sheetFormatPr defaultRowHeight="14.4"/>
  <cols>
    <col min="1" max="1" width="6.88671875" bestFit="1" customWidth="1"/>
    <col min="2" max="2" width="6.88671875" customWidth="1"/>
    <col min="3" max="6" width="12.5546875" customWidth="1"/>
    <col min="7" max="7" width="10.109375" bestFit="1" customWidth="1"/>
  </cols>
  <sheetData>
    <row r="1" spans="1:6">
      <c r="A1" s="763" t="s">
        <v>39</v>
      </c>
      <c r="B1" s="763"/>
      <c r="C1" s="763"/>
      <c r="D1" s="763"/>
      <c r="E1" s="763"/>
      <c r="F1" s="763"/>
    </row>
    <row r="2" spans="1:6">
      <c r="A2" s="763" t="s">
        <v>582</v>
      </c>
      <c r="B2" s="763"/>
      <c r="C2" s="763"/>
      <c r="D2" s="763"/>
      <c r="E2" s="763"/>
      <c r="F2" s="763"/>
    </row>
    <row r="3" spans="1:6" ht="15" thickBot="1"/>
    <row r="4" spans="1:6" ht="15" thickBot="1">
      <c r="C4" s="764" t="s">
        <v>581</v>
      </c>
      <c r="D4" s="765"/>
      <c r="E4" s="765"/>
      <c r="F4" s="766"/>
    </row>
    <row r="5" spans="1:6" ht="15" thickBot="1">
      <c r="C5" s="709" t="s">
        <v>114</v>
      </c>
      <c r="D5" s="709" t="s">
        <v>117</v>
      </c>
      <c r="E5" s="709" t="s">
        <v>232</v>
      </c>
      <c r="F5" s="709" t="s">
        <v>2</v>
      </c>
    </row>
    <row r="6" spans="1:6">
      <c r="A6" s="783">
        <v>2016</v>
      </c>
      <c r="B6" s="735">
        <v>1</v>
      </c>
      <c r="C6" s="734">
        <v>2432.48</v>
      </c>
      <c r="D6" s="734">
        <v>20712.57</v>
      </c>
      <c r="E6" s="734">
        <v>6330.24</v>
      </c>
      <c r="F6" s="734">
        <f t="shared" ref="F6:F37" si="0">SUM(C6:E6)</f>
        <v>29475.29</v>
      </c>
    </row>
    <row r="7" spans="1:6">
      <c r="A7" s="783"/>
      <c r="B7" s="735">
        <v>2</v>
      </c>
      <c r="C7" s="734">
        <v>2693.67</v>
      </c>
      <c r="D7" s="734">
        <v>24270.67</v>
      </c>
      <c r="E7" s="734">
        <v>6821.14</v>
      </c>
      <c r="F7" s="734">
        <f t="shared" si="0"/>
        <v>33785.479999999996</v>
      </c>
    </row>
    <row r="8" spans="1:6">
      <c r="A8" s="783"/>
      <c r="B8" s="735">
        <v>3</v>
      </c>
      <c r="C8" s="734">
        <v>2260.9899999999998</v>
      </c>
      <c r="D8" s="734">
        <v>19267.13</v>
      </c>
      <c r="E8" s="734">
        <v>6292.94</v>
      </c>
      <c r="F8" s="734">
        <f t="shared" si="0"/>
        <v>27821.06</v>
      </c>
    </row>
    <row r="9" spans="1:6">
      <c r="A9" s="783"/>
      <c r="B9" s="732">
        <v>4</v>
      </c>
      <c r="C9" s="734">
        <v>1926.47</v>
      </c>
      <c r="D9" s="734">
        <v>15083.71</v>
      </c>
      <c r="E9" s="734">
        <v>2884.4</v>
      </c>
      <c r="F9" s="734">
        <f t="shared" si="0"/>
        <v>19894.580000000002</v>
      </c>
    </row>
    <row r="10" spans="1:6">
      <c r="A10" s="783"/>
      <c r="B10" s="732">
        <v>5</v>
      </c>
      <c r="C10" s="734">
        <v>1582.27</v>
      </c>
      <c r="D10" s="734">
        <v>16598.22</v>
      </c>
      <c r="E10" s="734">
        <v>5100.8999999999996</v>
      </c>
      <c r="F10" s="734">
        <f t="shared" si="0"/>
        <v>23281.39</v>
      </c>
    </row>
    <row r="11" spans="1:6">
      <c r="A11" s="783"/>
      <c r="B11" s="732">
        <v>6</v>
      </c>
      <c r="C11" s="734">
        <v>1747.7</v>
      </c>
      <c r="D11" s="734">
        <v>20480.669999999998</v>
      </c>
      <c r="E11" s="734">
        <v>7249.26</v>
      </c>
      <c r="F11" s="734">
        <f t="shared" si="0"/>
        <v>29477.629999999997</v>
      </c>
    </row>
    <row r="12" spans="1:6">
      <c r="A12" s="783"/>
      <c r="B12" s="732">
        <v>7</v>
      </c>
      <c r="C12" s="734">
        <v>1830.73</v>
      </c>
      <c r="D12" s="734">
        <v>23774.15</v>
      </c>
      <c r="E12" s="734">
        <v>7466.22</v>
      </c>
      <c r="F12" s="734">
        <f t="shared" si="0"/>
        <v>33071.1</v>
      </c>
    </row>
    <row r="13" spans="1:6">
      <c r="A13" s="783"/>
      <c r="B13" s="732">
        <v>8</v>
      </c>
      <c r="C13" s="734">
        <v>1862.24</v>
      </c>
      <c r="D13" s="734">
        <v>25256.62</v>
      </c>
      <c r="E13" s="734">
        <v>8080.99</v>
      </c>
      <c r="F13" s="734">
        <f t="shared" si="0"/>
        <v>35199.85</v>
      </c>
    </row>
    <row r="14" spans="1:6">
      <c r="A14" s="783"/>
      <c r="B14" s="732">
        <v>9</v>
      </c>
      <c r="C14" s="734">
        <v>1747.7</v>
      </c>
      <c r="D14" s="734">
        <v>21751.64</v>
      </c>
      <c r="E14" s="734">
        <v>6558.86</v>
      </c>
      <c r="F14" s="734">
        <f t="shared" si="0"/>
        <v>30058.2</v>
      </c>
    </row>
    <row r="15" spans="1:6">
      <c r="A15" s="783"/>
      <c r="B15" s="732">
        <v>10</v>
      </c>
      <c r="C15" s="734">
        <v>1742.86</v>
      </c>
      <c r="D15" s="734">
        <v>21571.439999999999</v>
      </c>
      <c r="E15" s="734">
        <v>5715.96</v>
      </c>
      <c r="F15" s="734">
        <f t="shared" si="0"/>
        <v>29030.26</v>
      </c>
    </row>
    <row r="16" spans="1:6">
      <c r="A16" s="783"/>
      <c r="B16" s="732">
        <v>11</v>
      </c>
      <c r="C16" s="734">
        <v>2174.9299999999998</v>
      </c>
      <c r="D16" s="734">
        <v>24959.01</v>
      </c>
      <c r="E16" s="734">
        <v>6526.6</v>
      </c>
      <c r="F16" s="734">
        <f t="shared" si="0"/>
        <v>33660.54</v>
      </c>
    </row>
    <row r="17" spans="1:6">
      <c r="A17" s="783"/>
      <c r="B17" s="732">
        <v>12</v>
      </c>
      <c r="C17" s="734">
        <v>2517.3200000000002</v>
      </c>
      <c r="D17" s="734">
        <v>27764.720000000001</v>
      </c>
      <c r="E17" s="734">
        <v>6765.61</v>
      </c>
      <c r="F17" s="734">
        <f t="shared" si="0"/>
        <v>37047.65</v>
      </c>
    </row>
    <row r="18" spans="1:6">
      <c r="A18" s="783">
        <v>2017</v>
      </c>
      <c r="B18" s="735">
        <v>1</v>
      </c>
      <c r="C18" s="734">
        <v>2525.1999999999998</v>
      </c>
      <c r="D18" s="734">
        <v>24404.11</v>
      </c>
      <c r="E18" s="734">
        <v>5450.45</v>
      </c>
      <c r="F18" s="734">
        <f t="shared" si="0"/>
        <v>32379.760000000002</v>
      </c>
    </row>
    <row r="19" spans="1:6">
      <c r="A19" s="783"/>
      <c r="B19" s="735">
        <v>2</v>
      </c>
      <c r="C19" s="734">
        <v>2276.7399999999998</v>
      </c>
      <c r="D19" s="734">
        <v>20807.52</v>
      </c>
      <c r="E19" s="734">
        <v>4559.0200000000004</v>
      </c>
      <c r="F19" s="734">
        <f t="shared" si="0"/>
        <v>27643.280000000002</v>
      </c>
    </row>
    <row r="20" spans="1:6">
      <c r="A20" s="783"/>
      <c r="B20" s="735">
        <v>3</v>
      </c>
      <c r="C20" s="734">
        <v>2279.77</v>
      </c>
      <c r="D20" s="734">
        <v>18725.349999999999</v>
      </c>
      <c r="E20" s="734">
        <v>5955.46</v>
      </c>
      <c r="F20" s="734">
        <f t="shared" si="0"/>
        <v>26960.579999999998</v>
      </c>
    </row>
    <row r="21" spans="1:6">
      <c r="A21" s="783"/>
      <c r="B21" s="732">
        <v>4</v>
      </c>
      <c r="C21" s="734">
        <v>1774.37</v>
      </c>
      <c r="D21" s="734">
        <v>15182.46</v>
      </c>
      <c r="E21" s="734">
        <v>3501.94</v>
      </c>
      <c r="F21" s="734">
        <f t="shared" si="0"/>
        <v>20458.769999999997</v>
      </c>
    </row>
    <row r="22" spans="1:6">
      <c r="A22" s="783"/>
      <c r="B22" s="732">
        <v>5</v>
      </c>
      <c r="C22" s="734">
        <v>1694.98</v>
      </c>
      <c r="D22" s="734">
        <v>14343</v>
      </c>
      <c r="E22" s="734">
        <v>3416.02</v>
      </c>
      <c r="F22" s="734">
        <f t="shared" si="0"/>
        <v>19454</v>
      </c>
    </row>
    <row r="23" spans="1:6">
      <c r="A23" s="783"/>
      <c r="B23" s="732">
        <v>6</v>
      </c>
      <c r="C23" s="734">
        <v>1646.5</v>
      </c>
      <c r="D23" s="734">
        <v>15213.29</v>
      </c>
      <c r="E23" s="734">
        <v>5102.17</v>
      </c>
      <c r="F23" s="734">
        <f t="shared" si="0"/>
        <v>21961.96</v>
      </c>
    </row>
    <row r="24" spans="1:6">
      <c r="A24" s="783"/>
      <c r="B24" s="732">
        <v>7</v>
      </c>
      <c r="C24" s="734">
        <v>1551.97</v>
      </c>
      <c r="D24" s="734">
        <v>21555.09</v>
      </c>
      <c r="E24" s="734">
        <v>4348.25</v>
      </c>
      <c r="F24" s="734">
        <f t="shared" si="0"/>
        <v>27455.31</v>
      </c>
    </row>
    <row r="25" spans="1:6">
      <c r="A25" s="783"/>
      <c r="B25" s="732">
        <v>8</v>
      </c>
      <c r="C25" s="734">
        <v>1660.44</v>
      </c>
      <c r="D25" s="734">
        <v>24939.61</v>
      </c>
      <c r="E25" s="734">
        <v>4824.1899999999996</v>
      </c>
      <c r="F25" s="734">
        <f t="shared" si="0"/>
        <v>31424.239999999998</v>
      </c>
    </row>
    <row r="26" spans="1:6">
      <c r="A26" s="783"/>
      <c r="B26" s="732">
        <v>9</v>
      </c>
      <c r="C26" s="734">
        <v>1829.51</v>
      </c>
      <c r="D26" s="734">
        <v>23842.42</v>
      </c>
      <c r="E26" s="734">
        <v>6162.42</v>
      </c>
      <c r="F26" s="734">
        <f t="shared" si="0"/>
        <v>31834.35</v>
      </c>
    </row>
    <row r="27" spans="1:6">
      <c r="A27" s="783"/>
      <c r="B27" s="732">
        <v>10</v>
      </c>
      <c r="C27" s="734">
        <v>1681.65</v>
      </c>
      <c r="D27" s="734">
        <v>16873.72</v>
      </c>
      <c r="E27" s="734">
        <v>3795.96</v>
      </c>
      <c r="F27" s="734">
        <f t="shared" si="0"/>
        <v>22351.33</v>
      </c>
    </row>
    <row r="28" spans="1:6">
      <c r="A28" s="783"/>
      <c r="B28" s="732">
        <v>11</v>
      </c>
      <c r="C28" s="734">
        <v>2065.85</v>
      </c>
      <c r="D28" s="734">
        <v>19498.830000000002</v>
      </c>
      <c r="E28" s="734">
        <v>4920.83</v>
      </c>
      <c r="F28" s="734">
        <f t="shared" si="0"/>
        <v>26485.510000000002</v>
      </c>
    </row>
    <row r="29" spans="1:6">
      <c r="A29" s="783"/>
      <c r="B29" s="732">
        <v>12</v>
      </c>
      <c r="C29" s="734">
        <v>2633.07</v>
      </c>
      <c r="D29" s="734">
        <v>25637.24</v>
      </c>
      <c r="E29" s="734">
        <v>5929.74</v>
      </c>
      <c r="F29" s="734">
        <f t="shared" si="0"/>
        <v>34200.050000000003</v>
      </c>
    </row>
    <row r="30" spans="1:6">
      <c r="A30" s="783">
        <v>2018</v>
      </c>
      <c r="B30" s="735">
        <v>1</v>
      </c>
      <c r="C30" s="734">
        <v>2838.87</v>
      </c>
      <c r="D30" s="734">
        <v>28596.85</v>
      </c>
      <c r="E30" s="734">
        <v>6242.43</v>
      </c>
      <c r="F30" s="734">
        <f t="shared" si="0"/>
        <v>37678.149999999994</v>
      </c>
    </row>
    <row r="31" spans="1:6">
      <c r="A31" s="783"/>
      <c r="B31" s="735">
        <v>2</v>
      </c>
      <c r="C31" s="734">
        <v>2281.23</v>
      </c>
      <c r="D31" s="734">
        <v>20110.55</v>
      </c>
      <c r="E31" s="734">
        <v>6351.84</v>
      </c>
      <c r="F31" s="734">
        <f t="shared" si="0"/>
        <v>28743.62</v>
      </c>
    </row>
    <row r="32" spans="1:6">
      <c r="A32" s="783"/>
      <c r="B32" s="735">
        <v>3</v>
      </c>
      <c r="C32" s="734">
        <v>2005.25</v>
      </c>
      <c r="D32" s="734">
        <v>18340.71</v>
      </c>
      <c r="E32" s="734">
        <v>3035.66</v>
      </c>
      <c r="F32" s="734">
        <f t="shared" si="0"/>
        <v>23381.62</v>
      </c>
    </row>
    <row r="33" spans="1:6">
      <c r="A33" s="783"/>
      <c r="B33" s="732">
        <v>4</v>
      </c>
      <c r="C33" s="734">
        <v>2035.43</v>
      </c>
      <c r="D33" s="734">
        <v>15543.47</v>
      </c>
      <c r="E33" s="734">
        <v>2859.54</v>
      </c>
      <c r="F33" s="734">
        <f t="shared" si="0"/>
        <v>20438.439999999999</v>
      </c>
    </row>
    <row r="34" spans="1:6">
      <c r="A34" s="783"/>
      <c r="B34" s="732">
        <v>5</v>
      </c>
      <c r="C34" s="734">
        <v>1468.1</v>
      </c>
      <c r="D34" s="734">
        <v>17344.23</v>
      </c>
      <c r="E34" s="734">
        <v>2601.5100000000002</v>
      </c>
      <c r="F34" s="734">
        <f t="shared" si="0"/>
        <v>21413.839999999997</v>
      </c>
    </row>
    <row r="35" spans="1:6">
      <c r="A35" s="783"/>
      <c r="B35" s="732">
        <v>6</v>
      </c>
      <c r="C35" s="734">
        <v>1653.9</v>
      </c>
      <c r="D35" s="734">
        <v>19191.240000000002</v>
      </c>
      <c r="E35" s="734">
        <v>7292.7</v>
      </c>
      <c r="F35" s="734">
        <f t="shared" si="0"/>
        <v>28137.840000000004</v>
      </c>
    </row>
    <row r="36" spans="1:6">
      <c r="A36" s="783"/>
      <c r="B36" s="732">
        <v>7</v>
      </c>
      <c r="C36" s="734">
        <v>1973.86</v>
      </c>
      <c r="D36" s="734">
        <v>28673.17</v>
      </c>
      <c r="E36" s="734">
        <v>7954.11</v>
      </c>
      <c r="F36" s="734">
        <f t="shared" si="0"/>
        <v>38601.14</v>
      </c>
    </row>
    <row r="37" spans="1:6">
      <c r="A37" s="783"/>
      <c r="B37" s="732">
        <v>8</v>
      </c>
      <c r="C37" s="734">
        <v>1802</v>
      </c>
      <c r="D37" s="734">
        <v>22607.1</v>
      </c>
      <c r="E37" s="734">
        <v>8342.59</v>
      </c>
      <c r="F37" s="734">
        <f t="shared" si="0"/>
        <v>32751.69</v>
      </c>
    </row>
    <row r="38" spans="1:6">
      <c r="A38" s="783"/>
      <c r="B38" s="732">
        <v>9</v>
      </c>
      <c r="C38" s="734">
        <v>1921.38</v>
      </c>
      <c r="D38" s="734">
        <v>20977.98</v>
      </c>
      <c r="E38" s="734">
        <v>7706.87</v>
      </c>
      <c r="F38" s="734">
        <f t="shared" ref="F38:F65" si="1">SUM(C38:E38)</f>
        <v>30606.23</v>
      </c>
    </row>
    <row r="39" spans="1:6">
      <c r="A39" s="783"/>
      <c r="B39" s="732">
        <v>10</v>
      </c>
      <c r="C39" s="734">
        <v>1813.39</v>
      </c>
      <c r="D39" s="734">
        <v>16300.88</v>
      </c>
      <c r="E39" s="734">
        <v>5657.34</v>
      </c>
      <c r="F39" s="734">
        <f t="shared" si="1"/>
        <v>23771.61</v>
      </c>
    </row>
    <row r="40" spans="1:6">
      <c r="A40" s="783"/>
      <c r="B40" s="732">
        <v>11</v>
      </c>
      <c r="C40" s="734">
        <v>2338.0700000000002</v>
      </c>
      <c r="D40" s="734">
        <v>24440.29</v>
      </c>
      <c r="E40" s="734">
        <v>5289.6</v>
      </c>
      <c r="F40" s="734">
        <f t="shared" si="1"/>
        <v>32067.96</v>
      </c>
    </row>
    <row r="41" spans="1:6">
      <c r="A41" s="783"/>
      <c r="B41" s="732">
        <v>12</v>
      </c>
      <c r="C41" s="734">
        <v>2417.09</v>
      </c>
      <c r="D41" s="734">
        <v>22809.599999999999</v>
      </c>
      <c r="E41" s="734">
        <v>4455.01</v>
      </c>
      <c r="F41" s="734">
        <f t="shared" si="1"/>
        <v>29681.699999999997</v>
      </c>
    </row>
    <row r="42" spans="1:6">
      <c r="A42" s="783">
        <v>2019</v>
      </c>
      <c r="B42" s="735">
        <v>1</v>
      </c>
      <c r="C42" s="734">
        <v>2903.95</v>
      </c>
      <c r="D42" s="734">
        <v>27225.05</v>
      </c>
      <c r="E42" s="734">
        <v>6723.53</v>
      </c>
      <c r="F42" s="734">
        <f t="shared" si="1"/>
        <v>36852.53</v>
      </c>
    </row>
    <row r="43" spans="1:6">
      <c r="A43" s="783"/>
      <c r="B43" s="735">
        <v>2</v>
      </c>
      <c r="C43" s="734">
        <v>2552.84</v>
      </c>
      <c r="D43" s="734">
        <v>24144.3</v>
      </c>
      <c r="E43" s="734">
        <v>5069.99</v>
      </c>
      <c r="F43" s="734">
        <f t="shared" si="1"/>
        <v>31767.129999999997</v>
      </c>
    </row>
    <row r="44" spans="1:6">
      <c r="A44" s="783"/>
      <c r="B44" s="735">
        <v>3</v>
      </c>
      <c r="C44" s="734">
        <v>2278.08</v>
      </c>
      <c r="D44" s="734">
        <v>17218.8</v>
      </c>
      <c r="E44" s="734">
        <v>3437.83</v>
      </c>
      <c r="F44" s="734">
        <f t="shared" si="1"/>
        <v>22934.71</v>
      </c>
    </row>
    <row r="45" spans="1:6">
      <c r="A45" s="783"/>
      <c r="B45" s="732">
        <v>4</v>
      </c>
      <c r="C45" s="734">
        <v>1843.45</v>
      </c>
      <c r="D45" s="734">
        <v>19212.5</v>
      </c>
      <c r="E45" s="734">
        <v>3767.05</v>
      </c>
      <c r="F45" s="734">
        <f t="shared" si="1"/>
        <v>24823</v>
      </c>
    </row>
    <row r="46" spans="1:6">
      <c r="A46" s="783"/>
      <c r="B46" s="732">
        <v>5</v>
      </c>
      <c r="C46" s="734">
        <v>1763.34</v>
      </c>
      <c r="D46" s="734">
        <v>18886.509999999998</v>
      </c>
      <c r="E46" s="734">
        <v>4226.33</v>
      </c>
      <c r="F46" s="734">
        <f t="shared" si="1"/>
        <v>24876.18</v>
      </c>
    </row>
    <row r="47" spans="1:6">
      <c r="A47" s="783"/>
      <c r="B47" s="732">
        <v>6</v>
      </c>
      <c r="C47" s="734">
        <v>1526.76</v>
      </c>
      <c r="D47" s="734">
        <v>18156.47</v>
      </c>
      <c r="E47" s="734">
        <v>3573.51</v>
      </c>
      <c r="F47" s="734">
        <f t="shared" si="1"/>
        <v>23256.739999999998</v>
      </c>
    </row>
    <row r="48" spans="1:6">
      <c r="A48" s="783"/>
      <c r="B48" s="732">
        <v>7</v>
      </c>
      <c r="C48" s="734">
        <v>1906.96</v>
      </c>
      <c r="D48" s="734">
        <v>24896.21</v>
      </c>
      <c r="E48" s="734">
        <v>7408.13</v>
      </c>
      <c r="F48" s="734">
        <f t="shared" si="1"/>
        <v>34211.299999999996</v>
      </c>
    </row>
    <row r="49" spans="1:6">
      <c r="A49" s="783"/>
      <c r="B49" s="732">
        <v>8</v>
      </c>
      <c r="C49" s="734">
        <v>1870.6</v>
      </c>
      <c r="D49" s="734">
        <v>20610.490000000002</v>
      </c>
      <c r="E49" s="734">
        <v>6570.68</v>
      </c>
      <c r="F49" s="734">
        <f t="shared" si="1"/>
        <v>29051.77</v>
      </c>
    </row>
    <row r="50" spans="1:6">
      <c r="A50" s="783"/>
      <c r="B50" s="732">
        <v>9</v>
      </c>
      <c r="C50" s="734">
        <v>1597.54</v>
      </c>
      <c r="D50" s="734">
        <v>16303.92</v>
      </c>
      <c r="E50" s="734">
        <v>5973.66</v>
      </c>
      <c r="F50" s="734">
        <f t="shared" si="1"/>
        <v>23875.119999999999</v>
      </c>
    </row>
    <row r="51" spans="1:6">
      <c r="A51" s="783"/>
      <c r="B51" s="732">
        <v>10</v>
      </c>
      <c r="C51" s="734">
        <v>1694.98</v>
      </c>
      <c r="D51" s="734">
        <v>16833.099999999999</v>
      </c>
      <c r="E51" s="734">
        <v>5190.47</v>
      </c>
      <c r="F51" s="734">
        <f t="shared" si="1"/>
        <v>23718.55</v>
      </c>
    </row>
    <row r="52" spans="1:6">
      <c r="A52" s="783"/>
      <c r="B52" s="732">
        <v>11</v>
      </c>
      <c r="C52" s="734">
        <v>2260.86</v>
      </c>
      <c r="D52" s="734">
        <v>23451.18</v>
      </c>
      <c r="E52" s="734">
        <v>4502.7</v>
      </c>
      <c r="F52" s="734">
        <f t="shared" si="1"/>
        <v>30214.74</v>
      </c>
    </row>
    <row r="53" spans="1:6">
      <c r="A53" s="783"/>
      <c r="B53" s="732">
        <v>12</v>
      </c>
      <c r="C53" s="734">
        <v>2648.46</v>
      </c>
      <c r="D53" s="734">
        <v>25099.41</v>
      </c>
      <c r="E53" s="734">
        <v>5570.71</v>
      </c>
      <c r="F53" s="734">
        <f t="shared" si="1"/>
        <v>33318.58</v>
      </c>
    </row>
    <row r="54" spans="1:6">
      <c r="A54" s="783">
        <v>2020</v>
      </c>
      <c r="B54" s="735">
        <v>1</v>
      </c>
      <c r="C54" s="734">
        <v>2630.4</v>
      </c>
      <c r="D54" s="734">
        <v>23470.53</v>
      </c>
      <c r="E54" s="734">
        <v>5095.54</v>
      </c>
      <c r="F54" s="734">
        <f t="shared" si="1"/>
        <v>31196.47</v>
      </c>
    </row>
    <row r="55" spans="1:6">
      <c r="A55" s="783"/>
      <c r="B55" s="735">
        <v>2</v>
      </c>
      <c r="C55" s="734">
        <v>2508.7199999999998</v>
      </c>
      <c r="D55" s="734">
        <v>25344.66</v>
      </c>
      <c r="E55" s="734">
        <v>5491.95</v>
      </c>
      <c r="F55" s="734">
        <f t="shared" si="1"/>
        <v>33345.33</v>
      </c>
    </row>
    <row r="56" spans="1:6">
      <c r="A56" s="783"/>
      <c r="B56" s="735">
        <v>3</v>
      </c>
      <c r="C56" s="734">
        <v>2154.09</v>
      </c>
      <c r="D56" s="734">
        <v>19726.7</v>
      </c>
      <c r="E56" s="734">
        <v>3316.06</v>
      </c>
      <c r="F56" s="734">
        <f t="shared" si="1"/>
        <v>25196.850000000002</v>
      </c>
    </row>
    <row r="57" spans="1:6">
      <c r="A57" s="783"/>
      <c r="B57" s="732">
        <v>4</v>
      </c>
      <c r="C57" s="734">
        <v>1748.31</v>
      </c>
      <c r="D57" s="734">
        <v>16840.93</v>
      </c>
      <c r="E57" s="734">
        <v>2118.23</v>
      </c>
      <c r="F57" s="734">
        <f t="shared" si="1"/>
        <v>20707.47</v>
      </c>
    </row>
    <row r="58" spans="1:6">
      <c r="A58" s="783"/>
      <c r="B58" s="732">
        <v>5</v>
      </c>
      <c r="C58" s="734">
        <v>1924.78</v>
      </c>
      <c r="D58" s="734">
        <v>20541.09</v>
      </c>
      <c r="E58" s="734">
        <v>5197.3599999999997</v>
      </c>
      <c r="F58" s="734">
        <f t="shared" si="1"/>
        <v>27663.23</v>
      </c>
    </row>
    <row r="59" spans="1:6">
      <c r="A59" s="783"/>
      <c r="B59" s="732">
        <v>6</v>
      </c>
      <c r="C59" s="734">
        <v>1906.96</v>
      </c>
      <c r="D59" s="734">
        <v>18572.14</v>
      </c>
      <c r="E59" s="734">
        <v>6979.18</v>
      </c>
      <c r="F59" s="734">
        <f t="shared" si="1"/>
        <v>27458.28</v>
      </c>
    </row>
    <row r="60" spans="1:6">
      <c r="A60" s="783"/>
      <c r="B60" s="732">
        <v>7</v>
      </c>
      <c r="C60" s="734">
        <v>2168.39</v>
      </c>
      <c r="D60" s="734">
        <v>24502.94</v>
      </c>
      <c r="E60" s="734">
        <v>9202.9599999999991</v>
      </c>
      <c r="F60" s="734">
        <f t="shared" si="1"/>
        <v>35874.289999999994</v>
      </c>
    </row>
    <row r="61" spans="1:6">
      <c r="A61" s="783"/>
      <c r="B61" s="732">
        <v>8</v>
      </c>
      <c r="C61" s="734">
        <v>1884.54</v>
      </c>
      <c r="D61" s="734">
        <v>18915.580000000002</v>
      </c>
      <c r="E61" s="734">
        <v>7190.6</v>
      </c>
      <c r="F61" s="734">
        <f t="shared" si="1"/>
        <v>27990.720000000001</v>
      </c>
    </row>
    <row r="62" spans="1:6">
      <c r="A62" s="783"/>
      <c r="B62" s="732">
        <v>9</v>
      </c>
      <c r="C62" s="734">
        <v>1486.88</v>
      </c>
      <c r="D62" s="734">
        <v>16496.509999999998</v>
      </c>
      <c r="E62" s="734">
        <v>4092.91</v>
      </c>
      <c r="F62" s="734">
        <f t="shared" si="1"/>
        <v>22076.3</v>
      </c>
    </row>
    <row r="63" spans="1:6">
      <c r="A63" s="783"/>
      <c r="B63" s="732">
        <v>10</v>
      </c>
      <c r="C63" s="734">
        <v>1785.64</v>
      </c>
      <c r="D63" s="734">
        <v>14860.51</v>
      </c>
      <c r="E63" s="734">
        <v>4558.54</v>
      </c>
      <c r="F63" s="734">
        <f t="shared" si="1"/>
        <v>21204.690000000002</v>
      </c>
    </row>
    <row r="64" spans="1:6">
      <c r="A64" s="783"/>
      <c r="B64" s="732">
        <v>11</v>
      </c>
      <c r="C64" s="733">
        <v>2038.22</v>
      </c>
      <c r="D64" s="733">
        <v>20141.77</v>
      </c>
      <c r="E64" s="733">
        <v>4989</v>
      </c>
      <c r="F64" s="733">
        <f t="shared" si="1"/>
        <v>27168.99</v>
      </c>
    </row>
    <row r="65" spans="1:6">
      <c r="A65" s="783"/>
      <c r="B65" s="732">
        <v>12</v>
      </c>
      <c r="C65" s="731">
        <v>2508.96</v>
      </c>
      <c r="D65" s="731">
        <v>23856.06</v>
      </c>
      <c r="E65" s="731">
        <v>5349.62</v>
      </c>
      <c r="F65" s="731">
        <f t="shared" si="1"/>
        <v>31714.639999999999</v>
      </c>
    </row>
    <row r="67" spans="1:6" ht="15" thickBot="1">
      <c r="C67" s="730">
        <f>SUM(C6:C65)</f>
        <v>122281.69000000002</v>
      </c>
      <c r="D67" s="730">
        <f>SUM(D6:D65)</f>
        <v>1252756.6200000001</v>
      </c>
      <c r="E67" s="730">
        <f>SUM(E6:E65)</f>
        <v>327145.30999999994</v>
      </c>
      <c r="F67" s="730">
        <f>SUM(F6:F65)</f>
        <v>1702183.6199999999</v>
      </c>
    </row>
    <row r="68" spans="1:6" ht="15" thickBot="1"/>
    <row r="69" spans="1:6" ht="15" thickBot="1">
      <c r="C69" s="764" t="s">
        <v>591</v>
      </c>
      <c r="D69" s="765"/>
      <c r="E69" s="765"/>
      <c r="F69" s="766"/>
    </row>
    <row r="70" spans="1:6" ht="15" thickBot="1">
      <c r="C70" s="709" t="s">
        <v>114</v>
      </c>
      <c r="D70" s="709" t="s">
        <v>117</v>
      </c>
      <c r="E70" s="709" t="s">
        <v>232</v>
      </c>
      <c r="F70" s="709" t="s">
        <v>2</v>
      </c>
    </row>
    <row r="71" spans="1:6">
      <c r="A71" s="782">
        <v>2016</v>
      </c>
      <c r="B71" s="782"/>
      <c r="C71" s="573">
        <f>SUM(C6:C17)</f>
        <v>24519.360000000001</v>
      </c>
      <c r="D71" s="573">
        <f>SUM(D6:D17)</f>
        <v>261490.55000000002</v>
      </c>
      <c r="E71" s="573">
        <f>SUM(E6:E17)</f>
        <v>75793.12000000001</v>
      </c>
      <c r="F71" s="573">
        <f>SUM(C71:E71)</f>
        <v>361803.03</v>
      </c>
    </row>
    <row r="72" spans="1:6">
      <c r="A72" s="782">
        <v>2017</v>
      </c>
      <c r="B72" s="782"/>
      <c r="C72" s="573">
        <f>SUM(C18:C29)</f>
        <v>23620.049999999996</v>
      </c>
      <c r="D72" s="573">
        <f>SUM(D18:D29)</f>
        <v>241022.63999999996</v>
      </c>
      <c r="E72" s="573">
        <f>SUM(E18:E29)</f>
        <v>57966.45</v>
      </c>
      <c r="F72" s="573">
        <f>SUM(C72:E72)</f>
        <v>322609.13999999996</v>
      </c>
    </row>
    <row r="73" spans="1:6">
      <c r="A73" s="782">
        <v>2018</v>
      </c>
      <c r="B73" s="782"/>
      <c r="C73" s="573">
        <f>SUM(C30:C41)</f>
        <v>24548.57</v>
      </c>
      <c r="D73" s="573">
        <f t="shared" ref="D73:E73" si="2">SUM(D30:D41)</f>
        <v>254936.07</v>
      </c>
      <c r="E73" s="573">
        <f t="shared" si="2"/>
        <v>67789.200000000012</v>
      </c>
      <c r="F73" s="573">
        <f>SUM(C73:E73)</f>
        <v>347273.84</v>
      </c>
    </row>
    <row r="74" spans="1:6">
      <c r="A74" s="782">
        <v>2019</v>
      </c>
      <c r="B74" s="782"/>
      <c r="C74" s="573">
        <f>SUM(C42:C53)</f>
        <v>24847.82</v>
      </c>
      <c r="D74" s="573">
        <f t="shared" ref="D74:E74" si="3">SUM(D42:D53)</f>
        <v>252037.94</v>
      </c>
      <c r="E74" s="573">
        <f t="shared" si="3"/>
        <v>62014.590000000004</v>
      </c>
      <c r="F74" s="573">
        <f>SUM(C74:E74)</f>
        <v>338900.35000000003</v>
      </c>
    </row>
    <row r="75" spans="1:6">
      <c r="A75" s="782">
        <v>2020</v>
      </c>
      <c r="B75" s="782"/>
      <c r="C75" s="736">
        <f>SUM(C54:C65)</f>
        <v>24745.890000000003</v>
      </c>
      <c r="D75" s="736">
        <f t="shared" ref="D75:E75" si="4">SUM(D54:D65)</f>
        <v>243269.42</v>
      </c>
      <c r="E75" s="736">
        <f t="shared" si="4"/>
        <v>63581.95</v>
      </c>
      <c r="F75" s="736">
        <f>SUM(C75:E75)</f>
        <v>331597.26</v>
      </c>
    </row>
    <row r="77" spans="1:6" ht="15" thickBot="1">
      <c r="A77" s="763" t="s">
        <v>583</v>
      </c>
      <c r="B77" s="763"/>
      <c r="C77" s="737">
        <f>AVERAGE(C71:C75)</f>
        <v>24456.337999999996</v>
      </c>
      <c r="D77" s="737">
        <f>AVERAGE(D71:D75)</f>
        <v>250551.32399999996</v>
      </c>
      <c r="E77" s="737">
        <f>AVERAGE(E71:E75)</f>
        <v>65429.062000000013</v>
      </c>
      <c r="F77" s="737">
        <f>AVERAGE(F71:F75)</f>
        <v>340436.72400000005</v>
      </c>
    </row>
    <row r="78" spans="1:6" ht="15" thickBot="1"/>
    <row r="79" spans="1:6" ht="15" thickBot="1">
      <c r="C79" s="778" t="s">
        <v>592</v>
      </c>
      <c r="D79" s="779"/>
      <c r="E79" s="780"/>
    </row>
    <row r="80" spans="1:6" ht="15" thickBot="1">
      <c r="C80" s="709" t="s">
        <v>114</v>
      </c>
      <c r="D80" s="709" t="s">
        <v>117</v>
      </c>
      <c r="E80" s="709" t="s">
        <v>232</v>
      </c>
    </row>
    <row r="81" spans="1:5">
      <c r="A81" t="s">
        <v>585</v>
      </c>
      <c r="C81" s="739">
        <v>1.5335000000000001</v>
      </c>
      <c r="D81" s="739">
        <v>1.5335000000000001</v>
      </c>
      <c r="E81" s="739">
        <v>1.5335000000000001</v>
      </c>
    </row>
    <row r="82" spans="1:5">
      <c r="A82" t="s">
        <v>586</v>
      </c>
      <c r="C82" s="739">
        <v>-1.1389</v>
      </c>
      <c r="D82" s="739">
        <v>-1.1389</v>
      </c>
      <c r="E82" s="739">
        <v>-1.1389</v>
      </c>
    </row>
    <row r="83" spans="1:5">
      <c r="A83" t="s">
        <v>587</v>
      </c>
      <c r="C83" s="739">
        <v>0.94440000000000002</v>
      </c>
      <c r="D83" s="739">
        <v>0.94440000000000002</v>
      </c>
      <c r="E83" s="739">
        <v>0.94440000000000002</v>
      </c>
    </row>
    <row r="84" spans="1:5">
      <c r="A84" t="s">
        <v>584</v>
      </c>
      <c r="C84" s="740">
        <v>1.6671</v>
      </c>
      <c r="D84" s="740">
        <v>0</v>
      </c>
      <c r="E84" s="740">
        <v>0</v>
      </c>
    </row>
    <row r="86" spans="1:5">
      <c r="A86" t="s">
        <v>589</v>
      </c>
      <c r="C86" s="739">
        <f>SUM(C81:C84)</f>
        <v>3.0061</v>
      </c>
      <c r="D86" s="739">
        <f>SUM(D81:D84)</f>
        <v>1.339</v>
      </c>
      <c r="E86" s="739">
        <f>SUM(E81:E84)</f>
        <v>1.339</v>
      </c>
    </row>
    <row r="87" spans="1:5">
      <c r="A87" t="s">
        <v>588</v>
      </c>
      <c r="C87" s="736">
        <f>C77</f>
        <v>24456.337999999996</v>
      </c>
      <c r="D87" s="736">
        <f>D77</f>
        <v>250551.32399999996</v>
      </c>
      <c r="E87" s="736">
        <f>E77</f>
        <v>65429.062000000013</v>
      </c>
    </row>
    <row r="89" spans="1:5" ht="15" thickBot="1">
      <c r="A89" s="738" t="s">
        <v>590</v>
      </c>
      <c r="C89" s="741">
        <f>C86*C87</f>
        <v>73518.19766179999</v>
      </c>
      <c r="D89" s="741">
        <f>D86*D87</f>
        <v>335488.22283599997</v>
      </c>
      <c r="E89" s="741">
        <f>E86*E87</f>
        <v>87609.514018000016</v>
      </c>
    </row>
    <row r="90" spans="1:5" ht="15" thickBot="1"/>
    <row r="91" spans="1:5" ht="15" thickBot="1">
      <c r="A91" s="738" t="s">
        <v>593</v>
      </c>
      <c r="C91" s="781">
        <f>SUM(C89:E89)</f>
        <v>496615.93451579998</v>
      </c>
      <c r="D91" s="765"/>
      <c r="E91" s="766"/>
    </row>
  </sheetData>
  <mergeCells count="17">
    <mergeCell ref="A42:A53"/>
    <mergeCell ref="A54:A65"/>
    <mergeCell ref="C4:F4"/>
    <mergeCell ref="A1:F1"/>
    <mergeCell ref="A2:F2"/>
    <mergeCell ref="A6:A17"/>
    <mergeCell ref="A18:A29"/>
    <mergeCell ref="A30:A41"/>
    <mergeCell ref="C69:F69"/>
    <mergeCell ref="C79:E79"/>
    <mergeCell ref="C91:E91"/>
    <mergeCell ref="A71:B71"/>
    <mergeCell ref="A72:B72"/>
    <mergeCell ref="A73:B73"/>
    <mergeCell ref="A74:B74"/>
    <mergeCell ref="A75:B75"/>
    <mergeCell ref="A77:B7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4"/>
  <sheetViews>
    <sheetView workbookViewId="0">
      <selection sqref="A1:U1"/>
    </sheetView>
  </sheetViews>
  <sheetFormatPr defaultColWidth="13.88671875" defaultRowHeight="14.4"/>
  <cols>
    <col min="1" max="1" width="10.5546875" customWidth="1"/>
    <col min="2" max="2" width="18.44140625" customWidth="1"/>
    <col min="3" max="3" width="18.5546875" style="26" customWidth="1"/>
    <col min="4" max="4" width="18.6640625" customWidth="1"/>
    <col min="5" max="5" width="18.5546875" style="26" customWidth="1"/>
    <col min="6" max="6" width="18.5546875" customWidth="1"/>
    <col min="7" max="7" width="18.44140625" style="26" customWidth="1"/>
    <col min="8" max="8" width="18.5546875" customWidth="1"/>
    <col min="9" max="9" width="18.5546875" style="26" customWidth="1"/>
    <col min="10" max="10" width="18.5546875" customWidth="1"/>
    <col min="11" max="11" width="18.5546875" style="26" customWidth="1"/>
    <col min="12" max="12" width="18.6640625" customWidth="1"/>
    <col min="13" max="13" width="18.5546875" style="26" customWidth="1"/>
    <col min="14" max="14" width="18.33203125" customWidth="1"/>
    <col min="15" max="15" width="18.6640625" style="26" customWidth="1"/>
    <col min="16" max="16" width="18.5546875" customWidth="1"/>
    <col min="17" max="17" width="18.5546875" style="26" customWidth="1"/>
    <col min="18" max="18" width="18.44140625" customWidth="1"/>
    <col min="19" max="19" width="18.88671875" style="26" customWidth="1"/>
    <col min="20" max="21" width="18.5546875" customWidth="1"/>
  </cols>
  <sheetData>
    <row r="1" spans="1:27">
      <c r="A1" s="784" t="s">
        <v>39</v>
      </c>
      <c r="B1" s="784"/>
      <c r="C1" s="784"/>
      <c r="D1" s="784"/>
      <c r="E1" s="784"/>
      <c r="F1" s="784"/>
      <c r="G1" s="784"/>
      <c r="H1" s="784"/>
      <c r="I1" s="784"/>
      <c r="J1" s="784"/>
      <c r="K1" s="784"/>
      <c r="L1" s="784"/>
      <c r="M1" s="784"/>
      <c r="N1" s="784"/>
      <c r="O1" s="784"/>
      <c r="P1" s="784"/>
      <c r="Q1" s="784"/>
      <c r="R1" s="784"/>
      <c r="S1" s="784"/>
      <c r="T1" s="784"/>
      <c r="U1" s="784"/>
    </row>
    <row r="2" spans="1:27">
      <c r="A2" s="784" t="s">
        <v>116</v>
      </c>
      <c r="B2" s="784"/>
      <c r="C2" s="784"/>
      <c r="D2" s="784"/>
      <c r="E2" s="784"/>
      <c r="F2" s="784"/>
      <c r="G2" s="784"/>
      <c r="H2" s="784"/>
      <c r="I2" s="784"/>
      <c r="J2" s="784"/>
      <c r="K2" s="784"/>
      <c r="L2" s="784"/>
      <c r="M2" s="784"/>
      <c r="N2" s="784"/>
      <c r="O2" s="784"/>
      <c r="P2" s="784"/>
      <c r="Q2" s="784"/>
      <c r="R2" s="784"/>
      <c r="S2" s="784"/>
      <c r="T2" s="784"/>
      <c r="U2" s="784"/>
    </row>
    <row r="3" spans="1:27" ht="15" thickBot="1">
      <c r="A3" s="27"/>
      <c r="B3" s="27"/>
      <c r="C3" s="27"/>
      <c r="D3" s="27"/>
      <c r="E3" s="27"/>
      <c r="F3" s="27"/>
      <c r="G3" s="27"/>
      <c r="H3" s="27"/>
      <c r="I3" s="27"/>
      <c r="J3" s="27"/>
      <c r="K3" s="27"/>
      <c r="L3" s="27"/>
      <c r="M3" s="27"/>
      <c r="N3" s="27"/>
      <c r="O3" s="27"/>
      <c r="P3" s="27"/>
      <c r="Q3" s="27"/>
      <c r="R3" s="27"/>
      <c r="S3" s="27"/>
      <c r="T3" s="27"/>
      <c r="U3" s="27"/>
    </row>
    <row r="4" spans="1:27" ht="15" thickBot="1">
      <c r="A4" s="38"/>
      <c r="B4" s="785" t="s">
        <v>115</v>
      </c>
      <c r="C4" s="786"/>
      <c r="D4" s="785" t="s">
        <v>117</v>
      </c>
      <c r="E4" s="786"/>
      <c r="F4" s="787" t="s">
        <v>113</v>
      </c>
      <c r="G4" s="788"/>
      <c r="H4" s="785" t="s">
        <v>112</v>
      </c>
      <c r="I4" s="786"/>
      <c r="J4" s="789" t="s">
        <v>111</v>
      </c>
      <c r="K4" s="790"/>
      <c r="L4" s="789" t="s">
        <v>110</v>
      </c>
      <c r="M4" s="790"/>
      <c r="N4" s="789" t="s">
        <v>109</v>
      </c>
      <c r="O4" s="790"/>
      <c r="P4" s="789" t="s">
        <v>108</v>
      </c>
      <c r="Q4" s="790"/>
      <c r="R4" s="789" t="s">
        <v>107</v>
      </c>
      <c r="S4" s="790"/>
      <c r="T4" s="38"/>
      <c r="U4" s="38"/>
      <c r="V4" s="37"/>
      <c r="W4" s="37"/>
      <c r="X4" s="37"/>
      <c r="Y4" s="37"/>
      <c r="Z4" s="37"/>
      <c r="AA4" s="37"/>
    </row>
    <row r="5" spans="1:27" s="34" customFormat="1" ht="29.4" customHeight="1">
      <c r="A5" s="36" t="s">
        <v>106</v>
      </c>
      <c r="B5" s="36" t="s">
        <v>120</v>
      </c>
      <c r="C5" s="36" t="s">
        <v>121</v>
      </c>
      <c r="D5" s="36" t="s">
        <v>120</v>
      </c>
      <c r="E5" s="36" t="s">
        <v>121</v>
      </c>
      <c r="F5" s="36" t="s">
        <v>120</v>
      </c>
      <c r="G5" s="36" t="s">
        <v>121</v>
      </c>
      <c r="H5" s="36" t="s">
        <v>120</v>
      </c>
      <c r="I5" s="36" t="s">
        <v>121</v>
      </c>
      <c r="J5" s="36" t="s">
        <v>120</v>
      </c>
      <c r="K5" s="36" t="s">
        <v>121</v>
      </c>
      <c r="L5" s="36" t="s">
        <v>120</v>
      </c>
      <c r="M5" s="36" t="s">
        <v>121</v>
      </c>
      <c r="N5" s="36" t="s">
        <v>120</v>
      </c>
      <c r="O5" s="36" t="s">
        <v>121</v>
      </c>
      <c r="P5" s="36" t="s">
        <v>120</v>
      </c>
      <c r="Q5" s="36" t="s">
        <v>121</v>
      </c>
      <c r="R5" s="36" t="s">
        <v>120</v>
      </c>
      <c r="S5" s="36" t="s">
        <v>121</v>
      </c>
      <c r="T5" s="39" t="s">
        <v>118</v>
      </c>
      <c r="U5" s="39" t="s">
        <v>119</v>
      </c>
      <c r="V5" s="35"/>
      <c r="W5" s="35"/>
      <c r="X5" s="35"/>
      <c r="Y5" s="35"/>
      <c r="Z5" s="35"/>
      <c r="AA5" s="35"/>
    </row>
    <row r="6" spans="1:27">
      <c r="A6">
        <v>2016</v>
      </c>
      <c r="B6" s="32">
        <v>12417806.859999999</v>
      </c>
      <c r="C6" s="31">
        <v>11890578.6</v>
      </c>
      <c r="D6" s="32">
        <v>101545621.76000001</v>
      </c>
      <c r="E6" s="31">
        <v>103444251.55</v>
      </c>
      <c r="F6" s="32">
        <v>16928044.140000001</v>
      </c>
      <c r="G6" s="31">
        <v>16209322.77</v>
      </c>
      <c r="H6" s="32">
        <v>4260874.1100000003</v>
      </c>
      <c r="I6" s="31">
        <v>4161975.68</v>
      </c>
      <c r="J6" s="32">
        <v>10611874.6</v>
      </c>
      <c r="K6" s="31">
        <v>10161321.6</v>
      </c>
      <c r="L6" s="32">
        <v>36015616.93</v>
      </c>
      <c r="M6" s="31">
        <v>34486486.140000001</v>
      </c>
      <c r="N6" s="32">
        <v>15636625.84</v>
      </c>
      <c r="O6" s="31">
        <v>15558442.710000001</v>
      </c>
      <c r="P6" s="32">
        <v>923613.54</v>
      </c>
      <c r="Q6" s="31">
        <v>918995.47</v>
      </c>
      <c r="R6" s="32">
        <v>380124.75</v>
      </c>
      <c r="S6" s="31">
        <v>378224.13</v>
      </c>
      <c r="T6" s="30">
        <f>C6+E6+G6-I6+K6+M6+O6+Q6+S6</f>
        <v>188885647.28999996</v>
      </c>
      <c r="U6" s="29">
        <f>B6+D6+F6-H6+J6+L6+N6+P6+R6</f>
        <v>190198454.31</v>
      </c>
    </row>
    <row r="7" spans="1:27">
      <c r="A7">
        <v>2017</v>
      </c>
      <c r="B7" s="32">
        <v>11538469.039999999</v>
      </c>
      <c r="C7" s="31">
        <v>11048575.220000001</v>
      </c>
      <c r="D7" s="32">
        <v>83793593.040000007</v>
      </c>
      <c r="E7" s="31">
        <v>88774269.400000006</v>
      </c>
      <c r="F7" s="32">
        <v>3775258.08</v>
      </c>
      <c r="G7" s="31">
        <v>3614970.3</v>
      </c>
      <c r="H7" s="32">
        <v>7091444.9800000004</v>
      </c>
      <c r="I7" s="31">
        <v>6926846.6399999997</v>
      </c>
      <c r="J7" s="32">
        <v>10479255.119999999</v>
      </c>
      <c r="K7" s="31">
        <v>10034332.800000001</v>
      </c>
      <c r="L7" s="32">
        <v>49480405.259999998</v>
      </c>
      <c r="M7" s="31">
        <v>47379594.060000002</v>
      </c>
      <c r="N7" s="32">
        <v>31830283.98</v>
      </c>
      <c r="O7" s="31">
        <v>31671132.559999999</v>
      </c>
      <c r="P7" s="32">
        <v>0</v>
      </c>
      <c r="Q7" s="31">
        <v>0</v>
      </c>
      <c r="R7" s="32">
        <v>376031.68</v>
      </c>
      <c r="S7" s="31">
        <v>374151.52</v>
      </c>
      <c r="T7" s="30">
        <f>C7+E7+G7-I7+K7+M7+O7+Q7+S7</f>
        <v>185970179.22</v>
      </c>
      <c r="U7" s="29">
        <f>B7+D7+F7-H7+J7+L7+N7+P7+R7</f>
        <v>184181851.22</v>
      </c>
    </row>
    <row r="8" spans="1:27">
      <c r="A8">
        <v>2018</v>
      </c>
      <c r="B8" s="32">
        <v>12687990.220000001</v>
      </c>
      <c r="C8" s="31">
        <v>12149290.67</v>
      </c>
      <c r="D8" s="32">
        <v>95359936.129999995</v>
      </c>
      <c r="E8" s="31">
        <v>97499012.590000004</v>
      </c>
      <c r="F8" s="32">
        <v>14109115.289999999</v>
      </c>
      <c r="G8" s="31">
        <v>13510078.42</v>
      </c>
      <c r="H8" s="32">
        <v>5848052.5300000003</v>
      </c>
      <c r="I8" s="31">
        <v>5712314.3700000001</v>
      </c>
      <c r="J8" s="32">
        <v>9718833.3200000003</v>
      </c>
      <c r="K8" s="31">
        <v>9306196.5600000005</v>
      </c>
      <c r="L8" s="32">
        <v>42496101.299999997</v>
      </c>
      <c r="M8" s="31">
        <v>40691825.740000002</v>
      </c>
      <c r="N8" s="32">
        <v>20044361.699999999</v>
      </c>
      <c r="O8" s="31">
        <v>19944139.890000001</v>
      </c>
      <c r="P8" s="32">
        <v>3852243.8</v>
      </c>
      <c r="Q8" s="31">
        <v>3832982.58</v>
      </c>
      <c r="R8" s="32">
        <v>373961.39</v>
      </c>
      <c r="S8" s="31">
        <v>372091.58</v>
      </c>
      <c r="T8" s="30">
        <f>C8+E8+G8-I8+K8+M8+O8+Q8+S8</f>
        <v>191593303.66000003</v>
      </c>
      <c r="U8" s="29">
        <f>B8+D8+F8-H8+J8+L8+N8+P8+R8</f>
        <v>192794490.61999995</v>
      </c>
    </row>
    <row r="9" spans="1:27">
      <c r="A9">
        <v>2019</v>
      </c>
      <c r="B9" s="32">
        <v>13055043.34</v>
      </c>
      <c r="C9" s="31">
        <v>12500759.65</v>
      </c>
      <c r="D9" s="32">
        <v>104621632.06999999</v>
      </c>
      <c r="E9" s="31">
        <v>106606402.72</v>
      </c>
      <c r="F9" s="32">
        <v>8840004.3200000003</v>
      </c>
      <c r="G9" s="31">
        <v>8464680.4000000004</v>
      </c>
      <c r="H9" s="32">
        <v>7457770.5</v>
      </c>
      <c r="I9" s="31">
        <v>7284669.4400000004</v>
      </c>
      <c r="J9" s="32">
        <v>10621922.32</v>
      </c>
      <c r="K9" s="31">
        <v>10170942.720000001</v>
      </c>
      <c r="L9" s="32">
        <v>31676486.600000001</v>
      </c>
      <c r="M9" s="31">
        <v>30331584.16</v>
      </c>
      <c r="N9" s="32">
        <v>24404955.300000001</v>
      </c>
      <c r="O9" s="31">
        <v>24282930.52</v>
      </c>
      <c r="P9" s="32">
        <v>4792717.63</v>
      </c>
      <c r="Q9" s="31">
        <v>4768754.04</v>
      </c>
      <c r="R9" s="32">
        <v>361372.28</v>
      </c>
      <c r="S9" s="31">
        <v>359565.42</v>
      </c>
      <c r="T9" s="33">
        <f>C9+E9+G9-I9+K9+M9+O9+Q9+S9</f>
        <v>190200950.19</v>
      </c>
      <c r="U9" s="29">
        <f>B9+D9+F9-H9+J9+L9+N9+P9+R9</f>
        <v>190916363.35999998</v>
      </c>
    </row>
    <row r="10" spans="1:27">
      <c r="A10">
        <v>2020</v>
      </c>
      <c r="B10" s="32">
        <v>12673962.189999999</v>
      </c>
      <c r="C10" s="31">
        <v>12135858.24</v>
      </c>
      <c r="D10" s="32">
        <v>91509283.560000002</v>
      </c>
      <c r="E10" s="31">
        <v>93720747.780000001</v>
      </c>
      <c r="F10" s="32">
        <v>8219799.54</v>
      </c>
      <c r="G10" s="31">
        <v>7870807.9199999999</v>
      </c>
      <c r="H10" s="32">
        <v>7214604.2999999998</v>
      </c>
      <c r="I10" s="31">
        <v>7047147.3399999999</v>
      </c>
      <c r="J10" s="32">
        <v>10627245.699999999</v>
      </c>
      <c r="K10" s="31">
        <v>10176040.08</v>
      </c>
      <c r="L10" s="32">
        <v>41521914.060000002</v>
      </c>
      <c r="M10" s="31">
        <v>39759000</v>
      </c>
      <c r="N10" s="32">
        <v>24632188.02</v>
      </c>
      <c r="O10" s="31">
        <v>24509027.079999998</v>
      </c>
      <c r="P10" s="32">
        <v>5252795.3099999996</v>
      </c>
      <c r="Q10" s="31">
        <v>5226531.34</v>
      </c>
      <c r="R10" s="32">
        <v>364633.66</v>
      </c>
      <c r="S10" s="31">
        <v>362810.5</v>
      </c>
      <c r="T10" s="33">
        <f>C10+E10+G10-I10+K10+M10+O10+Q10+S10</f>
        <v>186713675.59999999</v>
      </c>
      <c r="U10" s="29">
        <f>B10+D10+F10-H10+J10+L10+N10+P10+R10</f>
        <v>187587217.74000001</v>
      </c>
    </row>
    <row r="11" spans="1:27">
      <c r="A11" s="27"/>
      <c r="B11" s="28"/>
      <c r="C11" s="28"/>
      <c r="D11" s="28"/>
      <c r="E11" s="28"/>
      <c r="F11" s="28"/>
      <c r="G11" s="28"/>
      <c r="H11" s="28"/>
      <c r="I11" s="28"/>
      <c r="J11" s="28"/>
      <c r="K11" s="28"/>
      <c r="L11" s="28"/>
      <c r="M11" s="28"/>
      <c r="N11" s="28"/>
      <c r="O11" s="28"/>
      <c r="P11" s="28"/>
      <c r="Q11" s="28"/>
      <c r="R11" s="28"/>
      <c r="S11" s="28"/>
      <c r="T11" s="28"/>
      <c r="U11" s="28"/>
    </row>
    <row r="12" spans="1:27">
      <c r="A12" s="27"/>
      <c r="B12" s="28"/>
      <c r="C12" s="28"/>
      <c r="D12" s="28"/>
      <c r="E12" s="28"/>
      <c r="F12" s="28"/>
      <c r="G12" s="28"/>
      <c r="H12" s="28"/>
      <c r="I12" s="28"/>
      <c r="J12" s="28"/>
      <c r="K12" s="28"/>
      <c r="L12" s="28"/>
      <c r="M12" s="28"/>
      <c r="N12" s="28"/>
      <c r="O12" s="28"/>
      <c r="P12" s="28"/>
      <c r="Q12" s="28"/>
      <c r="R12" s="28"/>
      <c r="S12" s="28"/>
      <c r="T12" s="28"/>
      <c r="U12" s="28"/>
    </row>
    <row r="13" spans="1:27">
      <c r="A13" s="27"/>
      <c r="B13" s="28"/>
      <c r="C13" s="28"/>
      <c r="D13" s="28"/>
      <c r="E13" s="28"/>
      <c r="F13" s="28"/>
      <c r="G13" s="28"/>
      <c r="H13" s="28"/>
      <c r="I13" s="28"/>
      <c r="J13" s="28"/>
      <c r="K13" s="28"/>
      <c r="L13" s="28"/>
      <c r="M13" s="28"/>
      <c r="N13" s="28"/>
      <c r="O13" s="28"/>
      <c r="P13" s="28"/>
      <c r="Q13" s="28"/>
      <c r="R13" s="28"/>
      <c r="S13" s="28"/>
      <c r="T13" s="28"/>
      <c r="U13" s="28"/>
    </row>
    <row r="14" spans="1:27">
      <c r="A14" s="27"/>
      <c r="B14" s="28"/>
      <c r="C14" s="28"/>
      <c r="D14" s="28"/>
      <c r="E14" s="28"/>
      <c r="F14" s="28"/>
      <c r="G14" s="28"/>
      <c r="H14" s="28"/>
      <c r="I14" s="28"/>
      <c r="J14" s="28"/>
      <c r="K14" s="28"/>
      <c r="L14" s="28"/>
      <c r="M14" s="28"/>
      <c r="N14" s="28"/>
      <c r="O14" s="28"/>
      <c r="P14" s="28"/>
      <c r="Q14" s="28"/>
      <c r="R14" s="28"/>
      <c r="S14" s="28"/>
      <c r="T14" s="28"/>
      <c r="U14" s="28"/>
    </row>
    <row r="15" spans="1:27">
      <c r="A15" s="27"/>
      <c r="B15" s="28"/>
      <c r="C15" s="28"/>
      <c r="D15" s="28"/>
      <c r="E15" s="28"/>
      <c r="F15" s="28"/>
      <c r="G15" s="28"/>
      <c r="H15" s="28"/>
      <c r="I15" s="28"/>
      <c r="J15" s="28"/>
      <c r="K15" s="28"/>
      <c r="L15" s="28"/>
      <c r="M15" s="28"/>
      <c r="N15" s="28"/>
      <c r="O15" s="28"/>
      <c r="P15" s="28"/>
      <c r="Q15" s="28"/>
      <c r="R15" s="28"/>
      <c r="S15" s="28"/>
      <c r="T15" s="28"/>
      <c r="U15" s="28"/>
    </row>
    <row r="16" spans="1:27">
      <c r="A16" s="27"/>
      <c r="B16" s="28"/>
      <c r="C16" s="28"/>
      <c r="D16" s="28"/>
      <c r="E16" s="28"/>
      <c r="F16" s="28"/>
      <c r="G16" s="28"/>
      <c r="H16" s="28"/>
      <c r="I16" s="28"/>
      <c r="J16" s="28"/>
      <c r="K16" s="28"/>
      <c r="L16" s="28"/>
      <c r="M16" s="28"/>
      <c r="N16" s="28"/>
      <c r="O16" s="28"/>
      <c r="P16" s="28"/>
      <c r="Q16" s="28"/>
      <c r="R16" s="28"/>
      <c r="S16" s="28"/>
      <c r="T16" s="28"/>
      <c r="U16" s="28"/>
    </row>
    <row r="17" spans="1:21">
      <c r="A17" s="27"/>
      <c r="B17" s="28"/>
      <c r="C17" s="28"/>
      <c r="D17" s="28"/>
      <c r="E17" s="28"/>
      <c r="F17" s="28"/>
      <c r="G17" s="28"/>
      <c r="H17" s="28"/>
      <c r="I17" s="28"/>
      <c r="J17" s="28"/>
      <c r="K17" s="28"/>
      <c r="L17" s="28"/>
      <c r="M17" s="28"/>
      <c r="N17" s="28"/>
      <c r="O17" s="28"/>
      <c r="P17" s="28"/>
      <c r="Q17" s="28"/>
      <c r="R17" s="28"/>
      <c r="S17" s="28"/>
      <c r="T17" s="28"/>
      <c r="U17" s="28"/>
    </row>
    <row r="18" spans="1:21">
      <c r="A18" s="27"/>
      <c r="B18" s="28"/>
      <c r="C18" s="28"/>
      <c r="D18" s="28"/>
      <c r="E18" s="28"/>
      <c r="F18" s="28"/>
      <c r="G18" s="28"/>
      <c r="H18" s="28"/>
      <c r="I18" s="28"/>
      <c r="J18" s="28"/>
      <c r="K18" s="28"/>
      <c r="L18" s="28"/>
      <c r="M18" s="28"/>
      <c r="N18" s="28"/>
      <c r="O18" s="28"/>
      <c r="P18" s="28"/>
      <c r="Q18" s="28"/>
      <c r="R18" s="28"/>
      <c r="S18" s="28"/>
      <c r="T18" s="28"/>
      <c r="U18" s="28"/>
    </row>
    <row r="19" spans="1:21">
      <c r="A19" s="27"/>
      <c r="B19" s="28"/>
      <c r="C19" s="28"/>
      <c r="D19" s="28"/>
      <c r="E19" s="28"/>
      <c r="F19" s="28"/>
      <c r="G19" s="28"/>
      <c r="H19" s="28"/>
      <c r="I19" s="28"/>
      <c r="J19" s="28"/>
      <c r="K19" s="28"/>
      <c r="L19" s="28"/>
      <c r="M19" s="28"/>
      <c r="N19" s="28"/>
      <c r="O19" s="28"/>
      <c r="P19" s="28"/>
      <c r="Q19" s="28"/>
      <c r="R19" s="28"/>
      <c r="S19" s="28"/>
      <c r="T19" s="28"/>
      <c r="U19" s="28"/>
    </row>
    <row r="20" spans="1:21">
      <c r="A20" s="27"/>
      <c r="B20" s="28"/>
      <c r="C20" s="28"/>
      <c r="D20" s="28"/>
      <c r="E20" s="28"/>
      <c r="F20" s="28"/>
      <c r="G20" s="28"/>
      <c r="H20" s="28"/>
      <c r="I20" s="28"/>
      <c r="J20" s="28"/>
      <c r="K20" s="28"/>
      <c r="L20" s="28"/>
      <c r="M20" s="28"/>
      <c r="N20" s="28"/>
      <c r="O20" s="28"/>
      <c r="P20" s="28"/>
      <c r="Q20" s="28"/>
      <c r="R20" s="28"/>
      <c r="S20" s="28"/>
      <c r="T20" s="28"/>
      <c r="U20" s="28"/>
    </row>
    <row r="21" spans="1:21">
      <c r="A21" s="27"/>
      <c r="B21" s="28"/>
      <c r="C21" s="28"/>
      <c r="D21" s="28"/>
      <c r="E21" s="28"/>
      <c r="F21" s="28"/>
      <c r="G21" s="28"/>
      <c r="H21" s="28"/>
      <c r="I21" s="28"/>
      <c r="J21" s="28"/>
      <c r="K21" s="28"/>
      <c r="L21" s="28"/>
      <c r="M21" s="28"/>
      <c r="N21" s="28"/>
      <c r="O21" s="28"/>
      <c r="P21" s="28"/>
      <c r="Q21" s="28"/>
      <c r="R21" s="28"/>
      <c r="S21" s="28"/>
      <c r="T21" s="28"/>
      <c r="U21" s="28"/>
    </row>
    <row r="22" spans="1:21">
      <c r="A22" s="27"/>
      <c r="B22" s="28"/>
      <c r="C22" s="28"/>
      <c r="D22" s="28"/>
      <c r="E22" s="28"/>
      <c r="F22" s="28"/>
      <c r="G22" s="28"/>
      <c r="H22" s="28"/>
      <c r="I22" s="28"/>
      <c r="J22" s="28"/>
      <c r="K22" s="28"/>
      <c r="L22" s="28"/>
      <c r="M22" s="28"/>
      <c r="N22" s="28"/>
      <c r="O22" s="28"/>
      <c r="P22" s="28"/>
      <c r="Q22" s="28"/>
      <c r="R22" s="28"/>
      <c r="S22" s="28"/>
      <c r="T22" s="28"/>
      <c r="U22" s="28"/>
    </row>
    <row r="23" spans="1:21">
      <c r="A23" s="27"/>
      <c r="B23" s="28"/>
      <c r="C23" s="28"/>
      <c r="D23" s="28"/>
      <c r="E23" s="28"/>
      <c r="F23" s="28"/>
      <c r="G23" s="28"/>
      <c r="H23" s="28"/>
      <c r="I23" s="28"/>
      <c r="J23" s="28"/>
      <c r="K23" s="28"/>
      <c r="L23" s="28"/>
      <c r="M23" s="28"/>
      <c r="N23" s="28"/>
      <c r="O23" s="28"/>
      <c r="P23" s="28"/>
      <c r="Q23" s="28"/>
      <c r="R23" s="28"/>
      <c r="S23" s="28"/>
      <c r="T23" s="28"/>
      <c r="U23" s="28"/>
    </row>
    <row r="24" spans="1:21">
      <c r="A24" s="27"/>
      <c r="B24" s="28"/>
      <c r="C24" s="28"/>
      <c r="D24" s="28"/>
      <c r="E24" s="28"/>
      <c r="F24" s="28"/>
      <c r="G24" s="28"/>
      <c r="H24" s="28"/>
      <c r="I24" s="28"/>
      <c r="J24" s="28"/>
      <c r="K24" s="28"/>
      <c r="L24" s="28"/>
      <c r="M24" s="28"/>
      <c r="N24" s="28"/>
      <c r="O24" s="28"/>
      <c r="P24" s="28"/>
      <c r="Q24" s="28"/>
      <c r="R24" s="28"/>
      <c r="S24" s="28"/>
      <c r="T24" s="28"/>
      <c r="U24" s="28"/>
    </row>
    <row r="25" spans="1:21">
      <c r="A25" s="27"/>
      <c r="B25" s="28"/>
      <c r="C25" s="28"/>
      <c r="D25" s="28"/>
      <c r="E25" s="28"/>
      <c r="F25" s="28"/>
      <c r="G25" s="28"/>
      <c r="H25" s="28"/>
      <c r="I25" s="28"/>
      <c r="J25" s="28"/>
      <c r="K25" s="28"/>
      <c r="L25" s="28"/>
      <c r="M25" s="28"/>
      <c r="N25" s="28"/>
      <c r="O25" s="28"/>
      <c r="P25" s="28"/>
      <c r="Q25" s="28"/>
      <c r="R25" s="28"/>
      <c r="S25" s="28"/>
      <c r="T25" s="28"/>
      <c r="U25" s="28"/>
    </row>
    <row r="26" spans="1:21">
      <c r="A26" s="27"/>
      <c r="B26" s="28"/>
      <c r="C26" s="28"/>
      <c r="D26" s="28"/>
      <c r="E26" s="28"/>
      <c r="F26" s="28"/>
      <c r="G26" s="28"/>
      <c r="H26" s="28"/>
      <c r="I26" s="28"/>
      <c r="J26" s="28"/>
      <c r="K26" s="28"/>
      <c r="L26" s="28"/>
      <c r="M26" s="28"/>
      <c r="N26" s="28"/>
      <c r="O26" s="28"/>
      <c r="P26" s="28"/>
      <c r="Q26" s="28"/>
      <c r="R26" s="28"/>
      <c r="S26" s="28"/>
      <c r="T26" s="28"/>
      <c r="U26" s="28"/>
    </row>
    <row r="27" spans="1:21">
      <c r="A27" s="27"/>
      <c r="B27" s="28"/>
      <c r="C27" s="28"/>
      <c r="D27" s="28"/>
      <c r="E27" s="28"/>
      <c r="F27" s="28"/>
      <c r="G27" s="28"/>
      <c r="H27" s="28"/>
      <c r="I27" s="28"/>
      <c r="J27" s="28"/>
      <c r="K27" s="28"/>
      <c r="L27" s="28"/>
      <c r="M27" s="28"/>
      <c r="N27" s="28"/>
      <c r="O27" s="28"/>
      <c r="P27" s="28"/>
      <c r="Q27" s="28"/>
      <c r="R27" s="28"/>
      <c r="S27" s="28"/>
      <c r="T27" s="28"/>
      <c r="U27" s="28"/>
    </row>
    <row r="28" spans="1:21">
      <c r="A28" s="27"/>
      <c r="B28" s="28"/>
      <c r="C28" s="28"/>
      <c r="D28" s="28"/>
      <c r="E28" s="28"/>
      <c r="F28" s="28"/>
      <c r="G28" s="28"/>
      <c r="H28" s="28"/>
      <c r="I28" s="28"/>
      <c r="J28" s="28"/>
      <c r="K28" s="28"/>
      <c r="L28" s="28"/>
      <c r="M28" s="28"/>
      <c r="N28" s="28"/>
      <c r="O28" s="28"/>
      <c r="P28" s="28"/>
      <c r="Q28" s="28"/>
      <c r="R28" s="28"/>
      <c r="S28" s="28"/>
      <c r="T28" s="28"/>
      <c r="U28" s="28"/>
    </row>
    <row r="29" spans="1:21">
      <c r="A29" s="27"/>
      <c r="B29" s="28"/>
      <c r="C29" s="28"/>
      <c r="D29" s="28"/>
      <c r="E29" s="28"/>
      <c r="F29" s="28"/>
      <c r="G29" s="28"/>
      <c r="H29" s="28"/>
      <c r="I29" s="28"/>
      <c r="J29" s="28"/>
      <c r="K29" s="28"/>
      <c r="L29" s="28"/>
      <c r="M29" s="28"/>
      <c r="N29" s="28"/>
      <c r="O29" s="28"/>
      <c r="P29" s="28"/>
      <c r="Q29" s="28"/>
      <c r="R29" s="28"/>
      <c r="S29" s="28"/>
      <c r="T29" s="28"/>
      <c r="U29" s="28"/>
    </row>
    <row r="30" spans="1:21">
      <c r="A30" s="27"/>
      <c r="B30" s="28"/>
      <c r="C30" s="28"/>
      <c r="D30" s="28"/>
      <c r="E30" s="28"/>
      <c r="F30" s="28"/>
      <c r="G30" s="28"/>
      <c r="H30" s="28"/>
      <c r="I30" s="28"/>
      <c r="J30" s="28"/>
      <c r="K30" s="28"/>
      <c r="L30" s="28"/>
      <c r="M30" s="28"/>
      <c r="N30" s="28"/>
      <c r="O30" s="28"/>
      <c r="P30" s="28"/>
      <c r="Q30" s="28"/>
      <c r="R30" s="28"/>
      <c r="S30" s="28"/>
      <c r="T30" s="28"/>
      <c r="U30" s="28"/>
    </row>
    <row r="31" spans="1:21">
      <c r="A31" s="27"/>
      <c r="B31" s="28"/>
      <c r="C31" s="28"/>
      <c r="D31" s="28"/>
      <c r="E31" s="28"/>
      <c r="F31" s="28"/>
      <c r="G31" s="28"/>
      <c r="H31" s="28"/>
      <c r="I31" s="28"/>
      <c r="J31" s="28"/>
      <c r="K31" s="28"/>
      <c r="L31" s="28"/>
      <c r="M31" s="28"/>
      <c r="N31" s="28"/>
      <c r="O31" s="28"/>
      <c r="P31" s="28"/>
      <c r="Q31" s="28"/>
      <c r="R31" s="28"/>
      <c r="S31" s="28"/>
      <c r="T31" s="28"/>
      <c r="U31" s="28"/>
    </row>
    <row r="32" spans="1:21">
      <c r="A32" s="27"/>
      <c r="B32" s="28"/>
      <c r="C32" s="28"/>
      <c r="D32" s="28"/>
      <c r="E32" s="28"/>
      <c r="F32" s="28"/>
      <c r="G32" s="28"/>
      <c r="H32" s="28"/>
      <c r="I32" s="28"/>
      <c r="J32" s="28"/>
      <c r="K32" s="28"/>
      <c r="L32" s="28"/>
      <c r="M32" s="28"/>
      <c r="N32" s="28"/>
      <c r="O32" s="28"/>
      <c r="P32" s="28"/>
      <c r="Q32" s="28"/>
      <c r="R32" s="28"/>
      <c r="S32" s="28"/>
      <c r="T32" s="28"/>
      <c r="U32" s="28"/>
    </row>
    <row r="33" spans="1:21">
      <c r="A33" s="27"/>
      <c r="B33" s="28"/>
      <c r="C33" s="28"/>
      <c r="D33" s="28"/>
      <c r="E33" s="28"/>
      <c r="F33" s="28"/>
      <c r="G33" s="28"/>
      <c r="H33" s="28"/>
      <c r="I33" s="28"/>
      <c r="J33" s="28"/>
      <c r="K33" s="28"/>
      <c r="L33" s="28"/>
      <c r="M33" s="28"/>
      <c r="N33" s="28"/>
      <c r="O33" s="28"/>
      <c r="P33" s="28"/>
      <c r="Q33" s="28"/>
      <c r="R33" s="28"/>
      <c r="S33" s="28"/>
      <c r="T33" s="28"/>
      <c r="U33" s="28"/>
    </row>
    <row r="34" spans="1:21">
      <c r="A34" s="27"/>
      <c r="B34" s="28"/>
      <c r="C34" s="28"/>
      <c r="D34" s="28"/>
      <c r="E34" s="28"/>
      <c r="F34" s="28"/>
      <c r="G34" s="28"/>
      <c r="H34" s="28"/>
      <c r="I34" s="28"/>
      <c r="J34" s="28"/>
      <c r="K34" s="28"/>
      <c r="L34" s="28"/>
      <c r="M34" s="28"/>
      <c r="N34" s="28"/>
      <c r="O34" s="28"/>
      <c r="P34" s="28"/>
      <c r="Q34" s="28"/>
      <c r="R34" s="28"/>
      <c r="S34" s="28"/>
      <c r="T34" s="28"/>
      <c r="U34" s="28"/>
    </row>
    <row r="35" spans="1:21">
      <c r="A35" s="27"/>
      <c r="B35" s="28"/>
      <c r="C35" s="28"/>
      <c r="D35" s="28"/>
      <c r="E35" s="28"/>
      <c r="F35" s="28"/>
      <c r="G35" s="28"/>
      <c r="H35" s="28"/>
      <c r="I35" s="28"/>
      <c r="J35" s="28"/>
      <c r="K35" s="28"/>
      <c r="L35" s="28"/>
      <c r="M35" s="28"/>
      <c r="N35" s="28"/>
      <c r="O35" s="28"/>
      <c r="P35" s="28"/>
      <c r="Q35" s="28"/>
      <c r="R35" s="28"/>
      <c r="S35" s="28"/>
      <c r="T35" s="28"/>
      <c r="U35" s="28"/>
    </row>
    <row r="36" spans="1:21">
      <c r="A36" s="27"/>
      <c r="B36" s="28"/>
      <c r="C36" s="28"/>
      <c r="D36" s="28"/>
      <c r="E36" s="28"/>
      <c r="F36" s="28"/>
      <c r="G36" s="28"/>
      <c r="H36" s="28"/>
      <c r="I36" s="28"/>
      <c r="J36" s="28"/>
      <c r="K36" s="28"/>
      <c r="L36" s="28"/>
      <c r="M36" s="28"/>
      <c r="N36" s="28"/>
      <c r="O36" s="28"/>
      <c r="P36" s="28"/>
      <c r="Q36" s="28"/>
      <c r="R36" s="28"/>
      <c r="S36" s="28"/>
      <c r="T36" s="28"/>
      <c r="U36" s="28"/>
    </row>
    <row r="37" spans="1:21">
      <c r="A37" s="27"/>
      <c r="B37" s="27"/>
      <c r="C37" s="27"/>
      <c r="D37" s="27"/>
      <c r="E37" s="27"/>
      <c r="F37" s="27"/>
      <c r="G37" s="27"/>
      <c r="H37" s="27"/>
      <c r="I37" s="27"/>
      <c r="J37" s="27"/>
      <c r="K37" s="27"/>
      <c r="L37" s="27"/>
      <c r="M37" s="27"/>
      <c r="N37" s="27"/>
      <c r="O37" s="27"/>
      <c r="P37" s="27"/>
      <c r="Q37" s="27"/>
      <c r="R37" s="27"/>
      <c r="S37" s="27"/>
      <c r="T37" s="27"/>
      <c r="U37" s="27"/>
    </row>
    <row r="38" spans="1:21">
      <c r="A38" s="27"/>
      <c r="B38" s="27"/>
      <c r="C38" s="27"/>
      <c r="D38" s="27"/>
      <c r="E38" s="27"/>
      <c r="F38" s="27"/>
      <c r="G38" s="27"/>
      <c r="H38" s="27"/>
      <c r="I38" s="27"/>
      <c r="J38" s="27"/>
      <c r="K38" s="27"/>
      <c r="L38" s="27"/>
      <c r="M38" s="27"/>
      <c r="N38" s="27"/>
      <c r="O38" s="27"/>
      <c r="P38" s="27"/>
      <c r="Q38" s="27"/>
      <c r="R38" s="27"/>
      <c r="S38" s="27"/>
      <c r="T38" s="27"/>
      <c r="U38" s="27"/>
    </row>
    <row r="39" spans="1:21">
      <c r="A39" s="27"/>
      <c r="B39" s="27"/>
      <c r="C39" s="27"/>
      <c r="D39" s="27"/>
      <c r="E39" s="27"/>
      <c r="F39" s="27"/>
      <c r="G39" s="27"/>
      <c r="H39" s="27"/>
      <c r="I39" s="27"/>
      <c r="J39" s="27"/>
      <c r="K39" s="27"/>
      <c r="L39" s="27"/>
      <c r="M39" s="27"/>
      <c r="N39" s="27"/>
      <c r="O39" s="27"/>
      <c r="P39" s="27"/>
      <c r="Q39" s="27"/>
      <c r="R39" s="27"/>
      <c r="S39" s="27"/>
      <c r="T39" s="27"/>
      <c r="U39" s="27"/>
    </row>
    <row r="40" spans="1:21">
      <c r="A40" s="27"/>
      <c r="B40" s="27"/>
      <c r="C40" s="27"/>
      <c r="D40" s="27"/>
      <c r="E40" s="27"/>
      <c r="F40" s="27"/>
      <c r="G40" s="27"/>
      <c r="H40" s="27"/>
      <c r="I40" s="27"/>
      <c r="J40" s="27"/>
      <c r="K40" s="27"/>
      <c r="L40" s="27"/>
      <c r="M40" s="27"/>
      <c r="N40" s="27"/>
      <c r="O40" s="27"/>
      <c r="P40" s="27"/>
      <c r="Q40" s="27"/>
      <c r="R40" s="27"/>
      <c r="S40" s="27"/>
      <c r="T40" s="27"/>
      <c r="U40" s="27"/>
    </row>
    <row r="41" spans="1:21">
      <c r="A41" s="27"/>
      <c r="B41" s="27"/>
      <c r="C41" s="27"/>
      <c r="D41" s="27"/>
      <c r="E41" s="27"/>
      <c r="F41" s="27"/>
      <c r="G41" s="27"/>
      <c r="H41" s="27"/>
      <c r="I41" s="27"/>
      <c r="J41" s="27"/>
      <c r="K41" s="27"/>
      <c r="L41" s="27"/>
      <c r="M41" s="27"/>
      <c r="N41" s="27"/>
      <c r="O41" s="27"/>
      <c r="P41" s="27"/>
      <c r="Q41" s="27"/>
      <c r="R41" s="27"/>
      <c r="S41" s="27"/>
      <c r="T41" s="27"/>
      <c r="U41" s="27"/>
    </row>
    <row r="42" spans="1:21">
      <c r="A42" s="27"/>
      <c r="B42" s="27"/>
      <c r="C42" s="27"/>
      <c r="D42" s="27"/>
      <c r="E42" s="27"/>
      <c r="F42" s="27"/>
      <c r="G42" s="27"/>
      <c r="H42" s="27"/>
      <c r="I42" s="27"/>
      <c r="J42" s="27"/>
      <c r="K42" s="27"/>
      <c r="L42" s="27"/>
      <c r="M42" s="27"/>
      <c r="N42" s="27"/>
      <c r="O42" s="27"/>
      <c r="P42" s="27"/>
      <c r="Q42" s="27"/>
      <c r="R42" s="27"/>
      <c r="S42" s="27"/>
      <c r="T42" s="27"/>
      <c r="U42" s="27"/>
    </row>
    <row r="43" spans="1:21">
      <c r="A43" s="27"/>
      <c r="B43" s="27"/>
      <c r="C43" s="27"/>
      <c r="D43" s="27"/>
      <c r="E43" s="27"/>
      <c r="F43" s="27"/>
      <c r="G43" s="27"/>
      <c r="H43" s="27"/>
      <c r="I43" s="27"/>
      <c r="J43" s="27"/>
      <c r="K43" s="27"/>
      <c r="L43" s="27"/>
      <c r="M43" s="27"/>
      <c r="N43" s="27"/>
      <c r="O43" s="27"/>
      <c r="P43" s="27"/>
      <c r="Q43" s="27"/>
      <c r="R43" s="27"/>
      <c r="S43" s="27"/>
      <c r="T43" s="27"/>
      <c r="U43" s="27"/>
    </row>
    <row r="44" spans="1:21">
      <c r="A44" s="27"/>
      <c r="B44" s="27"/>
      <c r="C44" s="27"/>
      <c r="D44" s="27"/>
      <c r="E44" s="27"/>
      <c r="F44" s="27"/>
      <c r="G44" s="27"/>
      <c r="H44" s="27"/>
      <c r="I44" s="27"/>
      <c r="J44" s="27"/>
      <c r="K44" s="27"/>
      <c r="L44" s="27"/>
      <c r="M44" s="27"/>
      <c r="N44" s="27"/>
      <c r="O44" s="27"/>
      <c r="P44" s="27"/>
      <c r="Q44" s="27"/>
      <c r="R44" s="27"/>
      <c r="S44" s="27"/>
      <c r="T44" s="27"/>
      <c r="U44" s="27"/>
    </row>
    <row r="45" spans="1:21">
      <c r="A45" s="27"/>
      <c r="B45" s="27"/>
      <c r="C45" s="27"/>
      <c r="D45" s="27"/>
      <c r="E45" s="27"/>
      <c r="F45" s="27"/>
      <c r="G45" s="27"/>
      <c r="H45" s="27"/>
      <c r="I45" s="27"/>
      <c r="J45" s="27"/>
      <c r="K45" s="27"/>
      <c r="L45" s="27"/>
      <c r="M45" s="27"/>
      <c r="N45" s="27"/>
      <c r="O45" s="27"/>
      <c r="P45" s="27"/>
      <c r="Q45" s="27"/>
      <c r="R45" s="27"/>
      <c r="S45" s="27"/>
      <c r="T45" s="27"/>
      <c r="U45" s="27"/>
    </row>
    <row r="46" spans="1:21">
      <c r="A46" s="27"/>
      <c r="B46" s="27"/>
      <c r="C46" s="27"/>
      <c r="D46" s="27"/>
      <c r="E46" s="27"/>
      <c r="F46" s="27"/>
      <c r="G46" s="27"/>
      <c r="H46" s="27"/>
      <c r="I46" s="27"/>
      <c r="J46" s="27"/>
      <c r="K46" s="27"/>
      <c r="L46" s="27"/>
      <c r="M46" s="27"/>
      <c r="N46" s="27"/>
      <c r="O46" s="27"/>
      <c r="P46" s="27"/>
      <c r="Q46" s="27"/>
      <c r="R46" s="27"/>
      <c r="S46" s="27"/>
      <c r="T46" s="27"/>
      <c r="U46" s="27"/>
    </row>
    <row r="47" spans="1:21">
      <c r="A47" s="27"/>
      <c r="B47" s="27"/>
      <c r="C47" s="27"/>
      <c r="D47" s="27"/>
      <c r="E47" s="27"/>
      <c r="F47" s="27"/>
      <c r="G47" s="27"/>
      <c r="H47" s="27"/>
      <c r="I47" s="27"/>
      <c r="J47" s="27"/>
      <c r="K47" s="27"/>
      <c r="L47" s="27"/>
      <c r="M47" s="27"/>
      <c r="N47" s="27"/>
      <c r="O47" s="27"/>
      <c r="P47" s="27"/>
      <c r="Q47" s="27"/>
      <c r="R47" s="27"/>
      <c r="S47" s="27"/>
      <c r="T47" s="27"/>
      <c r="U47" s="27"/>
    </row>
    <row r="48" spans="1:21">
      <c r="A48" s="27"/>
      <c r="B48" s="27"/>
      <c r="C48" s="27"/>
      <c r="D48" s="27"/>
      <c r="E48" s="27"/>
      <c r="F48" s="27"/>
      <c r="G48" s="27"/>
      <c r="H48" s="27"/>
      <c r="I48" s="27"/>
      <c r="J48" s="27"/>
      <c r="K48" s="27"/>
      <c r="L48" s="27"/>
      <c r="M48" s="27"/>
      <c r="N48" s="27"/>
      <c r="O48" s="27"/>
      <c r="P48" s="27"/>
      <c r="Q48" s="27"/>
      <c r="R48" s="27"/>
      <c r="S48" s="27"/>
      <c r="T48" s="27"/>
      <c r="U48" s="27"/>
    </row>
    <row r="49" spans="1:21">
      <c r="A49" s="27"/>
      <c r="B49" s="27"/>
      <c r="C49" s="27"/>
      <c r="D49" s="27"/>
      <c r="E49" s="27"/>
      <c r="F49" s="27"/>
      <c r="G49" s="27"/>
      <c r="H49" s="27"/>
      <c r="I49" s="27"/>
      <c r="J49" s="27"/>
      <c r="K49" s="27"/>
      <c r="L49" s="27"/>
      <c r="M49" s="27"/>
      <c r="N49" s="27"/>
      <c r="O49" s="27"/>
      <c r="P49" s="27"/>
      <c r="Q49" s="27"/>
      <c r="R49" s="27"/>
      <c r="S49" s="27"/>
      <c r="T49" s="27"/>
      <c r="U49" s="27"/>
    </row>
    <row r="50" spans="1:21">
      <c r="A50" s="27"/>
      <c r="B50" s="27"/>
      <c r="C50" s="27"/>
      <c r="D50" s="27"/>
      <c r="E50" s="27"/>
      <c r="F50" s="27"/>
      <c r="G50" s="27"/>
      <c r="H50" s="27"/>
      <c r="I50" s="27"/>
      <c r="J50" s="27"/>
      <c r="K50" s="27"/>
      <c r="L50" s="27"/>
      <c r="M50" s="27"/>
      <c r="N50" s="27"/>
      <c r="O50" s="27"/>
      <c r="P50" s="27"/>
      <c r="Q50" s="27"/>
      <c r="R50" s="27"/>
      <c r="S50" s="27"/>
      <c r="T50" s="27"/>
      <c r="U50" s="27"/>
    </row>
    <row r="51" spans="1:21">
      <c r="A51" s="27"/>
      <c r="B51" s="27"/>
      <c r="C51" s="27"/>
      <c r="D51" s="27"/>
      <c r="E51" s="27"/>
      <c r="F51" s="27"/>
      <c r="G51" s="27"/>
      <c r="H51" s="27"/>
      <c r="I51" s="27"/>
      <c r="J51" s="27"/>
      <c r="K51" s="27"/>
      <c r="L51" s="27"/>
      <c r="M51" s="27"/>
      <c r="N51" s="27"/>
      <c r="O51" s="27"/>
      <c r="P51" s="27"/>
      <c r="Q51" s="27"/>
      <c r="R51" s="27"/>
      <c r="S51" s="27"/>
      <c r="T51" s="27"/>
      <c r="U51" s="27"/>
    </row>
    <row r="52" spans="1:21">
      <c r="A52" s="27"/>
      <c r="B52" s="27"/>
      <c r="C52" s="27"/>
      <c r="D52" s="27"/>
      <c r="E52" s="27"/>
      <c r="F52" s="27"/>
      <c r="G52" s="27"/>
      <c r="H52" s="27"/>
      <c r="I52" s="27"/>
      <c r="J52" s="27"/>
      <c r="K52" s="27"/>
      <c r="L52" s="27"/>
      <c r="M52" s="27"/>
      <c r="N52" s="27"/>
      <c r="O52" s="27"/>
      <c r="P52" s="27"/>
      <c r="Q52" s="27"/>
      <c r="R52" s="27"/>
      <c r="S52" s="27"/>
      <c r="T52" s="27"/>
      <c r="U52" s="27"/>
    </row>
    <row r="53" spans="1:21">
      <c r="A53" s="27"/>
      <c r="B53" s="27"/>
      <c r="C53" s="27"/>
      <c r="D53" s="27"/>
      <c r="E53" s="27"/>
      <c r="F53" s="27"/>
      <c r="G53" s="27"/>
      <c r="H53" s="27"/>
      <c r="I53" s="27"/>
      <c r="J53" s="27"/>
      <c r="K53" s="27"/>
      <c r="L53" s="27"/>
      <c r="M53" s="27"/>
      <c r="N53" s="27"/>
      <c r="O53" s="27"/>
      <c r="P53" s="27"/>
      <c r="Q53" s="27"/>
      <c r="R53" s="27"/>
      <c r="S53" s="27"/>
      <c r="T53" s="27"/>
      <c r="U53" s="27"/>
    </row>
    <row r="54" spans="1:21">
      <c r="A54" s="27"/>
      <c r="B54" s="27"/>
      <c r="C54" s="27"/>
      <c r="D54" s="27"/>
      <c r="E54" s="27"/>
      <c r="F54" s="27"/>
      <c r="G54" s="27"/>
      <c r="H54" s="27"/>
      <c r="I54" s="27"/>
      <c r="J54" s="27"/>
      <c r="K54" s="27"/>
      <c r="L54" s="27"/>
      <c r="M54" s="27"/>
      <c r="N54" s="27"/>
      <c r="O54" s="27"/>
      <c r="P54" s="27"/>
      <c r="Q54" s="27"/>
      <c r="R54" s="27"/>
      <c r="S54" s="27"/>
      <c r="T54" s="27"/>
      <c r="U54" s="27"/>
    </row>
    <row r="55" spans="1:21">
      <c r="A55" s="27"/>
      <c r="B55" s="27"/>
      <c r="C55" s="27"/>
      <c r="D55" s="27"/>
      <c r="E55" s="27"/>
      <c r="F55" s="27"/>
      <c r="G55" s="27"/>
      <c r="H55" s="27"/>
      <c r="I55" s="27"/>
      <c r="J55" s="27"/>
      <c r="K55" s="27"/>
      <c r="L55" s="27"/>
      <c r="M55" s="27"/>
      <c r="N55" s="27"/>
      <c r="O55" s="27"/>
      <c r="P55" s="27"/>
      <c r="Q55" s="27"/>
      <c r="R55" s="27"/>
      <c r="S55" s="27"/>
      <c r="T55" s="27"/>
      <c r="U55" s="27"/>
    </row>
    <row r="56" spans="1:21">
      <c r="A56" s="27"/>
      <c r="B56" s="27"/>
      <c r="C56" s="27"/>
      <c r="D56" s="27"/>
      <c r="E56" s="27"/>
      <c r="F56" s="27"/>
      <c r="G56" s="27"/>
      <c r="H56" s="27"/>
      <c r="I56" s="27"/>
      <c r="J56" s="27"/>
      <c r="K56" s="27"/>
      <c r="L56" s="27"/>
      <c r="M56" s="27"/>
      <c r="N56" s="27"/>
      <c r="O56" s="27"/>
      <c r="P56" s="27"/>
      <c r="Q56" s="27"/>
      <c r="R56" s="27"/>
      <c r="S56" s="27"/>
      <c r="T56" s="27"/>
      <c r="U56" s="27"/>
    </row>
    <row r="57" spans="1:21">
      <c r="A57" s="27"/>
      <c r="B57" s="27"/>
      <c r="C57" s="27"/>
      <c r="D57" s="27"/>
      <c r="E57" s="27"/>
      <c r="F57" s="27"/>
      <c r="G57" s="27"/>
      <c r="H57" s="27"/>
      <c r="I57" s="27"/>
      <c r="J57" s="27"/>
      <c r="K57" s="27"/>
      <c r="L57" s="27"/>
      <c r="M57" s="27"/>
      <c r="N57" s="27"/>
      <c r="O57" s="27"/>
      <c r="P57" s="27"/>
      <c r="Q57" s="27"/>
      <c r="R57" s="27"/>
      <c r="S57" s="27"/>
      <c r="T57" s="27"/>
      <c r="U57" s="27"/>
    </row>
    <row r="58" spans="1:21">
      <c r="A58" s="27"/>
      <c r="B58" s="27"/>
      <c r="C58" s="27"/>
      <c r="D58" s="27"/>
      <c r="E58" s="27"/>
      <c r="F58" s="27"/>
      <c r="G58" s="27"/>
      <c r="H58" s="27"/>
      <c r="I58" s="27"/>
      <c r="J58" s="27"/>
      <c r="K58" s="27"/>
      <c r="L58" s="27"/>
      <c r="M58" s="27"/>
      <c r="N58" s="27"/>
      <c r="O58" s="27"/>
      <c r="P58" s="27"/>
      <c r="Q58" s="27"/>
      <c r="R58" s="27"/>
      <c r="S58" s="27"/>
      <c r="T58" s="27"/>
      <c r="U58" s="27"/>
    </row>
    <row r="59" spans="1:21">
      <c r="A59" s="27"/>
      <c r="B59" s="27"/>
      <c r="C59" s="27"/>
      <c r="D59" s="27"/>
      <c r="E59" s="27"/>
      <c r="F59" s="27"/>
      <c r="G59" s="27"/>
      <c r="H59" s="27"/>
      <c r="I59" s="27"/>
      <c r="J59" s="27"/>
      <c r="K59" s="27"/>
      <c r="L59" s="27"/>
      <c r="M59" s="27"/>
      <c r="N59" s="27"/>
      <c r="O59" s="27"/>
      <c r="P59" s="27"/>
      <c r="Q59" s="27"/>
      <c r="R59" s="27"/>
      <c r="S59" s="27"/>
      <c r="T59" s="27"/>
      <c r="U59" s="27"/>
    </row>
    <row r="60" spans="1:21">
      <c r="A60" s="27"/>
      <c r="B60" s="27"/>
      <c r="C60" s="27"/>
      <c r="D60" s="27"/>
      <c r="E60" s="27"/>
      <c r="F60" s="27"/>
      <c r="G60" s="27"/>
      <c r="H60" s="27"/>
      <c r="I60" s="27"/>
      <c r="J60" s="27"/>
      <c r="K60" s="27"/>
      <c r="L60" s="27"/>
      <c r="M60" s="27"/>
      <c r="N60" s="27"/>
      <c r="O60" s="27"/>
      <c r="P60" s="27"/>
      <c r="Q60" s="27"/>
      <c r="R60" s="27"/>
      <c r="S60" s="27"/>
      <c r="T60" s="27"/>
      <c r="U60" s="27"/>
    </row>
    <row r="61" spans="1:21">
      <c r="A61" s="27"/>
      <c r="B61" s="27"/>
      <c r="C61" s="27"/>
      <c r="D61" s="27"/>
      <c r="E61" s="27"/>
      <c r="F61" s="27"/>
      <c r="G61" s="27"/>
      <c r="H61" s="27"/>
      <c r="I61" s="27"/>
      <c r="J61" s="27"/>
      <c r="K61" s="27"/>
      <c r="L61" s="27"/>
      <c r="M61" s="27"/>
      <c r="N61" s="27"/>
      <c r="O61" s="27"/>
      <c r="P61" s="27"/>
      <c r="Q61" s="27"/>
      <c r="R61" s="27"/>
      <c r="S61" s="27"/>
      <c r="T61" s="27"/>
      <c r="U61" s="27"/>
    </row>
    <row r="62" spans="1:21">
      <c r="A62" s="27"/>
      <c r="B62" s="27"/>
      <c r="C62" s="27"/>
      <c r="D62" s="27"/>
      <c r="E62" s="27"/>
      <c r="F62" s="27"/>
      <c r="G62" s="27"/>
      <c r="H62" s="27"/>
      <c r="I62" s="27"/>
      <c r="J62" s="27"/>
      <c r="K62" s="27"/>
      <c r="L62" s="27"/>
      <c r="M62" s="27"/>
      <c r="N62" s="27"/>
      <c r="O62" s="27"/>
      <c r="P62" s="27"/>
      <c r="Q62" s="27"/>
      <c r="R62" s="27"/>
      <c r="S62" s="27"/>
      <c r="T62" s="27"/>
      <c r="U62" s="27"/>
    </row>
    <row r="63" spans="1:21">
      <c r="A63" s="27"/>
      <c r="B63" s="27"/>
      <c r="C63" s="27"/>
      <c r="D63" s="27"/>
      <c r="E63" s="27"/>
      <c r="F63" s="27"/>
      <c r="G63" s="27"/>
      <c r="H63" s="27"/>
      <c r="I63" s="27"/>
      <c r="J63" s="27"/>
      <c r="K63" s="27"/>
      <c r="L63" s="27"/>
      <c r="M63" s="27"/>
      <c r="N63" s="27"/>
      <c r="O63" s="27"/>
      <c r="P63" s="27"/>
      <c r="Q63" s="27"/>
      <c r="R63" s="27"/>
      <c r="S63" s="27"/>
      <c r="T63" s="27"/>
      <c r="U63" s="27"/>
    </row>
    <row r="64" spans="1:21">
      <c r="A64" s="27"/>
      <c r="B64" s="27"/>
      <c r="C64" s="27"/>
      <c r="D64" s="27"/>
      <c r="E64" s="27"/>
      <c r="F64" s="27"/>
      <c r="G64" s="27"/>
      <c r="H64" s="27"/>
      <c r="I64" s="27"/>
      <c r="J64" s="27"/>
      <c r="K64" s="27"/>
      <c r="L64" s="27"/>
      <c r="M64" s="27"/>
      <c r="N64" s="27"/>
      <c r="O64" s="27"/>
      <c r="P64" s="27"/>
      <c r="Q64" s="27"/>
      <c r="R64" s="27"/>
      <c r="S64" s="27"/>
      <c r="T64" s="27"/>
      <c r="U64" s="27"/>
    </row>
    <row r="65" spans="1:21">
      <c r="A65" s="27"/>
      <c r="B65" s="27"/>
      <c r="C65" s="27"/>
      <c r="D65" s="27"/>
      <c r="E65" s="27"/>
      <c r="F65" s="27"/>
      <c r="G65" s="27"/>
      <c r="H65" s="27"/>
      <c r="I65" s="27"/>
      <c r="J65" s="27"/>
      <c r="K65" s="27"/>
      <c r="L65" s="27"/>
      <c r="M65" s="27"/>
      <c r="N65" s="27"/>
      <c r="O65" s="27"/>
      <c r="P65" s="27"/>
      <c r="Q65" s="27"/>
      <c r="R65" s="27"/>
      <c r="S65" s="27"/>
      <c r="T65" s="27"/>
      <c r="U65" s="27"/>
    </row>
    <row r="66" spans="1:21">
      <c r="A66" s="27"/>
      <c r="B66" s="27"/>
      <c r="C66" s="27"/>
      <c r="D66" s="27"/>
      <c r="E66" s="27"/>
      <c r="F66" s="27"/>
      <c r="G66" s="27"/>
      <c r="H66" s="27"/>
      <c r="I66" s="27"/>
      <c r="J66" s="27"/>
      <c r="K66" s="27"/>
      <c r="L66" s="27"/>
      <c r="M66" s="27"/>
      <c r="N66" s="27"/>
      <c r="O66" s="27"/>
      <c r="P66" s="27"/>
      <c r="Q66" s="27"/>
      <c r="R66" s="27"/>
      <c r="S66" s="27"/>
      <c r="T66" s="27"/>
      <c r="U66" s="27"/>
    </row>
    <row r="67" spans="1:21">
      <c r="A67" s="27"/>
      <c r="B67" s="27"/>
      <c r="C67" s="27"/>
      <c r="D67" s="27"/>
      <c r="E67" s="27"/>
      <c r="F67" s="27"/>
      <c r="G67" s="27"/>
      <c r="H67" s="27"/>
      <c r="I67" s="27"/>
      <c r="J67" s="27"/>
      <c r="K67" s="27"/>
      <c r="L67" s="27"/>
      <c r="M67" s="27"/>
      <c r="N67" s="27"/>
      <c r="O67" s="27"/>
      <c r="P67" s="27"/>
      <c r="Q67" s="27"/>
      <c r="R67" s="27"/>
      <c r="S67" s="27"/>
      <c r="T67" s="27"/>
      <c r="U67" s="27"/>
    </row>
    <row r="68" spans="1:21">
      <c r="A68" s="27"/>
      <c r="B68" s="27"/>
      <c r="C68" s="27"/>
      <c r="D68" s="27"/>
      <c r="E68" s="27"/>
      <c r="F68" s="27"/>
      <c r="G68" s="27"/>
      <c r="H68" s="27"/>
      <c r="I68" s="27"/>
      <c r="J68" s="27"/>
      <c r="K68" s="27"/>
      <c r="L68" s="27"/>
      <c r="M68" s="27"/>
      <c r="N68" s="27"/>
      <c r="O68" s="27"/>
      <c r="P68" s="27"/>
      <c r="Q68" s="27"/>
      <c r="R68" s="27"/>
      <c r="S68" s="27"/>
      <c r="T68" s="27"/>
      <c r="U68" s="27"/>
    </row>
    <row r="69" spans="1:21">
      <c r="A69" s="27"/>
      <c r="B69" s="27"/>
      <c r="C69" s="27"/>
      <c r="D69" s="27"/>
      <c r="E69" s="27"/>
      <c r="F69" s="27"/>
      <c r="G69" s="27"/>
      <c r="H69" s="27"/>
      <c r="I69" s="27"/>
      <c r="J69" s="27"/>
      <c r="K69" s="27"/>
      <c r="L69" s="27"/>
      <c r="M69" s="27"/>
      <c r="N69" s="27"/>
      <c r="O69" s="27"/>
      <c r="P69" s="27"/>
      <c r="Q69" s="27"/>
      <c r="R69" s="27"/>
      <c r="S69" s="27"/>
      <c r="T69" s="27"/>
      <c r="U69" s="27"/>
    </row>
    <row r="70" spans="1:21">
      <c r="A70" s="27"/>
      <c r="B70" s="27"/>
      <c r="C70" s="27"/>
      <c r="D70" s="27"/>
      <c r="E70" s="27"/>
      <c r="F70" s="27"/>
      <c r="G70" s="27"/>
      <c r="H70" s="27"/>
      <c r="I70" s="27"/>
      <c r="J70" s="27"/>
      <c r="K70" s="27"/>
      <c r="L70" s="27"/>
      <c r="M70" s="27"/>
      <c r="N70" s="27"/>
      <c r="O70" s="27"/>
      <c r="P70" s="27"/>
      <c r="Q70" s="27"/>
      <c r="R70" s="27"/>
      <c r="S70" s="27"/>
      <c r="T70" s="27"/>
      <c r="U70" s="27"/>
    </row>
    <row r="71" spans="1:21">
      <c r="A71" s="27"/>
      <c r="B71" s="27"/>
      <c r="C71" s="27"/>
      <c r="D71" s="27"/>
      <c r="E71" s="27"/>
      <c r="F71" s="27"/>
      <c r="G71" s="27"/>
      <c r="H71" s="27"/>
      <c r="I71" s="27"/>
      <c r="J71" s="27"/>
      <c r="K71" s="27"/>
      <c r="L71" s="27"/>
      <c r="M71" s="27"/>
      <c r="N71" s="27"/>
      <c r="O71" s="27"/>
      <c r="P71" s="27"/>
      <c r="Q71" s="27"/>
      <c r="R71" s="27"/>
      <c r="S71" s="27"/>
      <c r="T71" s="27"/>
      <c r="U71" s="27"/>
    </row>
    <row r="72" spans="1:21">
      <c r="A72" s="27"/>
      <c r="B72" s="27"/>
      <c r="C72" s="27"/>
      <c r="D72" s="27"/>
      <c r="E72" s="27"/>
      <c r="F72" s="27"/>
      <c r="G72" s="27"/>
      <c r="H72" s="27"/>
      <c r="I72" s="27"/>
      <c r="J72" s="27"/>
      <c r="K72" s="27"/>
      <c r="L72" s="27"/>
      <c r="M72" s="27"/>
      <c r="N72" s="27"/>
      <c r="O72" s="27"/>
      <c r="P72" s="27"/>
      <c r="Q72" s="27"/>
      <c r="R72" s="27"/>
      <c r="S72" s="27"/>
      <c r="T72" s="27"/>
      <c r="U72" s="27"/>
    </row>
    <row r="73" spans="1:21">
      <c r="A73" s="27"/>
      <c r="B73" s="27"/>
      <c r="C73" s="27"/>
      <c r="D73" s="27"/>
      <c r="E73" s="27"/>
      <c r="F73" s="27"/>
      <c r="G73" s="27"/>
      <c r="H73" s="27"/>
      <c r="I73" s="27"/>
      <c r="J73" s="27"/>
      <c r="K73" s="27"/>
      <c r="L73" s="27"/>
      <c r="M73" s="27"/>
      <c r="N73" s="27"/>
      <c r="O73" s="27"/>
      <c r="P73" s="27"/>
      <c r="Q73" s="27"/>
      <c r="R73" s="27"/>
      <c r="S73" s="27"/>
      <c r="T73" s="27"/>
      <c r="U73" s="27"/>
    </row>
    <row r="74" spans="1:21">
      <c r="A74" s="27"/>
      <c r="B74" s="27"/>
      <c r="C74" s="27"/>
      <c r="D74" s="27"/>
      <c r="E74" s="27"/>
      <c r="F74" s="27"/>
      <c r="G74" s="27"/>
      <c r="H74" s="27"/>
      <c r="I74" s="27"/>
      <c r="J74" s="27"/>
      <c r="K74" s="27"/>
      <c r="L74" s="27"/>
      <c r="M74" s="27"/>
      <c r="N74" s="27"/>
      <c r="O74" s="27"/>
      <c r="P74" s="27"/>
      <c r="Q74" s="27"/>
      <c r="R74" s="27"/>
      <c r="S74" s="27"/>
      <c r="T74" s="27"/>
      <c r="U74" s="27"/>
    </row>
    <row r="75" spans="1:21">
      <c r="A75" s="27"/>
      <c r="B75" s="27"/>
      <c r="C75" s="27"/>
      <c r="D75" s="27"/>
      <c r="E75" s="27"/>
      <c r="F75" s="27"/>
      <c r="G75" s="27"/>
      <c r="H75" s="27"/>
      <c r="I75" s="27"/>
      <c r="J75" s="27"/>
      <c r="K75" s="27"/>
      <c r="L75" s="27"/>
      <c r="M75" s="27"/>
      <c r="N75" s="27"/>
      <c r="O75" s="27"/>
      <c r="P75" s="27"/>
      <c r="Q75" s="27"/>
      <c r="R75" s="27"/>
      <c r="S75" s="27"/>
      <c r="T75" s="27"/>
      <c r="U75" s="27"/>
    </row>
    <row r="76" spans="1:21">
      <c r="A76" s="27"/>
      <c r="B76" s="27"/>
      <c r="C76" s="27"/>
      <c r="D76" s="27"/>
      <c r="E76" s="27"/>
      <c r="F76" s="27"/>
      <c r="G76" s="27"/>
      <c r="H76" s="27"/>
      <c r="I76" s="27"/>
      <c r="J76" s="27"/>
      <c r="K76" s="27"/>
      <c r="L76" s="27"/>
      <c r="M76" s="27"/>
      <c r="N76" s="27"/>
      <c r="O76" s="27"/>
      <c r="P76" s="27"/>
      <c r="Q76" s="27"/>
      <c r="R76" s="27"/>
      <c r="S76" s="27"/>
      <c r="T76" s="27"/>
      <c r="U76" s="27"/>
    </row>
    <row r="77" spans="1:21">
      <c r="A77" s="27"/>
      <c r="B77" s="27"/>
      <c r="C77" s="27"/>
      <c r="D77" s="27"/>
      <c r="E77" s="27"/>
      <c r="F77" s="27"/>
      <c r="G77" s="27"/>
      <c r="H77" s="27"/>
      <c r="I77" s="27"/>
      <c r="J77" s="27"/>
      <c r="K77" s="27"/>
      <c r="L77" s="27"/>
      <c r="M77" s="27"/>
      <c r="N77" s="27"/>
      <c r="O77" s="27"/>
      <c r="P77" s="27"/>
      <c r="Q77" s="27"/>
      <c r="R77" s="27"/>
      <c r="S77" s="27"/>
      <c r="T77" s="27"/>
      <c r="U77" s="27"/>
    </row>
    <row r="78" spans="1:21">
      <c r="A78" s="27"/>
      <c r="B78" s="27"/>
      <c r="C78" s="27"/>
      <c r="D78" s="27"/>
      <c r="E78" s="27"/>
      <c r="F78" s="27"/>
      <c r="G78" s="27"/>
      <c r="H78" s="27"/>
      <c r="I78" s="27"/>
      <c r="J78" s="27"/>
      <c r="K78" s="27"/>
      <c r="L78" s="27"/>
      <c r="M78" s="27"/>
      <c r="N78" s="27"/>
      <c r="O78" s="27"/>
      <c r="P78" s="27"/>
      <c r="Q78" s="27"/>
      <c r="R78" s="27"/>
      <c r="S78" s="27"/>
      <c r="T78" s="27"/>
      <c r="U78" s="27"/>
    </row>
    <row r="79" spans="1:21">
      <c r="A79" s="27"/>
      <c r="B79" s="27"/>
      <c r="C79" s="27"/>
      <c r="D79" s="27"/>
      <c r="E79" s="27"/>
      <c r="F79" s="27"/>
      <c r="G79" s="27"/>
      <c r="H79" s="27"/>
      <c r="I79" s="27"/>
      <c r="J79" s="27"/>
      <c r="K79" s="27"/>
      <c r="L79" s="27"/>
      <c r="M79" s="27"/>
      <c r="N79" s="27"/>
      <c r="O79" s="27"/>
      <c r="P79" s="27"/>
      <c r="Q79" s="27"/>
      <c r="R79" s="27"/>
      <c r="S79" s="27"/>
      <c r="T79" s="27"/>
      <c r="U79" s="27"/>
    </row>
    <row r="80" spans="1:21">
      <c r="A80" s="27"/>
      <c r="B80" s="27"/>
      <c r="C80" s="27"/>
      <c r="D80" s="27"/>
      <c r="E80" s="27"/>
      <c r="F80" s="27"/>
      <c r="G80" s="27"/>
      <c r="H80" s="27"/>
      <c r="I80" s="27"/>
      <c r="J80" s="27"/>
      <c r="K80" s="27"/>
      <c r="L80" s="27"/>
      <c r="M80" s="27"/>
      <c r="N80" s="27"/>
      <c r="O80" s="27"/>
      <c r="P80" s="27"/>
      <c r="Q80" s="27"/>
      <c r="R80" s="27"/>
      <c r="S80" s="27"/>
      <c r="T80" s="27"/>
      <c r="U80" s="27"/>
    </row>
    <row r="81" spans="1:21">
      <c r="A81" s="27"/>
      <c r="B81" s="27"/>
      <c r="C81" s="27"/>
      <c r="D81" s="27"/>
      <c r="E81" s="27"/>
      <c r="F81" s="27"/>
      <c r="G81" s="27"/>
      <c r="H81" s="27"/>
      <c r="I81" s="27"/>
      <c r="J81" s="27"/>
      <c r="K81" s="27"/>
      <c r="L81" s="27"/>
      <c r="M81" s="27"/>
      <c r="N81" s="27"/>
      <c r="O81" s="27"/>
      <c r="P81" s="27"/>
      <c r="Q81" s="27"/>
      <c r="R81" s="27"/>
      <c r="S81" s="27"/>
      <c r="T81" s="27"/>
      <c r="U81" s="27"/>
    </row>
    <row r="82" spans="1:21">
      <c r="A82" s="27"/>
      <c r="B82" s="27"/>
      <c r="C82" s="27"/>
      <c r="D82" s="27"/>
      <c r="E82" s="27"/>
      <c r="F82" s="27"/>
      <c r="G82" s="27"/>
      <c r="H82" s="27"/>
      <c r="I82" s="27"/>
      <c r="J82" s="27"/>
      <c r="K82" s="27"/>
      <c r="L82" s="27"/>
      <c r="M82" s="27"/>
      <c r="N82" s="27"/>
      <c r="O82" s="27"/>
      <c r="P82" s="27"/>
      <c r="Q82" s="27"/>
      <c r="R82" s="27"/>
      <c r="S82" s="27"/>
      <c r="T82" s="27"/>
      <c r="U82" s="27"/>
    </row>
    <row r="83" spans="1:21">
      <c r="A83" s="27"/>
      <c r="B83" s="27"/>
      <c r="C83" s="27"/>
      <c r="D83" s="27"/>
      <c r="E83" s="27"/>
      <c r="F83" s="27"/>
      <c r="G83" s="27"/>
      <c r="H83" s="27"/>
      <c r="I83" s="27"/>
      <c r="J83" s="27"/>
      <c r="K83" s="27"/>
      <c r="L83" s="27"/>
      <c r="M83" s="27"/>
      <c r="N83" s="27"/>
      <c r="O83" s="27"/>
      <c r="P83" s="27"/>
      <c r="Q83" s="27"/>
      <c r="R83" s="27"/>
      <c r="S83" s="27"/>
      <c r="T83" s="27"/>
      <c r="U83" s="27"/>
    </row>
    <row r="84" spans="1:21">
      <c r="A84" s="27"/>
      <c r="B84" s="27"/>
      <c r="C84" s="27"/>
      <c r="D84" s="27"/>
      <c r="E84" s="27"/>
      <c r="F84" s="27"/>
      <c r="G84" s="27"/>
      <c r="H84" s="27"/>
      <c r="I84" s="27"/>
      <c r="J84" s="27"/>
      <c r="K84" s="27"/>
      <c r="L84" s="27"/>
      <c r="M84" s="27"/>
      <c r="N84" s="27"/>
      <c r="O84" s="27"/>
      <c r="P84" s="27"/>
      <c r="Q84" s="27"/>
      <c r="R84" s="27"/>
      <c r="S84" s="27"/>
      <c r="T84" s="27"/>
      <c r="U84" s="27"/>
    </row>
    <row r="85" spans="1:21">
      <c r="A85" s="27"/>
      <c r="B85" s="27"/>
      <c r="C85" s="27"/>
      <c r="D85" s="27"/>
      <c r="E85" s="27"/>
      <c r="F85" s="27"/>
      <c r="G85" s="27"/>
      <c r="H85" s="27"/>
      <c r="I85" s="27"/>
      <c r="J85" s="27"/>
      <c r="K85" s="27"/>
      <c r="L85" s="27"/>
      <c r="M85" s="27"/>
      <c r="N85" s="27"/>
      <c r="O85" s="27"/>
      <c r="P85" s="27"/>
      <c r="Q85" s="27"/>
      <c r="R85" s="27"/>
      <c r="S85" s="27"/>
      <c r="T85" s="27"/>
      <c r="U85" s="27"/>
    </row>
    <row r="86" spans="1:21">
      <c r="A86" s="27"/>
      <c r="B86" s="27"/>
      <c r="C86" s="27"/>
      <c r="D86" s="27"/>
      <c r="E86" s="27"/>
      <c r="F86" s="27"/>
      <c r="G86" s="27"/>
      <c r="H86" s="27"/>
      <c r="I86" s="27"/>
      <c r="J86" s="27"/>
      <c r="K86" s="27"/>
      <c r="L86" s="27"/>
      <c r="M86" s="27"/>
      <c r="N86" s="27"/>
      <c r="O86" s="27"/>
      <c r="P86" s="27"/>
      <c r="Q86" s="27"/>
      <c r="R86" s="27"/>
      <c r="S86" s="27"/>
      <c r="T86" s="27"/>
      <c r="U86" s="27"/>
    </row>
    <row r="87" spans="1:21">
      <c r="A87" s="27"/>
      <c r="B87" s="27"/>
      <c r="C87" s="27"/>
      <c r="D87" s="27"/>
      <c r="E87" s="27"/>
      <c r="F87" s="27"/>
      <c r="G87" s="27"/>
      <c r="H87" s="27"/>
      <c r="I87" s="27"/>
      <c r="J87" s="27"/>
      <c r="K87" s="27"/>
      <c r="L87" s="27"/>
      <c r="M87" s="27"/>
      <c r="N87" s="27"/>
      <c r="O87" s="27"/>
      <c r="P87" s="27"/>
      <c r="Q87" s="27"/>
      <c r="R87" s="27"/>
      <c r="S87" s="27"/>
      <c r="T87" s="27"/>
      <c r="U87" s="27"/>
    </row>
    <row r="88" spans="1:21">
      <c r="A88" s="27"/>
      <c r="B88" s="27"/>
      <c r="C88" s="27"/>
      <c r="D88" s="27"/>
      <c r="E88" s="27"/>
      <c r="F88" s="27"/>
      <c r="G88" s="27"/>
      <c r="H88" s="27"/>
      <c r="I88" s="27"/>
      <c r="J88" s="27"/>
      <c r="K88" s="27"/>
      <c r="L88" s="27"/>
      <c r="M88" s="27"/>
      <c r="N88" s="27"/>
      <c r="O88" s="27"/>
      <c r="P88" s="27"/>
      <c r="Q88" s="27"/>
      <c r="R88" s="27"/>
      <c r="S88" s="27"/>
      <c r="T88" s="27"/>
      <c r="U88" s="27"/>
    </row>
    <row r="89" spans="1:21">
      <c r="A89" s="27"/>
      <c r="B89" s="27"/>
      <c r="C89" s="27"/>
      <c r="D89" s="27"/>
      <c r="E89" s="27"/>
      <c r="F89" s="27"/>
      <c r="G89" s="27"/>
      <c r="H89" s="27"/>
      <c r="I89" s="27"/>
      <c r="J89" s="27"/>
      <c r="K89" s="27"/>
      <c r="L89" s="27"/>
      <c r="M89" s="27"/>
      <c r="N89" s="27"/>
      <c r="O89" s="27"/>
      <c r="P89" s="27"/>
      <c r="Q89" s="27"/>
      <c r="R89" s="27"/>
      <c r="S89" s="27"/>
      <c r="T89" s="27"/>
      <c r="U89" s="27"/>
    </row>
    <row r="90" spans="1:21">
      <c r="A90" s="27"/>
      <c r="B90" s="27"/>
      <c r="C90" s="27"/>
      <c r="D90" s="27"/>
      <c r="E90" s="27"/>
      <c r="F90" s="27"/>
      <c r="G90" s="27"/>
      <c r="H90" s="27"/>
      <c r="I90" s="27"/>
      <c r="J90" s="27"/>
      <c r="K90" s="27"/>
      <c r="L90" s="27"/>
      <c r="M90" s="27"/>
      <c r="N90" s="27"/>
      <c r="O90" s="27"/>
      <c r="P90" s="27"/>
      <c r="Q90" s="27"/>
      <c r="R90" s="27"/>
      <c r="S90" s="27"/>
      <c r="T90" s="27"/>
      <c r="U90" s="27"/>
    </row>
    <row r="91" spans="1:21">
      <c r="A91" s="27"/>
      <c r="B91" s="27"/>
      <c r="C91" s="27"/>
      <c r="D91" s="27"/>
      <c r="E91" s="27"/>
      <c r="F91" s="27"/>
      <c r="G91" s="27"/>
      <c r="H91" s="27"/>
      <c r="I91" s="27"/>
      <c r="J91" s="27"/>
      <c r="K91" s="27"/>
      <c r="L91" s="27"/>
      <c r="M91" s="27"/>
      <c r="N91" s="27"/>
      <c r="O91" s="27"/>
      <c r="P91" s="27"/>
      <c r="Q91" s="27"/>
      <c r="R91" s="27"/>
      <c r="S91" s="27"/>
      <c r="T91" s="27"/>
      <c r="U91" s="27"/>
    </row>
    <row r="92" spans="1:21">
      <c r="A92" s="27"/>
      <c r="B92" s="27"/>
      <c r="C92" s="27"/>
      <c r="D92" s="27"/>
      <c r="E92" s="27"/>
      <c r="F92" s="27"/>
      <c r="G92" s="27"/>
      <c r="H92" s="27"/>
      <c r="I92" s="27"/>
      <c r="J92" s="27"/>
      <c r="K92" s="27"/>
      <c r="L92" s="27"/>
      <c r="M92" s="27"/>
      <c r="N92" s="27"/>
      <c r="O92" s="27"/>
      <c r="P92" s="27"/>
      <c r="Q92" s="27"/>
      <c r="R92" s="27"/>
      <c r="S92" s="27"/>
      <c r="T92" s="27"/>
      <c r="U92" s="27"/>
    </row>
    <row r="93" spans="1:21">
      <c r="A93" s="27"/>
      <c r="B93" s="27"/>
      <c r="C93" s="27"/>
      <c r="D93" s="27"/>
      <c r="E93" s="27"/>
      <c r="F93" s="27"/>
      <c r="G93" s="27"/>
      <c r="H93" s="27"/>
      <c r="I93" s="27"/>
      <c r="J93" s="27"/>
      <c r="K93" s="27"/>
      <c r="L93" s="27"/>
      <c r="M93" s="27"/>
      <c r="N93" s="27"/>
      <c r="O93" s="27"/>
      <c r="P93" s="27"/>
      <c r="Q93" s="27"/>
      <c r="R93" s="27"/>
      <c r="S93" s="27"/>
      <c r="T93" s="27"/>
      <c r="U93" s="27"/>
    </row>
    <row r="94" spans="1:21">
      <c r="A94" s="27"/>
      <c r="B94" s="27"/>
      <c r="C94" s="27"/>
      <c r="D94" s="27"/>
      <c r="E94" s="27"/>
      <c r="F94" s="27"/>
      <c r="G94" s="27"/>
      <c r="H94" s="27"/>
      <c r="I94" s="27"/>
      <c r="J94" s="27"/>
      <c r="K94" s="27"/>
      <c r="L94" s="27"/>
      <c r="M94" s="27"/>
      <c r="N94" s="27"/>
      <c r="O94" s="27"/>
      <c r="P94" s="27"/>
      <c r="Q94" s="27"/>
      <c r="R94" s="27"/>
      <c r="S94" s="27"/>
      <c r="T94" s="27"/>
      <c r="U94" s="27"/>
    </row>
    <row r="95" spans="1:21">
      <c r="A95" s="27"/>
      <c r="B95" s="27"/>
      <c r="C95" s="27"/>
      <c r="D95" s="27"/>
      <c r="E95" s="27"/>
      <c r="F95" s="27"/>
      <c r="G95" s="27"/>
      <c r="H95" s="27"/>
      <c r="I95" s="27"/>
      <c r="J95" s="27"/>
      <c r="K95" s="27"/>
      <c r="L95" s="27"/>
      <c r="M95" s="27"/>
      <c r="N95" s="27"/>
      <c r="O95" s="27"/>
      <c r="P95" s="27"/>
      <c r="Q95" s="27"/>
      <c r="R95" s="27"/>
      <c r="S95" s="27"/>
      <c r="T95" s="27"/>
      <c r="U95" s="27"/>
    </row>
    <row r="96" spans="1:21">
      <c r="A96" s="27"/>
      <c r="B96" s="27"/>
      <c r="C96" s="27"/>
      <c r="D96" s="27"/>
      <c r="E96" s="27"/>
      <c r="F96" s="27"/>
      <c r="G96" s="27"/>
      <c r="H96" s="27"/>
      <c r="I96" s="27"/>
      <c r="J96" s="27"/>
      <c r="K96" s="27"/>
      <c r="L96" s="27"/>
      <c r="M96" s="27"/>
      <c r="N96" s="27"/>
      <c r="O96" s="27"/>
      <c r="P96" s="27"/>
      <c r="Q96" s="27"/>
      <c r="R96" s="27"/>
      <c r="S96" s="27"/>
      <c r="T96" s="27"/>
      <c r="U96" s="27"/>
    </row>
    <row r="97" spans="1:21">
      <c r="A97" s="27"/>
      <c r="B97" s="27"/>
      <c r="C97" s="27"/>
      <c r="D97" s="27"/>
      <c r="E97" s="27"/>
      <c r="F97" s="27"/>
      <c r="G97" s="27"/>
      <c r="H97" s="27"/>
      <c r="I97" s="27"/>
      <c r="J97" s="27"/>
      <c r="K97" s="27"/>
      <c r="L97" s="27"/>
      <c r="M97" s="27"/>
      <c r="N97" s="27"/>
      <c r="O97" s="27"/>
      <c r="P97" s="27"/>
      <c r="Q97" s="27"/>
      <c r="R97" s="27"/>
      <c r="S97" s="27"/>
      <c r="T97" s="27"/>
      <c r="U97" s="27"/>
    </row>
    <row r="98" spans="1:21">
      <c r="A98" s="27"/>
      <c r="B98" s="27"/>
      <c r="C98" s="27"/>
      <c r="D98" s="27"/>
      <c r="E98" s="27"/>
      <c r="F98" s="27"/>
      <c r="G98" s="27"/>
      <c r="H98" s="27"/>
      <c r="I98" s="27"/>
      <c r="J98" s="27"/>
      <c r="K98" s="27"/>
      <c r="L98" s="27"/>
      <c r="M98" s="27"/>
      <c r="N98" s="27"/>
      <c r="O98" s="27"/>
      <c r="P98" s="27"/>
      <c r="Q98" s="27"/>
      <c r="R98" s="27"/>
      <c r="S98" s="27"/>
      <c r="T98" s="27"/>
      <c r="U98" s="27"/>
    </row>
    <row r="99" spans="1:21">
      <c r="A99" s="27"/>
      <c r="B99" s="27"/>
      <c r="C99" s="27"/>
      <c r="D99" s="27"/>
      <c r="E99" s="27"/>
      <c r="F99" s="27"/>
      <c r="G99" s="27"/>
      <c r="H99" s="27"/>
      <c r="I99" s="27"/>
      <c r="J99" s="27"/>
      <c r="K99" s="27"/>
      <c r="L99" s="27"/>
      <c r="M99" s="27"/>
      <c r="N99" s="27"/>
      <c r="O99" s="27"/>
      <c r="P99" s="27"/>
      <c r="Q99" s="27"/>
      <c r="R99" s="27"/>
      <c r="S99" s="27"/>
      <c r="T99" s="27"/>
      <c r="U99" s="27"/>
    </row>
    <row r="100" spans="1:21">
      <c r="A100" s="27"/>
      <c r="B100" s="27"/>
      <c r="C100" s="27"/>
      <c r="D100" s="27"/>
      <c r="E100" s="27"/>
      <c r="F100" s="27"/>
      <c r="G100" s="27"/>
      <c r="H100" s="27"/>
      <c r="I100" s="27"/>
      <c r="J100" s="27"/>
      <c r="K100" s="27"/>
      <c r="L100" s="27"/>
      <c r="M100" s="27"/>
      <c r="N100" s="27"/>
      <c r="O100" s="27"/>
      <c r="P100" s="27"/>
      <c r="Q100" s="27"/>
      <c r="R100" s="27"/>
      <c r="S100" s="27"/>
      <c r="T100" s="27"/>
      <c r="U100" s="27"/>
    </row>
    <row r="101" spans="1:21">
      <c r="A101" s="27"/>
      <c r="B101" s="27"/>
      <c r="C101" s="27"/>
      <c r="D101" s="27"/>
      <c r="E101" s="27"/>
      <c r="F101" s="27"/>
      <c r="G101" s="27"/>
      <c r="H101" s="27"/>
      <c r="I101" s="27"/>
      <c r="J101" s="27"/>
      <c r="K101" s="27"/>
      <c r="L101" s="27"/>
      <c r="M101" s="27"/>
      <c r="N101" s="27"/>
      <c r="O101" s="27"/>
      <c r="P101" s="27"/>
      <c r="Q101" s="27"/>
      <c r="R101" s="27"/>
      <c r="S101" s="27"/>
      <c r="T101" s="27"/>
      <c r="U101" s="27"/>
    </row>
    <row r="102" spans="1:21">
      <c r="A102" s="27"/>
      <c r="B102" s="27"/>
      <c r="C102" s="27"/>
      <c r="D102" s="27"/>
      <c r="E102" s="27"/>
      <c r="F102" s="27"/>
      <c r="G102" s="27"/>
      <c r="H102" s="27"/>
      <c r="I102" s="27"/>
      <c r="J102" s="27"/>
      <c r="K102" s="27"/>
      <c r="L102" s="27"/>
      <c r="M102" s="27"/>
      <c r="N102" s="27"/>
      <c r="O102" s="27"/>
      <c r="P102" s="27"/>
      <c r="Q102" s="27"/>
      <c r="R102" s="27"/>
      <c r="S102" s="27"/>
      <c r="T102" s="27"/>
      <c r="U102" s="27"/>
    </row>
    <row r="103" spans="1:21">
      <c r="A103" s="27"/>
      <c r="B103" s="27"/>
      <c r="C103" s="27"/>
      <c r="D103" s="27"/>
      <c r="E103" s="27"/>
      <c r="F103" s="27"/>
      <c r="G103" s="27"/>
      <c r="H103" s="27"/>
      <c r="I103" s="27"/>
      <c r="J103" s="27"/>
      <c r="K103" s="27"/>
      <c r="L103" s="27"/>
      <c r="M103" s="27"/>
      <c r="N103" s="27"/>
      <c r="O103" s="27"/>
      <c r="P103" s="27"/>
      <c r="Q103" s="27"/>
      <c r="R103" s="27"/>
      <c r="S103" s="27"/>
      <c r="T103" s="27"/>
      <c r="U103" s="27"/>
    </row>
    <row r="104" spans="1:21">
      <c r="A104" s="27"/>
      <c r="B104" s="27"/>
      <c r="C104" s="27"/>
      <c r="D104" s="27"/>
      <c r="E104" s="27"/>
      <c r="F104" s="27"/>
      <c r="G104" s="27"/>
      <c r="H104" s="27"/>
      <c r="I104" s="27"/>
      <c r="J104" s="27"/>
      <c r="K104" s="27"/>
      <c r="L104" s="27"/>
      <c r="M104" s="27"/>
      <c r="N104" s="27"/>
      <c r="O104" s="27"/>
      <c r="P104" s="27"/>
      <c r="Q104" s="27"/>
      <c r="R104" s="27"/>
      <c r="S104" s="27"/>
      <c r="T104" s="27"/>
      <c r="U104" s="27"/>
    </row>
    <row r="105" spans="1:21">
      <c r="A105" s="27"/>
      <c r="B105" s="27"/>
      <c r="C105" s="27"/>
      <c r="D105" s="27"/>
      <c r="E105" s="27"/>
      <c r="F105" s="27"/>
      <c r="G105" s="27"/>
      <c r="H105" s="27"/>
      <c r="I105" s="27"/>
      <c r="J105" s="27"/>
      <c r="K105" s="27"/>
      <c r="L105" s="27"/>
      <c r="M105" s="27"/>
      <c r="N105" s="27"/>
      <c r="O105" s="27"/>
      <c r="P105" s="27"/>
      <c r="Q105" s="27"/>
      <c r="R105" s="27"/>
      <c r="S105" s="27"/>
      <c r="T105" s="27"/>
      <c r="U105" s="27"/>
    </row>
    <row r="106" spans="1:21">
      <c r="A106" s="27"/>
      <c r="B106" s="27"/>
      <c r="C106" s="27"/>
      <c r="D106" s="27"/>
      <c r="E106" s="27"/>
      <c r="F106" s="27"/>
      <c r="G106" s="27"/>
      <c r="H106" s="27"/>
      <c r="I106" s="27"/>
      <c r="J106" s="27"/>
      <c r="K106" s="27"/>
      <c r="L106" s="27"/>
      <c r="M106" s="27"/>
      <c r="N106" s="27"/>
      <c r="O106" s="27"/>
      <c r="P106" s="27"/>
      <c r="Q106" s="27"/>
      <c r="R106" s="27"/>
      <c r="S106" s="27"/>
      <c r="T106" s="27"/>
      <c r="U106" s="27"/>
    </row>
    <row r="107" spans="1:21">
      <c r="A107" s="27"/>
      <c r="B107" s="27"/>
      <c r="C107" s="27"/>
      <c r="D107" s="27"/>
      <c r="E107" s="27"/>
      <c r="F107" s="27"/>
      <c r="G107" s="27"/>
      <c r="H107" s="27"/>
      <c r="I107" s="27"/>
      <c r="J107" s="27"/>
      <c r="K107" s="27"/>
      <c r="L107" s="27"/>
      <c r="M107" s="27"/>
      <c r="N107" s="27"/>
      <c r="O107" s="27"/>
      <c r="P107" s="27"/>
      <c r="Q107" s="27"/>
      <c r="R107" s="27"/>
      <c r="S107" s="27"/>
      <c r="T107" s="27"/>
      <c r="U107" s="27"/>
    </row>
    <row r="108" spans="1:21">
      <c r="A108" s="27"/>
      <c r="B108" s="27"/>
      <c r="C108" s="27"/>
      <c r="D108" s="27"/>
      <c r="E108" s="27"/>
      <c r="F108" s="27"/>
      <c r="G108" s="27"/>
      <c r="H108" s="27"/>
      <c r="I108" s="27"/>
      <c r="J108" s="27"/>
      <c r="K108" s="27"/>
      <c r="L108" s="27"/>
      <c r="M108" s="27"/>
      <c r="N108" s="27"/>
      <c r="O108" s="27"/>
      <c r="P108" s="27"/>
      <c r="Q108" s="27"/>
      <c r="R108" s="27"/>
      <c r="S108" s="27"/>
      <c r="T108" s="27"/>
      <c r="U108" s="27"/>
    </row>
    <row r="109" spans="1:21">
      <c r="A109" s="27"/>
      <c r="B109" s="27"/>
      <c r="C109" s="27"/>
      <c r="D109" s="27"/>
      <c r="E109" s="27"/>
      <c r="F109" s="27"/>
      <c r="G109" s="27"/>
      <c r="H109" s="27"/>
      <c r="I109" s="27"/>
      <c r="J109" s="27"/>
      <c r="K109" s="27"/>
      <c r="L109" s="27"/>
      <c r="M109" s="27"/>
      <c r="N109" s="27"/>
      <c r="O109" s="27"/>
      <c r="P109" s="27"/>
      <c r="Q109" s="27"/>
      <c r="R109" s="27"/>
      <c r="S109" s="27"/>
      <c r="T109" s="27"/>
      <c r="U109" s="27"/>
    </row>
    <row r="110" spans="1:21">
      <c r="A110" s="27"/>
      <c r="B110" s="27"/>
      <c r="C110" s="27"/>
      <c r="D110" s="27"/>
      <c r="E110" s="27"/>
      <c r="F110" s="27"/>
      <c r="G110" s="27"/>
      <c r="H110" s="27"/>
      <c r="I110" s="27"/>
      <c r="J110" s="27"/>
      <c r="K110" s="27"/>
      <c r="L110" s="27"/>
      <c r="M110" s="27"/>
      <c r="N110" s="27"/>
      <c r="O110" s="27"/>
      <c r="P110" s="27"/>
      <c r="Q110" s="27"/>
      <c r="R110" s="27"/>
      <c r="S110" s="27"/>
      <c r="T110" s="27"/>
      <c r="U110" s="27"/>
    </row>
    <row r="111" spans="1:21">
      <c r="A111" s="27"/>
      <c r="B111" s="27"/>
      <c r="C111" s="27"/>
      <c r="D111" s="27"/>
      <c r="E111" s="27"/>
      <c r="F111" s="27"/>
      <c r="G111" s="27"/>
      <c r="H111" s="27"/>
      <c r="I111" s="27"/>
      <c r="J111" s="27"/>
      <c r="K111" s="27"/>
      <c r="L111" s="27"/>
      <c r="M111" s="27"/>
      <c r="N111" s="27"/>
      <c r="O111" s="27"/>
      <c r="P111" s="27"/>
      <c r="Q111" s="27"/>
      <c r="R111" s="27"/>
      <c r="S111" s="27"/>
      <c r="T111" s="27"/>
      <c r="U111" s="27"/>
    </row>
    <row r="112" spans="1:21">
      <c r="A112" s="27"/>
      <c r="B112" s="27"/>
      <c r="C112" s="27"/>
      <c r="D112" s="27"/>
      <c r="E112" s="27"/>
      <c r="F112" s="27"/>
      <c r="G112" s="27"/>
      <c r="H112" s="27"/>
      <c r="I112" s="27"/>
      <c r="J112" s="27"/>
      <c r="K112" s="27"/>
      <c r="L112" s="27"/>
      <c r="M112" s="27"/>
      <c r="N112" s="27"/>
      <c r="O112" s="27"/>
      <c r="P112" s="27"/>
      <c r="Q112" s="27"/>
      <c r="R112" s="27"/>
      <c r="S112" s="27"/>
      <c r="T112" s="27"/>
      <c r="U112" s="27"/>
    </row>
    <row r="113" spans="1:21">
      <c r="A113" s="27"/>
      <c r="B113" s="27"/>
      <c r="C113" s="27"/>
      <c r="D113" s="27"/>
      <c r="E113" s="27"/>
      <c r="F113" s="27"/>
      <c r="G113" s="27"/>
      <c r="H113" s="27"/>
      <c r="I113" s="27"/>
      <c r="J113" s="27"/>
      <c r="K113" s="27"/>
      <c r="L113" s="27"/>
      <c r="M113" s="27"/>
      <c r="N113" s="27"/>
      <c r="O113" s="27"/>
      <c r="P113" s="27"/>
      <c r="Q113" s="27"/>
      <c r="R113" s="27"/>
      <c r="S113" s="27"/>
      <c r="T113" s="27"/>
      <c r="U113" s="27"/>
    </row>
    <row r="114" spans="1:21">
      <c r="A114" s="27"/>
      <c r="B114" s="27"/>
      <c r="C114" s="27"/>
      <c r="D114" s="27"/>
      <c r="E114" s="27"/>
      <c r="F114" s="27"/>
      <c r="G114" s="27"/>
      <c r="H114" s="27"/>
      <c r="I114" s="27"/>
      <c r="J114" s="27"/>
      <c r="K114" s="27"/>
      <c r="L114" s="27"/>
      <c r="M114" s="27"/>
      <c r="N114" s="27"/>
      <c r="O114" s="27"/>
      <c r="P114" s="27"/>
      <c r="Q114" s="27"/>
      <c r="R114" s="27"/>
      <c r="S114" s="27"/>
      <c r="T114" s="27"/>
      <c r="U114" s="27"/>
    </row>
    <row r="115" spans="1:21">
      <c r="A115" s="27"/>
      <c r="B115" s="27"/>
      <c r="C115" s="27"/>
      <c r="D115" s="27"/>
      <c r="E115" s="27"/>
      <c r="F115" s="27"/>
      <c r="G115" s="27"/>
      <c r="H115" s="27"/>
      <c r="I115" s="27"/>
      <c r="J115" s="27"/>
      <c r="K115" s="27"/>
      <c r="L115" s="27"/>
      <c r="M115" s="27"/>
      <c r="N115" s="27"/>
      <c r="O115" s="27"/>
      <c r="P115" s="27"/>
      <c r="Q115" s="27"/>
      <c r="R115" s="27"/>
      <c r="S115" s="27"/>
      <c r="T115" s="27"/>
      <c r="U115" s="27"/>
    </row>
    <row r="116" spans="1:21">
      <c r="A116" s="27"/>
      <c r="B116" s="27"/>
      <c r="C116" s="27"/>
      <c r="D116" s="27"/>
      <c r="E116" s="27"/>
      <c r="F116" s="27"/>
      <c r="G116" s="27"/>
      <c r="H116" s="27"/>
      <c r="I116" s="27"/>
      <c r="J116" s="27"/>
      <c r="K116" s="27"/>
      <c r="L116" s="27"/>
      <c r="M116" s="27"/>
      <c r="N116" s="27"/>
      <c r="O116" s="27"/>
      <c r="P116" s="27"/>
      <c r="Q116" s="27"/>
      <c r="R116" s="27"/>
      <c r="S116" s="27"/>
      <c r="T116" s="27"/>
      <c r="U116" s="27"/>
    </row>
    <row r="117" spans="1:21">
      <c r="A117" s="27"/>
      <c r="B117" s="27"/>
      <c r="C117" s="27"/>
      <c r="D117" s="27"/>
      <c r="E117" s="27"/>
      <c r="F117" s="27"/>
      <c r="G117" s="27"/>
      <c r="H117" s="27"/>
      <c r="I117" s="27"/>
      <c r="J117" s="27"/>
      <c r="K117" s="27"/>
      <c r="L117" s="27"/>
      <c r="M117" s="27"/>
      <c r="N117" s="27"/>
      <c r="O117" s="27"/>
      <c r="P117" s="27"/>
      <c r="Q117" s="27"/>
      <c r="R117" s="27"/>
      <c r="S117" s="27"/>
      <c r="T117" s="27"/>
      <c r="U117" s="27"/>
    </row>
    <row r="118" spans="1:21">
      <c r="A118" s="27"/>
      <c r="B118" s="27"/>
      <c r="C118" s="27"/>
      <c r="D118" s="27"/>
      <c r="E118" s="27"/>
      <c r="F118" s="27"/>
      <c r="G118" s="27"/>
      <c r="H118" s="27"/>
      <c r="I118" s="27"/>
      <c r="J118" s="27"/>
      <c r="K118" s="27"/>
      <c r="L118" s="27"/>
      <c r="M118" s="27"/>
      <c r="N118" s="27"/>
      <c r="O118" s="27"/>
      <c r="P118" s="27"/>
      <c r="Q118" s="27"/>
      <c r="R118" s="27"/>
      <c r="S118" s="27"/>
      <c r="T118" s="27"/>
      <c r="U118" s="27"/>
    </row>
    <row r="119" spans="1:21">
      <c r="A119" s="27"/>
      <c r="B119" s="27"/>
      <c r="C119" s="27"/>
      <c r="D119" s="27"/>
      <c r="E119" s="27"/>
      <c r="F119" s="27"/>
      <c r="G119" s="27"/>
      <c r="H119" s="27"/>
      <c r="I119" s="27"/>
      <c r="J119" s="27"/>
      <c r="K119" s="27"/>
      <c r="L119" s="27"/>
      <c r="M119" s="27"/>
      <c r="N119" s="27"/>
      <c r="O119" s="27"/>
      <c r="P119" s="27"/>
      <c r="Q119" s="27"/>
      <c r="R119" s="27"/>
      <c r="S119" s="27"/>
      <c r="T119" s="27"/>
      <c r="U119" s="27"/>
    </row>
    <row r="120" spans="1:21">
      <c r="A120" s="27"/>
      <c r="B120" s="27"/>
      <c r="C120" s="27"/>
      <c r="D120" s="27"/>
      <c r="E120" s="27"/>
      <c r="F120" s="27"/>
      <c r="G120" s="27"/>
      <c r="H120" s="27"/>
      <c r="I120" s="27"/>
      <c r="J120" s="27"/>
      <c r="K120" s="27"/>
      <c r="L120" s="27"/>
      <c r="M120" s="27"/>
      <c r="N120" s="27"/>
      <c r="O120" s="27"/>
      <c r="P120" s="27"/>
      <c r="Q120" s="27"/>
      <c r="R120" s="27"/>
      <c r="S120" s="27"/>
      <c r="T120" s="27"/>
      <c r="U120" s="27"/>
    </row>
    <row r="121" spans="1:21">
      <c r="A121" s="27"/>
      <c r="B121" s="27"/>
      <c r="C121" s="27"/>
      <c r="D121" s="27"/>
      <c r="E121" s="27"/>
      <c r="F121" s="27"/>
      <c r="G121" s="27"/>
      <c r="H121" s="27"/>
      <c r="I121" s="27"/>
      <c r="J121" s="27"/>
      <c r="K121" s="27"/>
      <c r="L121" s="27"/>
      <c r="M121" s="27"/>
      <c r="N121" s="27"/>
      <c r="O121" s="27"/>
      <c r="P121" s="27"/>
      <c r="Q121" s="27"/>
      <c r="R121" s="27"/>
      <c r="S121" s="27"/>
      <c r="T121" s="27"/>
      <c r="U121" s="27"/>
    </row>
    <row r="122" spans="1:21">
      <c r="A122" s="27"/>
      <c r="B122" s="27"/>
      <c r="C122" s="27"/>
      <c r="D122" s="27"/>
      <c r="E122" s="27"/>
      <c r="F122" s="27"/>
      <c r="G122" s="27"/>
      <c r="H122" s="27"/>
      <c r="I122" s="27"/>
      <c r="J122" s="27"/>
      <c r="K122" s="27"/>
      <c r="L122" s="27"/>
      <c r="M122" s="27"/>
      <c r="N122" s="27"/>
      <c r="O122" s="27"/>
      <c r="P122" s="27"/>
      <c r="Q122" s="27"/>
      <c r="R122" s="27"/>
      <c r="S122" s="27"/>
      <c r="T122" s="27"/>
      <c r="U122" s="27"/>
    </row>
    <row r="123" spans="1:21">
      <c r="A123" s="27"/>
      <c r="B123" s="27"/>
      <c r="C123" s="27"/>
      <c r="D123" s="27"/>
      <c r="E123" s="27"/>
      <c r="F123" s="27"/>
      <c r="G123" s="27"/>
      <c r="H123" s="27"/>
      <c r="I123" s="27"/>
      <c r="J123" s="27"/>
      <c r="K123" s="27"/>
      <c r="L123" s="27"/>
      <c r="M123" s="27"/>
      <c r="N123" s="27"/>
      <c r="O123" s="27"/>
      <c r="P123" s="27"/>
      <c r="Q123" s="27"/>
      <c r="R123" s="27"/>
      <c r="S123" s="27"/>
      <c r="T123" s="27"/>
      <c r="U123" s="27"/>
    </row>
    <row r="124" spans="1:21">
      <c r="A124" s="27"/>
      <c r="B124" s="27"/>
      <c r="C124" s="27"/>
      <c r="D124" s="27"/>
      <c r="E124" s="27"/>
      <c r="F124" s="27"/>
      <c r="G124" s="27"/>
      <c r="H124" s="27"/>
      <c r="I124" s="27"/>
      <c r="J124" s="27"/>
      <c r="K124" s="27"/>
      <c r="L124" s="27"/>
      <c r="M124" s="27"/>
      <c r="N124" s="27"/>
      <c r="O124" s="27"/>
      <c r="P124" s="27"/>
      <c r="Q124" s="27"/>
      <c r="R124" s="27"/>
      <c r="S124" s="27"/>
      <c r="T124" s="27"/>
      <c r="U124" s="27"/>
    </row>
    <row r="125" spans="1:21">
      <c r="A125" s="27"/>
      <c r="B125" s="27"/>
      <c r="C125" s="27"/>
      <c r="D125" s="27"/>
      <c r="E125" s="27"/>
      <c r="F125" s="27"/>
      <c r="G125" s="27"/>
      <c r="H125" s="27"/>
      <c r="I125" s="27"/>
      <c r="J125" s="27"/>
      <c r="K125" s="27"/>
      <c r="L125" s="27"/>
      <c r="M125" s="27"/>
      <c r="N125" s="27"/>
      <c r="O125" s="27"/>
      <c r="P125" s="27"/>
      <c r="Q125" s="27"/>
      <c r="R125" s="27"/>
      <c r="S125" s="27"/>
      <c r="T125" s="27"/>
      <c r="U125" s="27"/>
    </row>
    <row r="126" spans="1:21">
      <c r="A126" s="27"/>
      <c r="B126" s="27"/>
      <c r="C126" s="27"/>
      <c r="D126" s="27"/>
      <c r="E126" s="27"/>
      <c r="F126" s="27"/>
      <c r="G126" s="27"/>
      <c r="H126" s="27"/>
      <c r="I126" s="27"/>
      <c r="J126" s="27"/>
      <c r="K126" s="27"/>
      <c r="L126" s="27"/>
      <c r="M126" s="27"/>
      <c r="N126" s="27"/>
      <c r="O126" s="27"/>
      <c r="P126" s="27"/>
      <c r="Q126" s="27"/>
      <c r="R126" s="27"/>
      <c r="S126" s="27"/>
      <c r="T126" s="27"/>
      <c r="U126" s="27"/>
    </row>
    <row r="127" spans="1:21">
      <c r="A127" s="27"/>
      <c r="B127" s="27"/>
      <c r="C127" s="27"/>
      <c r="D127" s="27"/>
      <c r="E127" s="27"/>
      <c r="F127" s="27"/>
      <c r="G127" s="27"/>
      <c r="H127" s="27"/>
      <c r="I127" s="27"/>
      <c r="J127" s="27"/>
      <c r="K127" s="27"/>
      <c r="L127" s="27"/>
      <c r="M127" s="27"/>
      <c r="N127" s="27"/>
      <c r="O127" s="27"/>
      <c r="P127" s="27"/>
      <c r="Q127" s="27"/>
      <c r="R127" s="27"/>
      <c r="S127" s="27"/>
      <c r="T127" s="27"/>
      <c r="U127" s="27"/>
    </row>
    <row r="128" spans="1:21">
      <c r="A128" s="27"/>
      <c r="B128" s="27"/>
      <c r="C128" s="27"/>
      <c r="D128" s="27"/>
      <c r="E128" s="27"/>
      <c r="F128" s="27"/>
      <c r="G128" s="27"/>
      <c r="H128" s="27"/>
      <c r="I128" s="27"/>
      <c r="J128" s="27"/>
      <c r="K128" s="27"/>
      <c r="L128" s="27"/>
      <c r="M128" s="27"/>
      <c r="N128" s="27"/>
      <c r="O128" s="27"/>
      <c r="P128" s="27"/>
      <c r="Q128" s="27"/>
      <c r="R128" s="27"/>
      <c r="S128" s="27"/>
      <c r="T128" s="27"/>
      <c r="U128" s="27"/>
    </row>
    <row r="129" spans="1:21">
      <c r="A129" s="27"/>
      <c r="B129" s="27"/>
      <c r="C129" s="27"/>
      <c r="D129" s="27"/>
      <c r="E129" s="27"/>
      <c r="F129" s="27"/>
      <c r="G129" s="27"/>
      <c r="H129" s="27"/>
      <c r="I129" s="27"/>
      <c r="J129" s="27"/>
      <c r="K129" s="27"/>
      <c r="L129" s="27"/>
      <c r="M129" s="27"/>
      <c r="N129" s="27"/>
      <c r="O129" s="27"/>
      <c r="P129" s="27"/>
      <c r="Q129" s="27"/>
      <c r="R129" s="27"/>
      <c r="S129" s="27"/>
      <c r="T129" s="27"/>
      <c r="U129" s="27"/>
    </row>
    <row r="130" spans="1:21">
      <c r="A130" s="27"/>
      <c r="B130" s="27"/>
      <c r="C130" s="27"/>
      <c r="D130" s="27"/>
      <c r="E130" s="27"/>
      <c r="F130" s="27"/>
      <c r="G130" s="27"/>
      <c r="H130" s="27"/>
      <c r="I130" s="27"/>
      <c r="J130" s="27"/>
      <c r="K130" s="27"/>
      <c r="L130" s="27"/>
      <c r="M130" s="27"/>
      <c r="N130" s="27"/>
      <c r="O130" s="27"/>
      <c r="P130" s="27"/>
      <c r="Q130" s="27"/>
      <c r="R130" s="27"/>
      <c r="S130" s="27"/>
      <c r="T130" s="27"/>
      <c r="U130" s="27"/>
    </row>
    <row r="131" spans="1:21">
      <c r="A131" s="27"/>
      <c r="B131" s="27"/>
      <c r="C131" s="27"/>
      <c r="D131" s="27"/>
      <c r="E131" s="27"/>
      <c r="F131" s="27"/>
      <c r="G131" s="27"/>
      <c r="H131" s="27"/>
      <c r="I131" s="27"/>
      <c r="J131" s="27"/>
      <c r="K131" s="27"/>
      <c r="L131" s="27"/>
      <c r="M131" s="27"/>
      <c r="N131" s="27"/>
      <c r="O131" s="27"/>
      <c r="P131" s="27"/>
      <c r="Q131" s="27"/>
      <c r="R131" s="27"/>
      <c r="S131" s="27"/>
      <c r="T131" s="27"/>
      <c r="U131" s="27"/>
    </row>
    <row r="132" spans="1:21">
      <c r="A132" s="27"/>
      <c r="B132" s="27"/>
      <c r="C132" s="27"/>
      <c r="D132" s="27"/>
      <c r="E132" s="27"/>
      <c r="F132" s="27"/>
      <c r="G132" s="27"/>
      <c r="H132" s="27"/>
      <c r="I132" s="27"/>
      <c r="J132" s="27"/>
      <c r="K132" s="27"/>
      <c r="L132" s="27"/>
      <c r="M132" s="27"/>
      <c r="N132" s="27"/>
      <c r="O132" s="27"/>
      <c r="P132" s="27"/>
      <c r="Q132" s="27"/>
      <c r="R132" s="27"/>
      <c r="S132" s="27"/>
      <c r="T132" s="27"/>
      <c r="U132" s="27"/>
    </row>
    <row r="133" spans="1:21">
      <c r="A133" s="27"/>
      <c r="B133" s="27"/>
      <c r="C133" s="27"/>
      <c r="D133" s="27"/>
      <c r="E133" s="27"/>
      <c r="F133" s="27"/>
      <c r="G133" s="27"/>
      <c r="H133" s="27"/>
      <c r="I133" s="27"/>
      <c r="J133" s="27"/>
      <c r="K133" s="27"/>
      <c r="L133" s="27"/>
      <c r="M133" s="27"/>
      <c r="N133" s="27"/>
      <c r="O133" s="27"/>
      <c r="P133" s="27"/>
      <c r="Q133" s="27"/>
      <c r="R133" s="27"/>
      <c r="S133" s="27"/>
      <c r="T133" s="27"/>
      <c r="U133" s="27"/>
    </row>
    <row r="134" spans="1:21">
      <c r="A134" s="27"/>
      <c r="B134" s="27"/>
      <c r="C134" s="27"/>
      <c r="D134" s="27"/>
      <c r="E134" s="27"/>
      <c r="F134" s="27"/>
      <c r="G134" s="27"/>
      <c r="H134" s="27"/>
      <c r="I134" s="27"/>
      <c r="J134" s="27"/>
      <c r="K134" s="27"/>
      <c r="L134" s="27"/>
      <c r="M134" s="27"/>
      <c r="N134" s="27"/>
      <c r="O134" s="27"/>
      <c r="P134" s="27"/>
      <c r="Q134" s="27"/>
      <c r="R134" s="27"/>
      <c r="S134" s="27"/>
      <c r="T134" s="27"/>
      <c r="U134" s="27"/>
    </row>
    <row r="135" spans="1:21">
      <c r="A135" s="27"/>
      <c r="B135" s="27"/>
      <c r="C135" s="27"/>
      <c r="D135" s="27"/>
      <c r="E135" s="27"/>
      <c r="F135" s="27"/>
      <c r="G135" s="27"/>
      <c r="H135" s="27"/>
      <c r="I135" s="27"/>
      <c r="J135" s="27"/>
      <c r="K135" s="27"/>
      <c r="L135" s="27"/>
      <c r="M135" s="27"/>
      <c r="N135" s="27"/>
      <c r="O135" s="27"/>
      <c r="P135" s="27"/>
      <c r="Q135" s="27"/>
      <c r="R135" s="27"/>
      <c r="S135" s="27"/>
      <c r="T135" s="27"/>
      <c r="U135" s="27"/>
    </row>
    <row r="136" spans="1:21">
      <c r="A136" s="27"/>
      <c r="B136" s="27"/>
      <c r="C136" s="27"/>
      <c r="D136" s="27"/>
      <c r="E136" s="27"/>
      <c r="F136" s="27"/>
      <c r="G136" s="27"/>
      <c r="H136" s="27"/>
      <c r="I136" s="27"/>
      <c r="J136" s="27"/>
      <c r="K136" s="27"/>
      <c r="L136" s="27"/>
      <c r="M136" s="27"/>
      <c r="N136" s="27"/>
      <c r="O136" s="27"/>
      <c r="P136" s="27"/>
      <c r="Q136" s="27"/>
      <c r="R136" s="27"/>
      <c r="S136" s="27"/>
      <c r="T136" s="27"/>
      <c r="U136" s="27"/>
    </row>
    <row r="137" spans="1:21">
      <c r="A137" s="27"/>
      <c r="B137" s="27"/>
      <c r="C137" s="27"/>
      <c r="D137" s="27"/>
      <c r="E137" s="27"/>
      <c r="F137" s="27"/>
      <c r="G137" s="27"/>
      <c r="H137" s="27"/>
      <c r="I137" s="27"/>
      <c r="J137" s="27"/>
      <c r="K137" s="27"/>
      <c r="L137" s="27"/>
      <c r="M137" s="27"/>
      <c r="N137" s="27"/>
      <c r="O137" s="27"/>
      <c r="P137" s="27"/>
      <c r="Q137" s="27"/>
      <c r="R137" s="27"/>
      <c r="S137" s="27"/>
      <c r="T137" s="27"/>
      <c r="U137" s="27"/>
    </row>
    <row r="138" spans="1:21">
      <c r="A138" s="27"/>
      <c r="B138" s="27"/>
      <c r="C138" s="27"/>
      <c r="D138" s="27"/>
      <c r="E138" s="27"/>
      <c r="F138" s="27"/>
      <c r="G138" s="27"/>
      <c r="H138" s="27"/>
      <c r="I138" s="27"/>
      <c r="J138" s="27"/>
      <c r="K138" s="27"/>
      <c r="L138" s="27"/>
      <c r="M138" s="27"/>
      <c r="N138" s="27"/>
      <c r="O138" s="27"/>
      <c r="P138" s="27"/>
      <c r="Q138" s="27"/>
      <c r="R138" s="27"/>
      <c r="S138" s="27"/>
      <c r="T138" s="27"/>
      <c r="U138" s="27"/>
    </row>
    <row r="139" spans="1:21">
      <c r="A139" s="27"/>
      <c r="B139" s="27"/>
      <c r="C139" s="27"/>
      <c r="D139" s="27"/>
      <c r="E139" s="27"/>
      <c r="F139" s="27"/>
      <c r="G139" s="27"/>
      <c r="H139" s="27"/>
      <c r="I139" s="27"/>
      <c r="J139" s="27"/>
      <c r="K139" s="27"/>
      <c r="L139" s="27"/>
      <c r="M139" s="27"/>
      <c r="N139" s="27"/>
      <c r="O139" s="27"/>
      <c r="P139" s="27"/>
      <c r="Q139" s="27"/>
      <c r="R139" s="27"/>
      <c r="S139" s="27"/>
      <c r="T139" s="27"/>
      <c r="U139" s="27"/>
    </row>
    <row r="140" spans="1:21">
      <c r="A140" s="27"/>
      <c r="B140" s="27"/>
      <c r="C140" s="27"/>
      <c r="D140" s="27"/>
      <c r="E140" s="27"/>
      <c r="F140" s="27"/>
      <c r="G140" s="27"/>
      <c r="H140" s="27"/>
      <c r="I140" s="27"/>
      <c r="J140" s="27"/>
      <c r="K140" s="27"/>
      <c r="L140" s="27"/>
      <c r="M140" s="27"/>
      <c r="N140" s="27"/>
      <c r="O140" s="27"/>
      <c r="P140" s="27"/>
      <c r="Q140" s="27"/>
      <c r="R140" s="27"/>
      <c r="S140" s="27"/>
      <c r="T140" s="27"/>
      <c r="U140" s="27"/>
    </row>
    <row r="141" spans="1:21">
      <c r="A141" s="27"/>
      <c r="B141" s="27"/>
      <c r="C141" s="27"/>
      <c r="D141" s="27"/>
      <c r="E141" s="27"/>
      <c r="F141" s="27"/>
      <c r="G141" s="27"/>
      <c r="H141" s="27"/>
      <c r="I141" s="27"/>
      <c r="J141" s="27"/>
      <c r="K141" s="27"/>
      <c r="L141" s="27"/>
      <c r="M141" s="27"/>
      <c r="N141" s="27"/>
      <c r="O141" s="27"/>
      <c r="P141" s="27"/>
      <c r="Q141" s="27"/>
      <c r="R141" s="27"/>
      <c r="S141" s="27"/>
      <c r="T141" s="27"/>
      <c r="U141" s="27"/>
    </row>
    <row r="142" spans="1:21">
      <c r="A142" s="27"/>
      <c r="B142" s="27"/>
      <c r="C142" s="27"/>
      <c r="D142" s="27"/>
      <c r="E142" s="27"/>
      <c r="F142" s="27"/>
      <c r="G142" s="27"/>
      <c r="H142" s="27"/>
      <c r="I142" s="27"/>
      <c r="J142" s="27"/>
      <c r="K142" s="27"/>
      <c r="L142" s="27"/>
      <c r="M142" s="27"/>
      <c r="N142" s="27"/>
      <c r="O142" s="27"/>
      <c r="P142" s="27"/>
      <c r="Q142" s="27"/>
      <c r="R142" s="27"/>
      <c r="S142" s="27"/>
      <c r="T142" s="27"/>
      <c r="U142" s="27"/>
    </row>
    <row r="143" spans="1:21">
      <c r="A143" s="27"/>
      <c r="B143" s="27"/>
      <c r="C143" s="27"/>
      <c r="D143" s="27"/>
      <c r="E143" s="27"/>
      <c r="F143" s="27"/>
      <c r="G143" s="27"/>
      <c r="H143" s="27"/>
      <c r="I143" s="27"/>
      <c r="J143" s="27"/>
      <c r="K143" s="27"/>
      <c r="L143" s="27"/>
      <c r="M143" s="27"/>
      <c r="N143" s="27"/>
      <c r="O143" s="27"/>
      <c r="P143" s="27"/>
      <c r="Q143" s="27"/>
      <c r="R143" s="27"/>
      <c r="S143" s="27"/>
      <c r="T143" s="27"/>
      <c r="U143" s="27"/>
    </row>
    <row r="144" spans="1:21">
      <c r="A144" s="27"/>
      <c r="B144" s="27"/>
      <c r="C144" s="27"/>
      <c r="D144" s="27"/>
      <c r="E144" s="27"/>
      <c r="F144" s="27"/>
      <c r="G144" s="27"/>
      <c r="H144" s="27"/>
      <c r="I144" s="27"/>
      <c r="J144" s="27"/>
      <c r="K144" s="27"/>
      <c r="L144" s="27"/>
      <c r="M144" s="27"/>
      <c r="N144" s="27"/>
      <c r="O144" s="27"/>
      <c r="P144" s="27"/>
      <c r="Q144" s="27"/>
      <c r="R144" s="27"/>
      <c r="S144" s="27"/>
      <c r="T144" s="27"/>
      <c r="U144" s="27"/>
    </row>
    <row r="145" spans="1:21">
      <c r="A145" s="27"/>
      <c r="B145" s="27"/>
      <c r="C145" s="27"/>
      <c r="D145" s="27"/>
      <c r="E145" s="27"/>
      <c r="F145" s="27"/>
      <c r="G145" s="27"/>
      <c r="H145" s="27"/>
      <c r="I145" s="27"/>
      <c r="J145" s="27"/>
      <c r="K145" s="27"/>
      <c r="L145" s="27"/>
      <c r="M145" s="27"/>
      <c r="N145" s="27"/>
      <c r="O145" s="27"/>
      <c r="P145" s="27"/>
      <c r="Q145" s="27"/>
      <c r="R145" s="27"/>
      <c r="S145" s="27"/>
      <c r="T145" s="27"/>
      <c r="U145" s="27"/>
    </row>
    <row r="146" spans="1:21">
      <c r="A146" s="27"/>
      <c r="B146" s="27"/>
      <c r="C146" s="27"/>
      <c r="D146" s="27"/>
      <c r="E146" s="27"/>
      <c r="F146" s="27"/>
      <c r="G146" s="27"/>
      <c r="H146" s="27"/>
      <c r="I146" s="27"/>
      <c r="J146" s="27"/>
      <c r="K146" s="27"/>
      <c r="L146" s="27"/>
      <c r="M146" s="27"/>
      <c r="N146" s="27"/>
      <c r="O146" s="27"/>
      <c r="P146" s="27"/>
      <c r="Q146" s="27"/>
      <c r="R146" s="27"/>
      <c r="S146" s="27"/>
      <c r="T146" s="27"/>
      <c r="U146" s="27"/>
    </row>
    <row r="147" spans="1:21">
      <c r="A147" s="27"/>
      <c r="B147" s="27"/>
      <c r="C147" s="27"/>
      <c r="D147" s="27"/>
      <c r="E147" s="27"/>
      <c r="F147" s="27"/>
      <c r="G147" s="27"/>
      <c r="H147" s="27"/>
      <c r="I147" s="27"/>
      <c r="J147" s="27"/>
      <c r="K147" s="27"/>
      <c r="L147" s="27"/>
      <c r="M147" s="27"/>
      <c r="N147" s="27"/>
      <c r="O147" s="27"/>
      <c r="P147" s="27"/>
      <c r="Q147" s="27"/>
      <c r="R147" s="27"/>
      <c r="S147" s="27"/>
      <c r="T147" s="27"/>
      <c r="U147" s="27"/>
    </row>
    <row r="148" spans="1:21">
      <c r="A148" s="27"/>
      <c r="B148" s="27"/>
      <c r="C148" s="27"/>
      <c r="D148" s="27"/>
      <c r="E148" s="27"/>
      <c r="F148" s="27"/>
      <c r="G148" s="27"/>
      <c r="H148" s="27"/>
      <c r="I148" s="27"/>
      <c r="J148" s="27"/>
      <c r="K148" s="27"/>
      <c r="L148" s="27"/>
      <c r="M148" s="27"/>
      <c r="N148" s="27"/>
      <c r="O148" s="27"/>
      <c r="P148" s="27"/>
      <c r="Q148" s="27"/>
      <c r="R148" s="27"/>
      <c r="S148" s="27"/>
      <c r="T148" s="27"/>
      <c r="U148" s="27"/>
    </row>
    <row r="149" spans="1:21">
      <c r="A149" s="27"/>
      <c r="B149" s="27"/>
      <c r="C149" s="27"/>
      <c r="D149" s="27"/>
      <c r="E149" s="27"/>
      <c r="F149" s="27"/>
      <c r="G149" s="27"/>
      <c r="H149" s="27"/>
      <c r="I149" s="27"/>
      <c r="J149" s="27"/>
      <c r="K149" s="27"/>
      <c r="L149" s="27"/>
      <c r="M149" s="27"/>
      <c r="N149" s="27"/>
      <c r="O149" s="27"/>
      <c r="P149" s="27"/>
      <c r="Q149" s="27"/>
      <c r="R149" s="27"/>
      <c r="S149" s="27"/>
      <c r="T149" s="27"/>
      <c r="U149" s="27"/>
    </row>
    <row r="150" spans="1:21">
      <c r="A150" s="27"/>
      <c r="B150" s="27"/>
      <c r="C150" s="27"/>
      <c r="D150" s="27"/>
      <c r="E150" s="27"/>
      <c r="F150" s="27"/>
      <c r="G150" s="27"/>
      <c r="H150" s="27"/>
      <c r="I150" s="27"/>
      <c r="J150" s="27"/>
      <c r="K150" s="27"/>
      <c r="L150" s="27"/>
      <c r="M150" s="27"/>
      <c r="N150" s="27"/>
      <c r="O150" s="27"/>
      <c r="P150" s="27"/>
      <c r="Q150" s="27"/>
      <c r="R150" s="27"/>
      <c r="S150" s="27"/>
      <c r="T150" s="27"/>
      <c r="U150" s="27"/>
    </row>
    <row r="151" spans="1:21">
      <c r="A151" s="27"/>
      <c r="B151" s="27"/>
      <c r="C151" s="27"/>
      <c r="D151" s="27"/>
      <c r="E151" s="27"/>
      <c r="F151" s="27"/>
      <c r="G151" s="27"/>
      <c r="H151" s="27"/>
      <c r="I151" s="27"/>
      <c r="J151" s="27"/>
      <c r="K151" s="27"/>
      <c r="L151" s="27"/>
      <c r="M151" s="27"/>
      <c r="N151" s="27"/>
      <c r="O151" s="27"/>
      <c r="P151" s="27"/>
      <c r="Q151" s="27"/>
      <c r="R151" s="27"/>
      <c r="S151" s="27"/>
      <c r="T151" s="27"/>
      <c r="U151" s="27"/>
    </row>
    <row r="152" spans="1:21">
      <c r="A152" s="27"/>
      <c r="B152" s="27"/>
      <c r="C152" s="27"/>
      <c r="D152" s="27"/>
      <c r="E152" s="27"/>
      <c r="F152" s="27"/>
      <c r="G152" s="27"/>
      <c r="H152" s="27"/>
      <c r="I152" s="27"/>
      <c r="J152" s="27"/>
      <c r="K152" s="27"/>
      <c r="L152" s="27"/>
      <c r="M152" s="27"/>
      <c r="N152" s="27"/>
      <c r="O152" s="27"/>
      <c r="P152" s="27"/>
      <c r="Q152" s="27"/>
      <c r="R152" s="27"/>
      <c r="S152" s="27"/>
      <c r="T152" s="27"/>
      <c r="U152" s="27"/>
    </row>
    <row r="153" spans="1:21">
      <c r="A153" s="27"/>
      <c r="B153" s="27"/>
      <c r="C153" s="27"/>
      <c r="D153" s="27"/>
      <c r="E153" s="27"/>
      <c r="F153" s="27"/>
      <c r="G153" s="27"/>
      <c r="H153" s="27"/>
      <c r="I153" s="27"/>
      <c r="J153" s="27"/>
      <c r="K153" s="27"/>
      <c r="L153" s="27"/>
      <c r="M153" s="27"/>
      <c r="N153" s="27"/>
      <c r="O153" s="27"/>
      <c r="P153" s="27"/>
      <c r="Q153" s="27"/>
      <c r="R153" s="27"/>
      <c r="S153" s="27"/>
      <c r="T153" s="27"/>
      <c r="U153" s="27"/>
    </row>
    <row r="154" spans="1:21">
      <c r="A154" s="27"/>
      <c r="B154" s="27"/>
      <c r="C154" s="27"/>
      <c r="D154" s="27"/>
      <c r="E154" s="27"/>
      <c r="F154" s="27"/>
      <c r="G154" s="27"/>
      <c r="H154" s="27"/>
      <c r="I154" s="27"/>
      <c r="J154" s="27"/>
      <c r="K154" s="27"/>
      <c r="L154" s="27"/>
      <c r="M154" s="27"/>
      <c r="N154" s="27"/>
      <c r="O154" s="27"/>
      <c r="P154" s="27"/>
      <c r="Q154" s="27"/>
      <c r="R154" s="27"/>
      <c r="S154" s="27"/>
      <c r="T154" s="27"/>
      <c r="U154" s="27"/>
    </row>
    <row r="155" spans="1:21">
      <c r="A155" s="27"/>
      <c r="B155" s="27"/>
      <c r="C155" s="27"/>
      <c r="D155" s="27"/>
      <c r="E155" s="27"/>
      <c r="F155" s="27"/>
      <c r="G155" s="27"/>
      <c r="H155" s="27"/>
      <c r="I155" s="27"/>
      <c r="J155" s="27"/>
      <c r="K155" s="27"/>
      <c r="L155" s="27"/>
      <c r="M155" s="27"/>
      <c r="N155" s="27"/>
      <c r="O155" s="27"/>
      <c r="P155" s="27"/>
      <c r="Q155" s="27"/>
      <c r="R155" s="27"/>
      <c r="S155" s="27"/>
      <c r="T155" s="27"/>
      <c r="U155" s="27"/>
    </row>
    <row r="156" spans="1:21">
      <c r="A156" s="27"/>
      <c r="B156" s="27"/>
      <c r="C156" s="27"/>
      <c r="D156" s="27"/>
      <c r="E156" s="27"/>
      <c r="F156" s="27"/>
      <c r="G156" s="27"/>
      <c r="H156" s="27"/>
      <c r="I156" s="27"/>
      <c r="J156" s="27"/>
      <c r="K156" s="27"/>
      <c r="L156" s="27"/>
      <c r="M156" s="27"/>
      <c r="N156" s="27"/>
      <c r="O156" s="27"/>
      <c r="P156" s="27"/>
      <c r="Q156" s="27"/>
      <c r="R156" s="27"/>
      <c r="S156" s="27"/>
      <c r="T156" s="27"/>
      <c r="U156" s="27"/>
    </row>
    <row r="157" spans="1:21">
      <c r="A157" s="27"/>
      <c r="B157" s="27"/>
      <c r="C157" s="27"/>
      <c r="D157" s="27"/>
      <c r="E157" s="27"/>
      <c r="F157" s="27"/>
      <c r="G157" s="27"/>
      <c r="H157" s="27"/>
      <c r="I157" s="27"/>
      <c r="J157" s="27"/>
      <c r="K157" s="27"/>
      <c r="L157" s="27"/>
      <c r="M157" s="27"/>
      <c r="N157" s="27"/>
      <c r="O157" s="27"/>
      <c r="P157" s="27"/>
      <c r="Q157" s="27"/>
      <c r="R157" s="27"/>
      <c r="S157" s="27"/>
      <c r="T157" s="27"/>
      <c r="U157" s="27"/>
    </row>
    <row r="158" spans="1:21">
      <c r="A158" s="27"/>
      <c r="B158" s="27"/>
      <c r="C158" s="27"/>
      <c r="D158" s="27"/>
      <c r="E158" s="27"/>
      <c r="F158" s="27"/>
      <c r="G158" s="27"/>
      <c r="H158" s="27"/>
      <c r="I158" s="27"/>
      <c r="J158" s="27"/>
      <c r="K158" s="27"/>
      <c r="L158" s="27"/>
      <c r="M158" s="27"/>
      <c r="N158" s="27"/>
      <c r="O158" s="27"/>
      <c r="P158" s="27"/>
      <c r="Q158" s="27"/>
      <c r="R158" s="27"/>
      <c r="S158" s="27"/>
      <c r="T158" s="27"/>
      <c r="U158" s="27"/>
    </row>
    <row r="159" spans="1:21">
      <c r="A159" s="27"/>
      <c r="B159" s="27"/>
      <c r="C159" s="27"/>
      <c r="D159" s="27"/>
      <c r="E159" s="27"/>
      <c r="F159" s="27"/>
      <c r="G159" s="27"/>
      <c r="H159" s="27"/>
      <c r="I159" s="27"/>
      <c r="J159" s="27"/>
      <c r="K159" s="27"/>
      <c r="L159" s="27"/>
      <c r="M159" s="27"/>
      <c r="N159" s="27"/>
      <c r="O159" s="27"/>
      <c r="P159" s="27"/>
      <c r="Q159" s="27"/>
      <c r="R159" s="27"/>
      <c r="S159" s="27"/>
      <c r="T159" s="27"/>
      <c r="U159" s="27"/>
    </row>
    <row r="160" spans="1:21">
      <c r="A160" s="27"/>
      <c r="B160" s="27"/>
      <c r="C160" s="27"/>
      <c r="D160" s="27"/>
      <c r="E160" s="27"/>
      <c r="F160" s="27"/>
      <c r="G160" s="27"/>
      <c r="H160" s="27"/>
      <c r="I160" s="27"/>
      <c r="J160" s="27"/>
      <c r="K160" s="27"/>
      <c r="L160" s="27"/>
      <c r="M160" s="27"/>
      <c r="N160" s="27"/>
      <c r="O160" s="27"/>
      <c r="P160" s="27"/>
      <c r="Q160" s="27"/>
      <c r="R160" s="27"/>
      <c r="S160" s="27"/>
      <c r="T160" s="27"/>
      <c r="U160" s="27"/>
    </row>
    <row r="161" spans="1:21">
      <c r="A161" s="27"/>
      <c r="B161" s="27"/>
      <c r="C161" s="27"/>
      <c r="D161" s="27"/>
      <c r="E161" s="27"/>
      <c r="F161" s="27"/>
      <c r="G161" s="27"/>
      <c r="H161" s="27"/>
      <c r="I161" s="27"/>
      <c r="J161" s="27"/>
      <c r="K161" s="27"/>
      <c r="L161" s="27"/>
      <c r="M161" s="27"/>
      <c r="N161" s="27"/>
      <c r="O161" s="27"/>
      <c r="P161" s="27"/>
      <c r="Q161" s="27"/>
      <c r="R161" s="27"/>
      <c r="S161" s="27"/>
      <c r="T161" s="27"/>
      <c r="U161" s="27"/>
    </row>
    <row r="162" spans="1:21">
      <c r="A162" s="27"/>
      <c r="B162" s="27"/>
      <c r="C162" s="27"/>
      <c r="D162" s="27"/>
      <c r="E162" s="27"/>
      <c r="F162" s="27"/>
      <c r="G162" s="27"/>
      <c r="H162" s="27"/>
      <c r="I162" s="27"/>
      <c r="J162" s="27"/>
      <c r="K162" s="27"/>
      <c r="L162" s="27"/>
      <c r="M162" s="27"/>
      <c r="N162" s="27"/>
      <c r="O162" s="27"/>
      <c r="P162" s="27"/>
      <c r="Q162" s="27"/>
      <c r="R162" s="27"/>
      <c r="S162" s="27"/>
      <c r="T162" s="27"/>
      <c r="U162" s="27"/>
    </row>
    <row r="163" spans="1:21">
      <c r="A163" s="27"/>
      <c r="B163" s="27"/>
      <c r="C163" s="27"/>
      <c r="D163" s="27"/>
      <c r="E163" s="27"/>
      <c r="F163" s="27"/>
      <c r="G163" s="27"/>
      <c r="H163" s="27"/>
      <c r="I163" s="27"/>
      <c r="J163" s="27"/>
      <c r="K163" s="27"/>
      <c r="L163" s="27"/>
      <c r="M163" s="27"/>
      <c r="N163" s="27"/>
      <c r="O163" s="27"/>
      <c r="P163" s="27"/>
      <c r="Q163" s="27"/>
      <c r="R163" s="27"/>
      <c r="S163" s="27"/>
      <c r="T163" s="27"/>
      <c r="U163" s="27"/>
    </row>
    <row r="164" spans="1:21">
      <c r="A164" s="27"/>
      <c r="B164" s="27"/>
      <c r="C164" s="27"/>
      <c r="D164" s="27"/>
      <c r="E164" s="27"/>
      <c r="F164" s="27"/>
      <c r="G164" s="27"/>
      <c r="H164" s="27"/>
      <c r="I164" s="27"/>
      <c r="J164" s="27"/>
      <c r="K164" s="27"/>
      <c r="L164" s="27"/>
      <c r="M164" s="27"/>
      <c r="N164" s="27"/>
      <c r="O164" s="27"/>
      <c r="P164" s="27"/>
      <c r="Q164" s="27"/>
      <c r="R164" s="27"/>
      <c r="S164" s="27"/>
      <c r="T164" s="27"/>
      <c r="U164" s="27"/>
    </row>
    <row r="165" spans="1:21">
      <c r="A165" s="27"/>
      <c r="B165" s="27"/>
      <c r="C165" s="27"/>
      <c r="D165" s="27"/>
      <c r="E165" s="27"/>
      <c r="F165" s="27"/>
      <c r="G165" s="27"/>
      <c r="H165" s="27"/>
      <c r="I165" s="27"/>
      <c r="J165" s="27"/>
      <c r="K165" s="27"/>
      <c r="L165" s="27"/>
      <c r="M165" s="27"/>
      <c r="N165" s="27"/>
      <c r="O165" s="27"/>
      <c r="P165" s="27"/>
      <c r="Q165" s="27"/>
      <c r="R165" s="27"/>
      <c r="S165" s="27"/>
      <c r="T165" s="27"/>
      <c r="U165" s="27"/>
    </row>
    <row r="166" spans="1:21">
      <c r="A166" s="27"/>
      <c r="B166" s="27"/>
      <c r="C166" s="27"/>
      <c r="D166" s="27"/>
      <c r="E166" s="27"/>
      <c r="F166" s="27"/>
      <c r="G166" s="27"/>
      <c r="H166" s="27"/>
      <c r="I166" s="27"/>
      <c r="J166" s="27"/>
      <c r="K166" s="27"/>
      <c r="L166" s="27"/>
      <c r="M166" s="27"/>
      <c r="N166" s="27"/>
      <c r="O166" s="27"/>
      <c r="P166" s="27"/>
      <c r="Q166" s="27"/>
      <c r="R166" s="27"/>
      <c r="S166" s="27"/>
      <c r="T166" s="27"/>
      <c r="U166" s="27"/>
    </row>
    <row r="167" spans="1:21">
      <c r="A167" s="27"/>
      <c r="B167" s="27"/>
      <c r="C167" s="27"/>
      <c r="D167" s="27"/>
      <c r="E167" s="27"/>
      <c r="F167" s="27"/>
      <c r="G167" s="27"/>
      <c r="H167" s="27"/>
      <c r="I167" s="27"/>
      <c r="J167" s="27"/>
      <c r="K167" s="27"/>
      <c r="L167" s="27"/>
      <c r="M167" s="27"/>
      <c r="N167" s="27"/>
      <c r="O167" s="27"/>
      <c r="P167" s="27"/>
      <c r="Q167" s="27"/>
      <c r="R167" s="27"/>
      <c r="S167" s="27"/>
      <c r="T167" s="27"/>
      <c r="U167" s="27"/>
    </row>
    <row r="168" spans="1:21">
      <c r="A168" s="27"/>
      <c r="B168" s="27"/>
      <c r="C168" s="27"/>
      <c r="D168" s="27"/>
      <c r="E168" s="27"/>
      <c r="F168" s="27"/>
      <c r="G168" s="27"/>
      <c r="H168" s="27"/>
      <c r="I168" s="27"/>
      <c r="J168" s="27"/>
      <c r="K168" s="27"/>
      <c r="L168" s="27"/>
      <c r="M168" s="27"/>
      <c r="N168" s="27"/>
      <c r="O168" s="27"/>
      <c r="P168" s="27"/>
      <c r="Q168" s="27"/>
      <c r="R168" s="27"/>
      <c r="S168" s="27"/>
      <c r="T168" s="27"/>
      <c r="U168" s="27"/>
    </row>
    <row r="169" spans="1:21">
      <c r="A169" s="27"/>
      <c r="B169" s="27"/>
      <c r="C169" s="27"/>
      <c r="D169" s="27"/>
      <c r="E169" s="27"/>
      <c r="F169" s="27"/>
      <c r="G169" s="27"/>
      <c r="H169" s="27"/>
      <c r="I169" s="27"/>
      <c r="J169" s="27"/>
      <c r="K169" s="27"/>
      <c r="L169" s="27"/>
      <c r="M169" s="27"/>
      <c r="N169" s="27"/>
      <c r="O169" s="27"/>
      <c r="P169" s="27"/>
      <c r="Q169" s="27"/>
      <c r="R169" s="27"/>
      <c r="S169" s="27"/>
      <c r="T169" s="27"/>
      <c r="U169" s="27"/>
    </row>
    <row r="170" spans="1:21">
      <c r="A170" s="27"/>
      <c r="B170" s="27"/>
      <c r="C170" s="27"/>
      <c r="D170" s="27"/>
      <c r="E170" s="27"/>
      <c r="F170" s="27"/>
      <c r="G170" s="27"/>
      <c r="H170" s="27"/>
      <c r="I170" s="27"/>
      <c r="J170" s="27"/>
      <c r="K170" s="27"/>
      <c r="L170" s="27"/>
      <c r="M170" s="27"/>
      <c r="N170" s="27"/>
      <c r="O170" s="27"/>
      <c r="P170" s="27"/>
      <c r="Q170" s="27"/>
      <c r="R170" s="27"/>
      <c r="S170" s="27"/>
      <c r="T170" s="27"/>
      <c r="U170" s="27"/>
    </row>
    <row r="171" spans="1:21">
      <c r="A171" s="27"/>
      <c r="B171" s="27"/>
      <c r="C171" s="27"/>
      <c r="D171" s="27"/>
      <c r="E171" s="27"/>
      <c r="F171" s="27"/>
      <c r="G171" s="27"/>
      <c r="H171" s="27"/>
      <c r="I171" s="27"/>
      <c r="J171" s="27"/>
      <c r="K171" s="27"/>
      <c r="L171" s="27"/>
      <c r="M171" s="27"/>
      <c r="N171" s="27"/>
      <c r="O171" s="27"/>
      <c r="P171" s="27"/>
      <c r="Q171" s="27"/>
      <c r="R171" s="27"/>
      <c r="S171" s="27"/>
      <c r="T171" s="27"/>
      <c r="U171" s="27"/>
    </row>
    <row r="172" spans="1:21">
      <c r="A172" s="27"/>
      <c r="B172" s="27"/>
      <c r="C172" s="27"/>
      <c r="D172" s="27"/>
      <c r="E172" s="27"/>
      <c r="F172" s="27"/>
      <c r="G172" s="27"/>
      <c r="H172" s="27"/>
      <c r="I172" s="27"/>
      <c r="J172" s="27"/>
      <c r="K172" s="27"/>
      <c r="L172" s="27"/>
      <c r="M172" s="27"/>
      <c r="N172" s="27"/>
      <c r="O172" s="27"/>
      <c r="P172" s="27"/>
      <c r="Q172" s="27"/>
      <c r="R172" s="27"/>
      <c r="S172" s="27"/>
      <c r="T172" s="27"/>
      <c r="U172" s="27"/>
    </row>
    <row r="173" spans="1:21">
      <c r="A173" s="27"/>
      <c r="B173" s="27"/>
      <c r="C173" s="27"/>
      <c r="D173" s="27"/>
      <c r="E173" s="27"/>
      <c r="F173" s="27"/>
      <c r="G173" s="27"/>
      <c r="H173" s="27"/>
      <c r="I173" s="27"/>
      <c r="J173" s="27"/>
      <c r="K173" s="27"/>
      <c r="L173" s="27"/>
      <c r="M173" s="27"/>
      <c r="N173" s="27"/>
      <c r="O173" s="27"/>
      <c r="P173" s="27"/>
      <c r="Q173" s="27"/>
      <c r="R173" s="27"/>
      <c r="S173" s="27"/>
      <c r="T173" s="27"/>
      <c r="U173" s="27"/>
    </row>
    <row r="174" spans="1:21">
      <c r="A174" s="27"/>
      <c r="B174" s="27"/>
      <c r="C174" s="27"/>
      <c r="D174" s="27"/>
      <c r="E174" s="27"/>
      <c r="F174" s="27"/>
      <c r="G174" s="27"/>
      <c r="H174" s="27"/>
      <c r="I174" s="27"/>
      <c r="J174" s="27"/>
      <c r="K174" s="27"/>
      <c r="L174" s="27"/>
      <c r="M174" s="27"/>
      <c r="N174" s="27"/>
      <c r="O174" s="27"/>
      <c r="P174" s="27"/>
      <c r="Q174" s="27"/>
      <c r="R174" s="27"/>
      <c r="S174" s="27"/>
      <c r="T174" s="27"/>
      <c r="U174" s="27"/>
    </row>
    <row r="175" spans="1:21">
      <c r="A175" s="27"/>
      <c r="B175" s="27"/>
      <c r="C175" s="27"/>
      <c r="D175" s="27"/>
      <c r="E175" s="27"/>
      <c r="F175" s="27"/>
      <c r="G175" s="27"/>
      <c r="H175" s="27"/>
      <c r="I175" s="27"/>
      <c r="J175" s="27"/>
      <c r="K175" s="27"/>
      <c r="L175" s="27"/>
      <c r="M175" s="27"/>
      <c r="N175" s="27"/>
      <c r="O175" s="27"/>
      <c r="P175" s="27"/>
      <c r="Q175" s="27"/>
      <c r="R175" s="27"/>
      <c r="S175" s="27"/>
      <c r="T175" s="27"/>
      <c r="U175" s="27"/>
    </row>
    <row r="176" spans="1:21">
      <c r="A176" s="27"/>
      <c r="B176" s="27"/>
      <c r="C176" s="27"/>
      <c r="D176" s="27"/>
      <c r="E176" s="27"/>
      <c r="F176" s="27"/>
      <c r="G176" s="27"/>
      <c r="H176" s="27"/>
      <c r="I176" s="27"/>
      <c r="J176" s="27"/>
      <c r="K176" s="27"/>
      <c r="L176" s="27"/>
      <c r="M176" s="27"/>
      <c r="N176" s="27"/>
      <c r="O176" s="27"/>
      <c r="P176" s="27"/>
      <c r="Q176" s="27"/>
      <c r="R176" s="27"/>
      <c r="S176" s="27"/>
      <c r="T176" s="27"/>
      <c r="U176" s="27"/>
    </row>
    <row r="177" spans="1:21">
      <c r="A177" s="27"/>
      <c r="B177" s="27"/>
      <c r="C177" s="27"/>
      <c r="D177" s="27"/>
      <c r="E177" s="27"/>
      <c r="F177" s="27"/>
      <c r="G177" s="27"/>
      <c r="H177" s="27"/>
      <c r="I177" s="27"/>
      <c r="J177" s="27"/>
      <c r="K177" s="27"/>
      <c r="L177" s="27"/>
      <c r="M177" s="27"/>
      <c r="N177" s="27"/>
      <c r="O177" s="27"/>
      <c r="P177" s="27"/>
      <c r="Q177" s="27"/>
      <c r="R177" s="27"/>
      <c r="S177" s="27"/>
      <c r="T177" s="27"/>
      <c r="U177" s="27"/>
    </row>
    <row r="178" spans="1:21">
      <c r="A178" s="27"/>
      <c r="B178" s="27"/>
      <c r="C178" s="27"/>
      <c r="D178" s="27"/>
      <c r="E178" s="27"/>
      <c r="F178" s="27"/>
      <c r="G178" s="27"/>
      <c r="H178" s="27"/>
      <c r="I178" s="27"/>
      <c r="J178" s="27"/>
      <c r="K178" s="27"/>
      <c r="L178" s="27"/>
      <c r="M178" s="27"/>
      <c r="N178" s="27"/>
      <c r="O178" s="27"/>
      <c r="P178" s="27"/>
      <c r="Q178" s="27"/>
      <c r="R178" s="27"/>
      <c r="S178" s="27"/>
      <c r="T178" s="27"/>
      <c r="U178" s="27"/>
    </row>
    <row r="179" spans="1:21">
      <c r="A179" s="27"/>
      <c r="B179" s="27"/>
      <c r="C179" s="27"/>
      <c r="D179" s="27"/>
      <c r="E179" s="27"/>
      <c r="F179" s="27"/>
      <c r="G179" s="27"/>
      <c r="H179" s="27"/>
      <c r="I179" s="27"/>
      <c r="J179" s="27"/>
      <c r="K179" s="27"/>
      <c r="L179" s="27"/>
      <c r="M179" s="27"/>
      <c r="N179" s="27"/>
      <c r="O179" s="27"/>
      <c r="P179" s="27"/>
      <c r="Q179" s="27"/>
      <c r="R179" s="27"/>
      <c r="S179" s="27"/>
      <c r="T179" s="27"/>
      <c r="U179" s="27"/>
    </row>
    <row r="180" spans="1:21">
      <c r="A180" s="27"/>
      <c r="B180" s="27"/>
      <c r="C180" s="27"/>
      <c r="D180" s="27"/>
      <c r="E180" s="27"/>
      <c r="F180" s="27"/>
      <c r="G180" s="27"/>
      <c r="H180" s="27"/>
      <c r="I180" s="27"/>
      <c r="J180" s="27"/>
      <c r="K180" s="27"/>
      <c r="L180" s="27"/>
      <c r="M180" s="27"/>
      <c r="N180" s="27"/>
      <c r="O180" s="27"/>
      <c r="P180" s="27"/>
      <c r="Q180" s="27"/>
      <c r="R180" s="27"/>
      <c r="S180" s="27"/>
      <c r="T180" s="27"/>
      <c r="U180" s="27"/>
    </row>
    <row r="181" spans="1:21">
      <c r="A181" s="27"/>
      <c r="B181" s="27"/>
      <c r="C181" s="27"/>
      <c r="D181" s="27"/>
      <c r="E181" s="27"/>
      <c r="F181" s="27"/>
      <c r="G181" s="27"/>
      <c r="H181" s="27"/>
      <c r="I181" s="27"/>
      <c r="J181" s="27"/>
      <c r="K181" s="27"/>
      <c r="L181" s="27"/>
      <c r="M181" s="27"/>
      <c r="N181" s="27"/>
      <c r="O181" s="27"/>
      <c r="P181" s="27"/>
      <c r="Q181" s="27"/>
      <c r="R181" s="27"/>
      <c r="S181" s="27"/>
      <c r="T181" s="27"/>
      <c r="U181" s="27"/>
    </row>
    <row r="182" spans="1:21">
      <c r="A182" s="27"/>
      <c r="B182" s="27"/>
      <c r="C182" s="27"/>
      <c r="D182" s="27"/>
      <c r="E182" s="27"/>
      <c r="F182" s="27"/>
      <c r="G182" s="27"/>
      <c r="H182" s="27"/>
      <c r="I182" s="27"/>
      <c r="J182" s="27"/>
      <c r="K182" s="27"/>
      <c r="L182" s="27"/>
      <c r="M182" s="27"/>
      <c r="N182" s="27"/>
      <c r="O182" s="27"/>
      <c r="P182" s="27"/>
      <c r="Q182" s="27"/>
      <c r="R182" s="27"/>
      <c r="S182" s="27"/>
      <c r="T182" s="27"/>
      <c r="U182" s="27"/>
    </row>
    <row r="183" spans="1:21">
      <c r="A183" s="27"/>
      <c r="B183" s="27"/>
      <c r="C183" s="27"/>
      <c r="D183" s="27"/>
      <c r="E183" s="27"/>
      <c r="F183" s="27"/>
      <c r="G183" s="27"/>
      <c r="H183" s="27"/>
      <c r="I183" s="27"/>
      <c r="J183" s="27"/>
      <c r="K183" s="27"/>
      <c r="L183" s="27"/>
      <c r="M183" s="27"/>
      <c r="N183" s="27"/>
      <c r="O183" s="27"/>
      <c r="P183" s="27"/>
      <c r="Q183" s="27"/>
      <c r="R183" s="27"/>
      <c r="S183" s="27"/>
      <c r="T183" s="27"/>
      <c r="U183" s="27"/>
    </row>
    <row r="184" spans="1:21">
      <c r="A184" s="27"/>
      <c r="B184" s="27"/>
      <c r="C184" s="27"/>
      <c r="D184" s="27"/>
      <c r="E184" s="27"/>
      <c r="F184" s="27"/>
      <c r="G184" s="27"/>
      <c r="H184" s="27"/>
      <c r="I184" s="27"/>
      <c r="J184" s="27"/>
      <c r="K184" s="27"/>
      <c r="L184" s="27"/>
      <c r="M184" s="27"/>
      <c r="N184" s="27"/>
      <c r="O184" s="27"/>
      <c r="P184" s="27"/>
      <c r="Q184" s="27"/>
      <c r="R184" s="27"/>
      <c r="S184" s="27"/>
      <c r="T184" s="27"/>
      <c r="U184" s="27"/>
    </row>
    <row r="185" spans="1:21">
      <c r="A185" s="27"/>
      <c r="B185" s="27"/>
      <c r="C185" s="27"/>
      <c r="D185" s="27"/>
      <c r="E185" s="27"/>
      <c r="F185" s="27"/>
      <c r="G185" s="27"/>
      <c r="H185" s="27"/>
      <c r="I185" s="27"/>
      <c r="J185" s="27"/>
      <c r="K185" s="27"/>
      <c r="L185" s="27"/>
      <c r="M185" s="27"/>
      <c r="N185" s="27"/>
      <c r="O185" s="27"/>
      <c r="P185" s="27"/>
      <c r="Q185" s="27"/>
      <c r="R185" s="27"/>
      <c r="S185" s="27"/>
      <c r="T185" s="27"/>
      <c r="U185" s="27"/>
    </row>
    <row r="186" spans="1:21">
      <c r="A186" s="27"/>
      <c r="B186" s="27"/>
      <c r="C186" s="27"/>
      <c r="D186" s="27"/>
      <c r="E186" s="27"/>
      <c r="F186" s="27"/>
      <c r="G186" s="27"/>
      <c r="H186" s="27"/>
      <c r="I186" s="27"/>
      <c r="J186" s="27"/>
      <c r="K186" s="27"/>
      <c r="L186" s="27"/>
      <c r="M186" s="27"/>
      <c r="N186" s="27"/>
      <c r="O186" s="27"/>
      <c r="P186" s="27"/>
      <c r="Q186" s="27"/>
      <c r="R186" s="27"/>
      <c r="S186" s="27"/>
      <c r="T186" s="27"/>
      <c r="U186" s="27"/>
    </row>
    <row r="187" spans="1:21">
      <c r="A187" s="27"/>
      <c r="B187" s="27"/>
      <c r="C187" s="27"/>
      <c r="D187" s="27"/>
      <c r="E187" s="27"/>
      <c r="F187" s="27"/>
      <c r="G187" s="27"/>
      <c r="H187" s="27"/>
      <c r="I187" s="27"/>
      <c r="J187" s="27"/>
      <c r="K187" s="27"/>
      <c r="L187" s="27"/>
      <c r="M187" s="27"/>
      <c r="N187" s="27"/>
      <c r="O187" s="27"/>
      <c r="P187" s="27"/>
      <c r="Q187" s="27"/>
      <c r="R187" s="27"/>
      <c r="S187" s="27"/>
      <c r="T187" s="27"/>
      <c r="U187" s="27"/>
    </row>
    <row r="188" spans="1:21">
      <c r="A188" s="27"/>
      <c r="B188" s="27"/>
      <c r="C188" s="27"/>
      <c r="D188" s="27"/>
      <c r="E188" s="27"/>
      <c r="F188" s="27"/>
      <c r="G188" s="27"/>
      <c r="H188" s="27"/>
      <c r="I188" s="27"/>
      <c r="J188" s="27"/>
      <c r="K188" s="27"/>
      <c r="L188" s="27"/>
      <c r="M188" s="27"/>
      <c r="N188" s="27"/>
      <c r="O188" s="27"/>
      <c r="P188" s="27"/>
      <c r="Q188" s="27"/>
      <c r="R188" s="27"/>
      <c r="S188" s="27"/>
      <c r="T188" s="27"/>
      <c r="U188" s="27"/>
    </row>
    <row r="189" spans="1:21">
      <c r="A189" s="27"/>
      <c r="B189" s="27"/>
      <c r="C189" s="27"/>
      <c r="D189" s="27"/>
      <c r="E189" s="27"/>
      <c r="F189" s="27"/>
      <c r="G189" s="27"/>
      <c r="H189" s="27"/>
      <c r="I189" s="27"/>
      <c r="J189" s="27"/>
      <c r="K189" s="27"/>
      <c r="L189" s="27"/>
      <c r="M189" s="27"/>
      <c r="N189" s="27"/>
      <c r="O189" s="27"/>
      <c r="P189" s="27"/>
      <c r="Q189" s="27"/>
      <c r="R189" s="27"/>
      <c r="S189" s="27"/>
      <c r="T189" s="27"/>
      <c r="U189" s="27"/>
    </row>
    <row r="190" spans="1:21">
      <c r="A190" s="27"/>
      <c r="B190" s="27"/>
      <c r="C190" s="27"/>
      <c r="D190" s="27"/>
      <c r="E190" s="27"/>
      <c r="F190" s="27"/>
      <c r="G190" s="27"/>
      <c r="H190" s="27"/>
      <c r="I190" s="27"/>
      <c r="J190" s="27"/>
      <c r="K190" s="27"/>
      <c r="L190" s="27"/>
      <c r="M190" s="27"/>
      <c r="N190" s="27"/>
      <c r="O190" s="27"/>
      <c r="P190" s="27"/>
      <c r="Q190" s="27"/>
      <c r="R190" s="27"/>
      <c r="S190" s="27"/>
      <c r="T190" s="27"/>
      <c r="U190" s="27"/>
    </row>
    <row r="191" spans="1:21">
      <c r="A191" s="27"/>
      <c r="B191" s="27"/>
      <c r="C191" s="27"/>
      <c r="D191" s="27"/>
      <c r="E191" s="27"/>
      <c r="F191" s="27"/>
      <c r="G191" s="27"/>
      <c r="H191" s="27"/>
      <c r="I191" s="27"/>
      <c r="J191" s="27"/>
      <c r="K191" s="27"/>
      <c r="L191" s="27"/>
      <c r="M191" s="27"/>
      <c r="N191" s="27"/>
      <c r="O191" s="27"/>
      <c r="P191" s="27"/>
      <c r="Q191" s="27"/>
      <c r="R191" s="27"/>
      <c r="S191" s="27"/>
      <c r="T191" s="27"/>
      <c r="U191" s="27"/>
    </row>
    <row r="192" spans="1:21">
      <c r="A192" s="27"/>
      <c r="B192" s="27"/>
      <c r="C192" s="27"/>
      <c r="D192" s="27"/>
      <c r="E192" s="27"/>
      <c r="F192" s="27"/>
      <c r="G192" s="27"/>
      <c r="H192" s="27"/>
      <c r="I192" s="27"/>
      <c r="J192" s="27"/>
      <c r="K192" s="27"/>
      <c r="L192" s="27"/>
      <c r="M192" s="27"/>
      <c r="N192" s="27"/>
      <c r="O192" s="27"/>
      <c r="P192" s="27"/>
      <c r="Q192" s="27"/>
      <c r="R192" s="27"/>
      <c r="S192" s="27"/>
      <c r="T192" s="27"/>
      <c r="U192" s="27"/>
    </row>
    <row r="193" spans="1:21">
      <c r="A193" s="27"/>
      <c r="B193" s="27"/>
      <c r="C193" s="27"/>
      <c r="D193" s="27"/>
      <c r="E193" s="27"/>
      <c r="F193" s="27"/>
      <c r="G193" s="27"/>
      <c r="H193" s="27"/>
      <c r="I193" s="27"/>
      <c r="J193" s="27"/>
      <c r="K193" s="27"/>
      <c r="L193" s="27"/>
      <c r="M193" s="27"/>
      <c r="N193" s="27"/>
      <c r="O193" s="27"/>
      <c r="P193" s="27"/>
      <c r="Q193" s="27"/>
      <c r="R193" s="27"/>
      <c r="S193" s="27"/>
      <c r="T193" s="27"/>
      <c r="U193" s="27"/>
    </row>
    <row r="194" spans="1:21">
      <c r="A194" s="27"/>
      <c r="B194" s="27"/>
      <c r="C194" s="27"/>
      <c r="D194" s="27"/>
      <c r="E194" s="27"/>
      <c r="F194" s="27"/>
      <c r="G194" s="27"/>
      <c r="H194" s="27"/>
      <c r="I194" s="27"/>
      <c r="J194" s="27"/>
      <c r="K194" s="27"/>
      <c r="L194" s="27"/>
      <c r="M194" s="27"/>
      <c r="N194" s="27"/>
      <c r="O194" s="27"/>
      <c r="P194" s="27"/>
      <c r="Q194" s="27"/>
      <c r="R194" s="27"/>
      <c r="S194" s="27"/>
      <c r="T194" s="27"/>
      <c r="U194" s="27"/>
    </row>
    <row r="195" spans="1:21">
      <c r="A195" s="27"/>
      <c r="B195" s="27"/>
      <c r="C195" s="27"/>
      <c r="D195" s="27"/>
      <c r="E195" s="27"/>
      <c r="F195" s="27"/>
      <c r="G195" s="27"/>
      <c r="H195" s="27"/>
      <c r="I195" s="27"/>
      <c r="J195" s="27"/>
      <c r="K195" s="27"/>
      <c r="L195" s="27"/>
      <c r="M195" s="27"/>
      <c r="N195" s="27"/>
      <c r="O195" s="27"/>
      <c r="P195" s="27"/>
      <c r="Q195" s="27"/>
      <c r="R195" s="27"/>
      <c r="S195" s="27"/>
      <c r="T195" s="27"/>
      <c r="U195" s="27"/>
    </row>
    <row r="196" spans="1:21">
      <c r="A196" s="27"/>
      <c r="B196" s="27"/>
      <c r="C196" s="27"/>
      <c r="D196" s="27"/>
      <c r="E196" s="27"/>
      <c r="F196" s="27"/>
      <c r="G196" s="27"/>
      <c r="H196" s="27"/>
      <c r="I196" s="27"/>
      <c r="J196" s="27"/>
      <c r="K196" s="27"/>
      <c r="L196" s="27"/>
      <c r="M196" s="27"/>
      <c r="N196" s="27"/>
      <c r="O196" s="27"/>
      <c r="P196" s="27"/>
      <c r="Q196" s="27"/>
      <c r="R196" s="27"/>
      <c r="S196" s="27"/>
      <c r="T196" s="27"/>
      <c r="U196" s="27"/>
    </row>
    <row r="197" spans="1:21">
      <c r="A197" s="27"/>
      <c r="B197" s="27"/>
      <c r="C197" s="27"/>
      <c r="D197" s="27"/>
      <c r="E197" s="27"/>
      <c r="F197" s="27"/>
      <c r="G197" s="27"/>
      <c r="H197" s="27"/>
      <c r="I197" s="27"/>
      <c r="J197" s="27"/>
      <c r="K197" s="27"/>
      <c r="L197" s="27"/>
      <c r="M197" s="27"/>
      <c r="N197" s="27"/>
      <c r="O197" s="27"/>
      <c r="P197" s="27"/>
      <c r="Q197" s="27"/>
      <c r="R197" s="27"/>
      <c r="S197" s="27"/>
      <c r="T197" s="27"/>
      <c r="U197" s="27"/>
    </row>
    <row r="198" spans="1:21">
      <c r="A198" s="27"/>
      <c r="B198" s="27"/>
      <c r="C198" s="27"/>
      <c r="D198" s="27"/>
      <c r="E198" s="27"/>
      <c r="F198" s="27"/>
      <c r="G198" s="27"/>
      <c r="H198" s="27"/>
      <c r="I198" s="27"/>
      <c r="J198" s="27"/>
      <c r="K198" s="27"/>
      <c r="L198" s="27"/>
      <c r="M198" s="27"/>
      <c r="N198" s="27"/>
      <c r="O198" s="27"/>
      <c r="P198" s="27"/>
      <c r="Q198" s="27"/>
      <c r="R198" s="27"/>
      <c r="S198" s="27"/>
      <c r="T198" s="27"/>
      <c r="U198" s="27"/>
    </row>
    <row r="199" spans="1:21">
      <c r="A199" s="27"/>
      <c r="B199" s="27"/>
      <c r="C199" s="27"/>
      <c r="D199" s="27"/>
      <c r="E199" s="27"/>
      <c r="F199" s="27"/>
      <c r="G199" s="27"/>
      <c r="H199" s="27"/>
      <c r="I199" s="27"/>
      <c r="J199" s="27"/>
      <c r="K199" s="27"/>
      <c r="L199" s="27"/>
      <c r="M199" s="27"/>
      <c r="N199" s="27"/>
      <c r="O199" s="27"/>
      <c r="P199" s="27"/>
      <c r="Q199" s="27"/>
      <c r="R199" s="27"/>
      <c r="S199" s="27"/>
      <c r="T199" s="27"/>
      <c r="U199" s="27"/>
    </row>
    <row r="200" spans="1:21">
      <c r="A200" s="27"/>
      <c r="B200" s="27"/>
      <c r="C200" s="27"/>
      <c r="D200" s="27"/>
      <c r="E200" s="27"/>
      <c r="F200" s="27"/>
      <c r="G200" s="27"/>
      <c r="H200" s="27"/>
      <c r="I200" s="27"/>
      <c r="J200" s="27"/>
      <c r="K200" s="27"/>
      <c r="L200" s="27"/>
      <c r="M200" s="27"/>
      <c r="N200" s="27"/>
      <c r="O200" s="27"/>
      <c r="P200" s="27"/>
      <c r="Q200" s="27"/>
      <c r="R200" s="27"/>
      <c r="S200" s="27"/>
      <c r="T200" s="27"/>
      <c r="U200" s="27"/>
    </row>
    <row r="201" spans="1:21">
      <c r="A201" s="27"/>
      <c r="B201" s="27"/>
      <c r="C201" s="27"/>
      <c r="D201" s="27"/>
      <c r="E201" s="27"/>
      <c r="F201" s="27"/>
      <c r="G201" s="27"/>
      <c r="H201" s="27"/>
      <c r="I201" s="27"/>
      <c r="J201" s="27"/>
      <c r="K201" s="27"/>
      <c r="L201" s="27"/>
      <c r="M201" s="27"/>
      <c r="N201" s="27"/>
      <c r="O201" s="27"/>
      <c r="P201" s="27"/>
      <c r="Q201" s="27"/>
      <c r="R201" s="27"/>
      <c r="S201" s="27"/>
      <c r="T201" s="27"/>
      <c r="U201" s="27"/>
    </row>
    <row r="202" spans="1:21">
      <c r="A202" s="27"/>
      <c r="B202" s="27"/>
      <c r="C202" s="27"/>
      <c r="D202" s="27"/>
      <c r="E202" s="27"/>
      <c r="F202" s="27"/>
      <c r="G202" s="27"/>
      <c r="H202" s="27"/>
      <c r="I202" s="27"/>
      <c r="J202" s="27"/>
      <c r="K202" s="27"/>
      <c r="L202" s="27"/>
      <c r="M202" s="27"/>
      <c r="N202" s="27"/>
      <c r="O202" s="27"/>
      <c r="P202" s="27"/>
      <c r="Q202" s="27"/>
      <c r="R202" s="27"/>
      <c r="S202" s="27"/>
      <c r="T202" s="27"/>
      <c r="U202" s="27"/>
    </row>
    <row r="203" spans="1:21">
      <c r="A203" s="27"/>
      <c r="B203" s="27"/>
      <c r="C203" s="27"/>
      <c r="D203" s="27"/>
      <c r="E203" s="27"/>
      <c r="F203" s="27"/>
      <c r="G203" s="27"/>
      <c r="H203" s="27"/>
      <c r="I203" s="27"/>
      <c r="J203" s="27"/>
      <c r="K203" s="27"/>
      <c r="L203" s="27"/>
      <c r="M203" s="27"/>
      <c r="N203" s="27"/>
      <c r="O203" s="27"/>
      <c r="P203" s="27"/>
      <c r="Q203" s="27"/>
      <c r="R203" s="27"/>
      <c r="S203" s="27"/>
      <c r="T203" s="27"/>
      <c r="U203" s="27"/>
    </row>
    <row r="204" spans="1:21">
      <c r="A204" s="27"/>
      <c r="B204" s="27"/>
      <c r="C204" s="27"/>
      <c r="D204" s="27"/>
      <c r="E204" s="27"/>
      <c r="F204" s="27"/>
      <c r="G204" s="27"/>
      <c r="H204" s="27"/>
      <c r="I204" s="27"/>
      <c r="J204" s="27"/>
      <c r="K204" s="27"/>
      <c r="L204" s="27"/>
      <c r="M204" s="27"/>
      <c r="N204" s="27"/>
      <c r="O204" s="27"/>
      <c r="P204" s="27"/>
      <c r="Q204" s="27"/>
      <c r="R204" s="27"/>
      <c r="S204" s="27"/>
      <c r="T204" s="27"/>
      <c r="U204" s="27"/>
    </row>
    <row r="205" spans="1:21">
      <c r="A205" s="27"/>
      <c r="B205" s="27"/>
      <c r="C205" s="27"/>
      <c r="D205" s="27"/>
      <c r="E205" s="27"/>
      <c r="F205" s="27"/>
      <c r="G205" s="27"/>
      <c r="H205" s="27"/>
      <c r="I205" s="27"/>
      <c r="J205" s="27"/>
      <c r="K205" s="27"/>
      <c r="L205" s="27"/>
      <c r="M205" s="27"/>
      <c r="N205" s="27"/>
      <c r="O205" s="27"/>
      <c r="P205" s="27"/>
      <c r="Q205" s="27"/>
      <c r="R205" s="27"/>
      <c r="S205" s="27"/>
      <c r="T205" s="27"/>
      <c r="U205" s="27"/>
    </row>
    <row r="206" spans="1:21">
      <c r="A206" s="27"/>
      <c r="B206" s="27"/>
      <c r="C206" s="27"/>
      <c r="D206" s="27"/>
      <c r="E206" s="27"/>
      <c r="F206" s="27"/>
      <c r="G206" s="27"/>
      <c r="H206" s="27"/>
      <c r="I206" s="27"/>
      <c r="J206" s="27"/>
      <c r="K206" s="27"/>
      <c r="L206" s="27"/>
      <c r="M206" s="27"/>
      <c r="N206" s="27"/>
      <c r="O206" s="27"/>
      <c r="P206" s="27"/>
      <c r="Q206" s="27"/>
      <c r="R206" s="27"/>
      <c r="S206" s="27"/>
      <c r="T206" s="27"/>
      <c r="U206" s="27"/>
    </row>
    <row r="207" spans="1:21">
      <c r="A207" s="27"/>
      <c r="B207" s="27"/>
      <c r="C207" s="27"/>
      <c r="D207" s="27"/>
      <c r="E207" s="27"/>
      <c r="F207" s="27"/>
      <c r="G207" s="27"/>
      <c r="H207" s="27"/>
      <c r="I207" s="27"/>
      <c r="J207" s="27"/>
      <c r="K207" s="27"/>
      <c r="L207" s="27"/>
      <c r="M207" s="27"/>
      <c r="N207" s="27"/>
      <c r="O207" s="27"/>
      <c r="P207" s="27"/>
      <c r="Q207" s="27"/>
      <c r="R207" s="27"/>
      <c r="S207" s="27"/>
      <c r="T207" s="27"/>
      <c r="U207" s="27"/>
    </row>
    <row r="208" spans="1:21">
      <c r="A208" s="27"/>
      <c r="B208" s="27"/>
      <c r="C208" s="27"/>
      <c r="D208" s="27"/>
      <c r="E208" s="27"/>
      <c r="F208" s="27"/>
      <c r="G208" s="27"/>
      <c r="H208" s="27"/>
      <c r="I208" s="27"/>
      <c r="J208" s="27"/>
      <c r="K208" s="27"/>
      <c r="L208" s="27"/>
      <c r="M208" s="27"/>
      <c r="N208" s="27"/>
      <c r="O208" s="27"/>
      <c r="P208" s="27"/>
      <c r="Q208" s="27"/>
      <c r="R208" s="27"/>
      <c r="S208" s="27"/>
      <c r="T208" s="27"/>
      <c r="U208" s="27"/>
    </row>
    <row r="209" spans="1:21">
      <c r="A209" s="27"/>
      <c r="B209" s="27"/>
      <c r="C209" s="27"/>
      <c r="D209" s="27"/>
      <c r="E209" s="27"/>
      <c r="F209" s="27"/>
      <c r="G209" s="27"/>
      <c r="H209" s="27"/>
      <c r="I209" s="27"/>
      <c r="J209" s="27"/>
      <c r="K209" s="27"/>
      <c r="L209" s="27"/>
      <c r="M209" s="27"/>
      <c r="N209" s="27"/>
      <c r="O209" s="27"/>
      <c r="P209" s="27"/>
      <c r="Q209" s="27"/>
      <c r="R209" s="27"/>
      <c r="S209" s="27"/>
      <c r="T209" s="27"/>
      <c r="U209" s="27"/>
    </row>
    <row r="210" spans="1:21">
      <c r="A210" s="27"/>
      <c r="B210" s="27"/>
      <c r="C210" s="27"/>
      <c r="D210" s="27"/>
      <c r="E210" s="27"/>
      <c r="F210" s="27"/>
      <c r="G210" s="27"/>
      <c r="H210" s="27"/>
      <c r="I210" s="27"/>
      <c r="J210" s="27"/>
      <c r="K210" s="27"/>
      <c r="L210" s="27"/>
      <c r="M210" s="27"/>
      <c r="N210" s="27"/>
      <c r="O210" s="27"/>
      <c r="P210" s="27"/>
      <c r="Q210" s="27"/>
      <c r="R210" s="27"/>
      <c r="S210" s="27"/>
      <c r="T210" s="27"/>
      <c r="U210" s="27"/>
    </row>
    <row r="211" spans="1:21">
      <c r="A211" s="27"/>
      <c r="B211" s="27"/>
      <c r="C211" s="27"/>
      <c r="D211" s="27"/>
      <c r="E211" s="27"/>
      <c r="F211" s="27"/>
      <c r="G211" s="27"/>
      <c r="H211" s="27"/>
      <c r="I211" s="27"/>
      <c r="J211" s="27"/>
      <c r="K211" s="27"/>
      <c r="L211" s="27"/>
      <c r="M211" s="27"/>
      <c r="N211" s="27"/>
      <c r="O211" s="27"/>
      <c r="P211" s="27"/>
      <c r="Q211" s="27"/>
      <c r="R211" s="27"/>
      <c r="S211" s="27"/>
      <c r="T211" s="27"/>
      <c r="U211" s="27"/>
    </row>
    <row r="212" spans="1:21">
      <c r="A212" s="27"/>
      <c r="B212" s="27"/>
      <c r="C212" s="27"/>
      <c r="D212" s="27"/>
      <c r="E212" s="27"/>
      <c r="F212" s="27"/>
      <c r="G212" s="27"/>
      <c r="H212" s="27"/>
      <c r="I212" s="27"/>
      <c r="J212" s="27"/>
      <c r="K212" s="27"/>
      <c r="L212" s="27"/>
      <c r="M212" s="27"/>
      <c r="N212" s="27"/>
      <c r="O212" s="27"/>
      <c r="P212" s="27"/>
      <c r="Q212" s="27"/>
      <c r="R212" s="27"/>
      <c r="S212" s="27"/>
      <c r="T212" s="27"/>
      <c r="U212" s="27"/>
    </row>
    <row r="213" spans="1:21">
      <c r="A213" s="27"/>
      <c r="B213" s="27"/>
      <c r="C213" s="27"/>
      <c r="D213" s="27"/>
      <c r="E213" s="27"/>
      <c r="F213" s="27"/>
      <c r="G213" s="27"/>
      <c r="H213" s="27"/>
      <c r="I213" s="27"/>
      <c r="J213" s="27"/>
      <c r="K213" s="27"/>
      <c r="L213" s="27"/>
      <c r="M213" s="27"/>
      <c r="N213" s="27"/>
      <c r="O213" s="27"/>
      <c r="P213" s="27"/>
      <c r="Q213" s="27"/>
      <c r="R213" s="27"/>
      <c r="S213" s="27"/>
      <c r="T213" s="27"/>
      <c r="U213" s="27"/>
    </row>
    <row r="214" spans="1:21">
      <c r="A214" s="27"/>
      <c r="B214" s="27"/>
      <c r="C214" s="27"/>
      <c r="D214" s="27"/>
      <c r="E214" s="27"/>
      <c r="F214" s="27"/>
      <c r="G214" s="27"/>
      <c r="H214" s="27"/>
      <c r="I214" s="27"/>
      <c r="J214" s="27"/>
      <c r="K214" s="27"/>
      <c r="L214" s="27"/>
      <c r="M214" s="27"/>
      <c r="N214" s="27"/>
      <c r="O214" s="27"/>
      <c r="P214" s="27"/>
      <c r="Q214" s="27"/>
      <c r="R214" s="27"/>
      <c r="S214" s="27"/>
      <c r="T214" s="27"/>
      <c r="U214" s="27"/>
    </row>
    <row r="215" spans="1:21">
      <c r="A215" s="27"/>
      <c r="B215" s="27"/>
      <c r="C215" s="27"/>
      <c r="D215" s="27"/>
      <c r="E215" s="27"/>
      <c r="F215" s="27"/>
      <c r="G215" s="27"/>
      <c r="H215" s="27"/>
      <c r="I215" s="27"/>
      <c r="J215" s="27"/>
      <c r="K215" s="27"/>
      <c r="L215" s="27"/>
      <c r="M215" s="27"/>
      <c r="N215" s="27"/>
      <c r="O215" s="27"/>
      <c r="P215" s="27"/>
      <c r="Q215" s="27"/>
      <c r="R215" s="27"/>
      <c r="S215" s="27"/>
      <c r="T215" s="27"/>
      <c r="U215" s="27"/>
    </row>
    <row r="216" spans="1:21">
      <c r="A216" s="27"/>
      <c r="B216" s="27"/>
      <c r="C216" s="27"/>
      <c r="D216" s="27"/>
      <c r="E216" s="27"/>
      <c r="F216" s="27"/>
      <c r="G216" s="27"/>
      <c r="H216" s="27"/>
      <c r="I216" s="27"/>
      <c r="J216" s="27"/>
      <c r="K216" s="27"/>
      <c r="L216" s="27"/>
      <c r="M216" s="27"/>
      <c r="N216" s="27"/>
      <c r="O216" s="27"/>
      <c r="P216" s="27"/>
      <c r="Q216" s="27"/>
      <c r="R216" s="27"/>
      <c r="S216" s="27"/>
      <c r="T216" s="27"/>
      <c r="U216" s="27"/>
    </row>
    <row r="217" spans="1:21">
      <c r="A217" s="27"/>
      <c r="B217" s="27"/>
      <c r="C217" s="27"/>
      <c r="D217" s="27"/>
      <c r="E217" s="27"/>
      <c r="F217" s="27"/>
      <c r="G217" s="27"/>
      <c r="H217" s="27"/>
      <c r="I217" s="27"/>
      <c r="J217" s="27"/>
      <c r="K217" s="27"/>
      <c r="L217" s="27"/>
      <c r="M217" s="27"/>
      <c r="N217" s="27"/>
      <c r="O217" s="27"/>
      <c r="P217" s="27"/>
      <c r="Q217" s="27"/>
      <c r="R217" s="27"/>
      <c r="S217" s="27"/>
      <c r="T217" s="27"/>
      <c r="U217" s="27"/>
    </row>
    <row r="218" spans="1:21">
      <c r="A218" s="27"/>
      <c r="B218" s="27"/>
      <c r="C218" s="27"/>
      <c r="D218" s="27"/>
      <c r="E218" s="27"/>
      <c r="F218" s="27"/>
      <c r="G218" s="27"/>
      <c r="H218" s="27"/>
      <c r="I218" s="27"/>
      <c r="J218" s="27"/>
      <c r="K218" s="27"/>
      <c r="L218" s="27"/>
      <c r="M218" s="27"/>
      <c r="N218" s="27"/>
      <c r="O218" s="27"/>
      <c r="P218" s="27"/>
      <c r="Q218" s="27"/>
      <c r="R218" s="27"/>
      <c r="S218" s="27"/>
      <c r="T218" s="27"/>
      <c r="U218" s="27"/>
    </row>
    <row r="219" spans="1:21">
      <c r="A219" s="27"/>
      <c r="B219" s="27"/>
      <c r="C219" s="27"/>
      <c r="D219" s="27"/>
      <c r="E219" s="27"/>
      <c r="F219" s="27"/>
      <c r="G219" s="27"/>
      <c r="H219" s="27"/>
      <c r="I219" s="27"/>
      <c r="J219" s="27"/>
      <c r="K219" s="27"/>
      <c r="L219" s="27"/>
      <c r="M219" s="27"/>
      <c r="N219" s="27"/>
      <c r="O219" s="27"/>
      <c r="P219" s="27"/>
      <c r="Q219" s="27"/>
      <c r="R219" s="27"/>
      <c r="S219" s="27"/>
      <c r="T219" s="27"/>
      <c r="U219" s="27"/>
    </row>
    <row r="220" spans="1:21">
      <c r="A220" s="27"/>
      <c r="B220" s="27"/>
      <c r="C220" s="27"/>
      <c r="D220" s="27"/>
      <c r="E220" s="27"/>
      <c r="F220" s="27"/>
      <c r="G220" s="27"/>
      <c r="H220" s="27"/>
      <c r="I220" s="27"/>
      <c r="J220" s="27"/>
      <c r="K220" s="27"/>
      <c r="L220" s="27"/>
      <c r="M220" s="27"/>
      <c r="N220" s="27"/>
      <c r="O220" s="27"/>
      <c r="P220" s="27"/>
      <c r="Q220" s="27"/>
      <c r="R220" s="27"/>
      <c r="S220" s="27"/>
      <c r="T220" s="27"/>
      <c r="U220" s="27"/>
    </row>
    <row r="221" spans="1:21">
      <c r="A221" s="27"/>
      <c r="B221" s="27"/>
      <c r="C221" s="27"/>
      <c r="D221" s="27"/>
      <c r="E221" s="27"/>
      <c r="F221" s="27"/>
      <c r="G221" s="27"/>
      <c r="H221" s="27"/>
      <c r="I221" s="27"/>
      <c r="J221" s="27"/>
      <c r="K221" s="27"/>
      <c r="L221" s="27"/>
      <c r="M221" s="27"/>
      <c r="N221" s="27"/>
      <c r="O221" s="27"/>
      <c r="P221" s="27"/>
      <c r="Q221" s="27"/>
      <c r="R221" s="27"/>
      <c r="S221" s="27"/>
      <c r="T221" s="27"/>
      <c r="U221" s="27"/>
    </row>
    <row r="222" spans="1:21">
      <c r="A222" s="27"/>
      <c r="B222" s="27"/>
      <c r="C222" s="27"/>
      <c r="D222" s="27"/>
      <c r="E222" s="27"/>
      <c r="F222" s="27"/>
      <c r="G222" s="27"/>
      <c r="H222" s="27"/>
      <c r="I222" s="27"/>
      <c r="J222" s="27"/>
      <c r="K222" s="27"/>
      <c r="L222" s="27"/>
      <c r="M222" s="27"/>
      <c r="N222" s="27"/>
      <c r="O222" s="27"/>
      <c r="P222" s="27"/>
      <c r="Q222" s="27"/>
      <c r="R222" s="27"/>
      <c r="S222" s="27"/>
      <c r="T222" s="27"/>
      <c r="U222" s="27"/>
    </row>
    <row r="223" spans="1:21">
      <c r="A223" s="27"/>
      <c r="B223" s="27"/>
      <c r="C223" s="27"/>
      <c r="D223" s="27"/>
      <c r="E223" s="27"/>
      <c r="F223" s="27"/>
      <c r="G223" s="27"/>
      <c r="H223" s="27"/>
      <c r="I223" s="27"/>
      <c r="J223" s="27"/>
      <c r="K223" s="27"/>
      <c r="L223" s="27"/>
      <c r="M223" s="27"/>
      <c r="N223" s="27"/>
      <c r="O223" s="27"/>
      <c r="P223" s="27"/>
      <c r="Q223" s="27"/>
      <c r="R223" s="27"/>
      <c r="S223" s="27"/>
      <c r="T223" s="27"/>
      <c r="U223" s="27"/>
    </row>
    <row r="224" spans="1:21">
      <c r="A224" s="27"/>
      <c r="B224" s="27"/>
      <c r="C224" s="27"/>
      <c r="D224" s="27"/>
      <c r="E224" s="27"/>
      <c r="F224" s="27"/>
      <c r="G224" s="27"/>
      <c r="H224" s="27"/>
      <c r="I224" s="27"/>
      <c r="J224" s="27"/>
      <c r="K224" s="27"/>
      <c r="L224" s="27"/>
      <c r="M224" s="27"/>
      <c r="N224" s="27"/>
      <c r="O224" s="27"/>
      <c r="P224" s="27"/>
      <c r="Q224" s="27"/>
      <c r="R224" s="27"/>
      <c r="S224" s="27"/>
      <c r="T224" s="27"/>
      <c r="U224" s="27"/>
    </row>
  </sheetData>
  <mergeCells count="11">
    <mergeCell ref="A1:U1"/>
    <mergeCell ref="A2:U2"/>
    <mergeCell ref="B4:C4"/>
    <mergeCell ref="D4:E4"/>
    <mergeCell ref="F4:G4"/>
    <mergeCell ref="H4:I4"/>
    <mergeCell ref="J4:K4"/>
    <mergeCell ref="R4:S4"/>
    <mergeCell ref="P4:Q4"/>
    <mergeCell ref="N4:O4"/>
    <mergeCell ref="L4:M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0"/>
  <sheetViews>
    <sheetView workbookViewId="0">
      <selection activeCell="H9" sqref="H9"/>
    </sheetView>
  </sheetViews>
  <sheetFormatPr defaultColWidth="9.109375" defaultRowHeight="15"/>
  <cols>
    <col min="1" max="1" width="6.44140625" style="530" customWidth="1"/>
    <col min="2" max="2" width="14.5546875" style="531" bestFit="1" customWidth="1"/>
    <col min="3" max="3" width="13.109375" style="531" customWidth="1"/>
    <col min="4" max="4" width="13.6640625" style="531" customWidth="1"/>
    <col min="5" max="5" width="16.6640625" style="548" customWidth="1"/>
    <col min="6" max="6" width="19" style="531" customWidth="1"/>
    <col min="7" max="7" width="16.88671875" style="532" customWidth="1"/>
    <col min="8" max="8" width="8.6640625" style="531" customWidth="1"/>
    <col min="9" max="9" width="9.33203125" style="533" customWidth="1"/>
    <col min="10" max="10" width="12" style="534" customWidth="1"/>
    <col min="11" max="11" width="34.5546875" style="535" customWidth="1"/>
    <col min="12" max="12" width="19.33203125" style="536" customWidth="1"/>
    <col min="13" max="13" width="8.6640625" style="531" bestFit="1" customWidth="1"/>
    <col min="14" max="14" width="8.109375" style="537" customWidth="1"/>
    <col min="15" max="15" width="10" style="538" customWidth="1"/>
    <col min="16" max="17" width="8.44140625" style="538" customWidth="1"/>
    <col min="18" max="18" width="8.44140625" style="537" customWidth="1"/>
    <col min="19" max="19" width="9" style="531" customWidth="1"/>
    <col min="20" max="20" width="7.44140625" style="531" customWidth="1"/>
    <col min="21" max="22" width="7" style="531" customWidth="1"/>
    <col min="23" max="23" width="6.5546875" style="531" customWidth="1"/>
    <col min="24" max="24" width="5.44140625" style="531" customWidth="1"/>
    <col min="25" max="25" width="5.109375" style="531" customWidth="1"/>
    <col min="26" max="26" width="4.88671875" style="531" customWidth="1"/>
    <col min="27" max="27" width="5.5546875" style="531" customWidth="1"/>
    <col min="28" max="28" width="6" style="531" customWidth="1"/>
    <col min="29" max="29" width="8.44140625" style="531" customWidth="1"/>
    <col min="30" max="31" width="8.44140625" style="442" customWidth="1"/>
    <col min="32" max="32" width="8" style="549" customWidth="1"/>
    <col min="33" max="256" width="9.109375" style="530"/>
    <col min="257" max="257" width="6.44140625" style="530" customWidth="1"/>
    <col min="258" max="258" width="14.5546875" style="530" bestFit="1" customWidth="1"/>
    <col min="259" max="259" width="13.109375" style="530" customWidth="1"/>
    <col min="260" max="260" width="13.6640625" style="530" customWidth="1"/>
    <col min="261" max="261" width="16.6640625" style="530" customWidth="1"/>
    <col min="262" max="262" width="19" style="530" customWidth="1"/>
    <col min="263" max="263" width="16.88671875" style="530" customWidth="1"/>
    <col min="264" max="264" width="8.6640625" style="530" customWidth="1"/>
    <col min="265" max="265" width="9.33203125" style="530" customWidth="1"/>
    <col min="266" max="266" width="12" style="530" customWidth="1"/>
    <col min="267" max="267" width="34.5546875" style="530" customWidth="1"/>
    <col min="268" max="268" width="19.33203125" style="530" customWidth="1"/>
    <col min="269" max="269" width="8.6640625" style="530" bestFit="1" customWidth="1"/>
    <col min="270" max="270" width="8.109375" style="530" customWidth="1"/>
    <col min="271" max="271" width="10" style="530" customWidth="1"/>
    <col min="272" max="274" width="8.44140625" style="530" customWidth="1"/>
    <col min="275" max="275" width="9" style="530" customWidth="1"/>
    <col min="276" max="276" width="7.44140625" style="530" customWidth="1"/>
    <col min="277" max="278" width="7" style="530" customWidth="1"/>
    <col min="279" max="279" width="6.5546875" style="530" customWidth="1"/>
    <col min="280" max="280" width="5.44140625" style="530" customWidth="1"/>
    <col min="281" max="281" width="5.109375" style="530" customWidth="1"/>
    <col min="282" max="282" width="4.88671875" style="530" customWidth="1"/>
    <col min="283" max="283" width="5.5546875" style="530" customWidth="1"/>
    <col min="284" max="284" width="6" style="530" customWidth="1"/>
    <col min="285" max="287" width="8.44140625" style="530" customWidth="1"/>
    <col min="288" max="288" width="8" style="530" customWidth="1"/>
    <col min="289" max="512" width="9.109375" style="530"/>
    <col min="513" max="513" width="6.44140625" style="530" customWidth="1"/>
    <col min="514" max="514" width="14.5546875" style="530" bestFit="1" customWidth="1"/>
    <col min="515" max="515" width="13.109375" style="530" customWidth="1"/>
    <col min="516" max="516" width="13.6640625" style="530" customWidth="1"/>
    <col min="517" max="517" width="16.6640625" style="530" customWidth="1"/>
    <col min="518" max="518" width="19" style="530" customWidth="1"/>
    <col min="519" max="519" width="16.88671875" style="530" customWidth="1"/>
    <col min="520" max="520" width="8.6640625" style="530" customWidth="1"/>
    <col min="521" max="521" width="9.33203125" style="530" customWidth="1"/>
    <col min="522" max="522" width="12" style="530" customWidth="1"/>
    <col min="523" max="523" width="34.5546875" style="530" customWidth="1"/>
    <col min="524" max="524" width="19.33203125" style="530" customWidth="1"/>
    <col min="525" max="525" width="8.6640625" style="530" bestFit="1" customWidth="1"/>
    <col min="526" max="526" width="8.109375" style="530" customWidth="1"/>
    <col min="527" max="527" width="10" style="530" customWidth="1"/>
    <col min="528" max="530" width="8.44140625" style="530" customWidth="1"/>
    <col min="531" max="531" width="9" style="530" customWidth="1"/>
    <col min="532" max="532" width="7.44140625" style="530" customWidth="1"/>
    <col min="533" max="534" width="7" style="530" customWidth="1"/>
    <col min="535" max="535" width="6.5546875" style="530" customWidth="1"/>
    <col min="536" max="536" width="5.44140625" style="530" customWidth="1"/>
    <col min="537" max="537" width="5.109375" style="530" customWidth="1"/>
    <col min="538" max="538" width="4.88671875" style="530" customWidth="1"/>
    <col min="539" max="539" width="5.5546875" style="530" customWidth="1"/>
    <col min="540" max="540" width="6" style="530" customWidth="1"/>
    <col min="541" max="543" width="8.44140625" style="530" customWidth="1"/>
    <col min="544" max="544" width="8" style="530" customWidth="1"/>
    <col min="545" max="768" width="9.109375" style="530"/>
    <col min="769" max="769" width="6.44140625" style="530" customWidth="1"/>
    <col min="770" max="770" width="14.5546875" style="530" bestFit="1" customWidth="1"/>
    <col min="771" max="771" width="13.109375" style="530" customWidth="1"/>
    <col min="772" max="772" width="13.6640625" style="530" customWidth="1"/>
    <col min="773" max="773" width="16.6640625" style="530" customWidth="1"/>
    <col min="774" max="774" width="19" style="530" customWidth="1"/>
    <col min="775" max="775" width="16.88671875" style="530" customWidth="1"/>
    <col min="776" max="776" width="8.6640625" style="530" customWidth="1"/>
    <col min="777" max="777" width="9.33203125" style="530" customWidth="1"/>
    <col min="778" max="778" width="12" style="530" customWidth="1"/>
    <col min="779" max="779" width="34.5546875" style="530" customWidth="1"/>
    <col min="780" max="780" width="19.33203125" style="530" customWidth="1"/>
    <col min="781" max="781" width="8.6640625" style="530" bestFit="1" customWidth="1"/>
    <col min="782" max="782" width="8.109375" style="530" customWidth="1"/>
    <col min="783" max="783" width="10" style="530" customWidth="1"/>
    <col min="784" max="786" width="8.44140625" style="530" customWidth="1"/>
    <col min="787" max="787" width="9" style="530" customWidth="1"/>
    <col min="788" max="788" width="7.44140625" style="530" customWidth="1"/>
    <col min="789" max="790" width="7" style="530" customWidth="1"/>
    <col min="791" max="791" width="6.5546875" style="530" customWidth="1"/>
    <col min="792" max="792" width="5.44140625" style="530" customWidth="1"/>
    <col min="793" max="793" width="5.109375" style="530" customWidth="1"/>
    <col min="794" max="794" width="4.88671875" style="530" customWidth="1"/>
    <col min="795" max="795" width="5.5546875" style="530" customWidth="1"/>
    <col min="796" max="796" width="6" style="530" customWidth="1"/>
    <col min="797" max="799" width="8.44140625" style="530" customWidth="1"/>
    <col min="800" max="800" width="8" style="530" customWidth="1"/>
    <col min="801" max="1024" width="9.109375" style="530"/>
    <col min="1025" max="1025" width="6.44140625" style="530" customWidth="1"/>
    <col min="1026" max="1026" width="14.5546875" style="530" bestFit="1" customWidth="1"/>
    <col min="1027" max="1027" width="13.109375" style="530" customWidth="1"/>
    <col min="1028" max="1028" width="13.6640625" style="530" customWidth="1"/>
    <col min="1029" max="1029" width="16.6640625" style="530" customWidth="1"/>
    <col min="1030" max="1030" width="19" style="530" customWidth="1"/>
    <col min="1031" max="1031" width="16.88671875" style="530" customWidth="1"/>
    <col min="1032" max="1032" width="8.6640625" style="530" customWidth="1"/>
    <col min="1033" max="1033" width="9.33203125" style="530" customWidth="1"/>
    <col min="1034" max="1034" width="12" style="530" customWidth="1"/>
    <col min="1035" max="1035" width="34.5546875" style="530" customWidth="1"/>
    <col min="1036" max="1036" width="19.33203125" style="530" customWidth="1"/>
    <col min="1037" max="1037" width="8.6640625" style="530" bestFit="1" customWidth="1"/>
    <col min="1038" max="1038" width="8.109375" style="530" customWidth="1"/>
    <col min="1039" max="1039" width="10" style="530" customWidth="1"/>
    <col min="1040" max="1042" width="8.44140625" style="530" customWidth="1"/>
    <col min="1043" max="1043" width="9" style="530" customWidth="1"/>
    <col min="1044" max="1044" width="7.44140625" style="530" customWidth="1"/>
    <col min="1045" max="1046" width="7" style="530" customWidth="1"/>
    <col min="1047" max="1047" width="6.5546875" style="530" customWidth="1"/>
    <col min="1048" max="1048" width="5.44140625" style="530" customWidth="1"/>
    <col min="1049" max="1049" width="5.109375" style="530" customWidth="1"/>
    <col min="1050" max="1050" width="4.88671875" style="530" customWidth="1"/>
    <col min="1051" max="1051" width="5.5546875" style="530" customWidth="1"/>
    <col min="1052" max="1052" width="6" style="530" customWidth="1"/>
    <col min="1053" max="1055" width="8.44140625" style="530" customWidth="1"/>
    <col min="1056" max="1056" width="8" style="530" customWidth="1"/>
    <col min="1057" max="1280" width="9.109375" style="530"/>
    <col min="1281" max="1281" width="6.44140625" style="530" customWidth="1"/>
    <col min="1282" max="1282" width="14.5546875" style="530" bestFit="1" customWidth="1"/>
    <col min="1283" max="1283" width="13.109375" style="530" customWidth="1"/>
    <col min="1284" max="1284" width="13.6640625" style="530" customWidth="1"/>
    <col min="1285" max="1285" width="16.6640625" style="530" customWidth="1"/>
    <col min="1286" max="1286" width="19" style="530" customWidth="1"/>
    <col min="1287" max="1287" width="16.88671875" style="530" customWidth="1"/>
    <col min="1288" max="1288" width="8.6640625" style="530" customWidth="1"/>
    <col min="1289" max="1289" width="9.33203125" style="530" customWidth="1"/>
    <col min="1290" max="1290" width="12" style="530" customWidth="1"/>
    <col min="1291" max="1291" width="34.5546875" style="530" customWidth="1"/>
    <col min="1292" max="1292" width="19.33203125" style="530" customWidth="1"/>
    <col min="1293" max="1293" width="8.6640625" style="530" bestFit="1" customWidth="1"/>
    <col min="1294" max="1294" width="8.109375" style="530" customWidth="1"/>
    <col min="1295" max="1295" width="10" style="530" customWidth="1"/>
    <col min="1296" max="1298" width="8.44140625" style="530" customWidth="1"/>
    <col min="1299" max="1299" width="9" style="530" customWidth="1"/>
    <col min="1300" max="1300" width="7.44140625" style="530" customWidth="1"/>
    <col min="1301" max="1302" width="7" style="530" customWidth="1"/>
    <col min="1303" max="1303" width="6.5546875" style="530" customWidth="1"/>
    <col min="1304" max="1304" width="5.44140625" style="530" customWidth="1"/>
    <col min="1305" max="1305" width="5.109375" style="530" customWidth="1"/>
    <col min="1306" max="1306" width="4.88671875" style="530" customWidth="1"/>
    <col min="1307" max="1307" width="5.5546875" style="530" customWidth="1"/>
    <col min="1308" max="1308" width="6" style="530" customWidth="1"/>
    <col min="1309" max="1311" width="8.44140625" style="530" customWidth="1"/>
    <col min="1312" max="1312" width="8" style="530" customWidth="1"/>
    <col min="1313" max="1536" width="9.109375" style="530"/>
    <col min="1537" max="1537" width="6.44140625" style="530" customWidth="1"/>
    <col min="1538" max="1538" width="14.5546875" style="530" bestFit="1" customWidth="1"/>
    <col min="1539" max="1539" width="13.109375" style="530" customWidth="1"/>
    <col min="1540" max="1540" width="13.6640625" style="530" customWidth="1"/>
    <col min="1541" max="1541" width="16.6640625" style="530" customWidth="1"/>
    <col min="1542" max="1542" width="19" style="530" customWidth="1"/>
    <col min="1543" max="1543" width="16.88671875" style="530" customWidth="1"/>
    <col min="1544" max="1544" width="8.6640625" style="530" customWidth="1"/>
    <col min="1545" max="1545" width="9.33203125" style="530" customWidth="1"/>
    <col min="1546" max="1546" width="12" style="530" customWidth="1"/>
    <col min="1547" max="1547" width="34.5546875" style="530" customWidth="1"/>
    <col min="1548" max="1548" width="19.33203125" style="530" customWidth="1"/>
    <col min="1549" max="1549" width="8.6640625" style="530" bestFit="1" customWidth="1"/>
    <col min="1550" max="1550" width="8.109375" style="530" customWidth="1"/>
    <col min="1551" max="1551" width="10" style="530" customWidth="1"/>
    <col min="1552" max="1554" width="8.44140625" style="530" customWidth="1"/>
    <col min="1555" max="1555" width="9" style="530" customWidth="1"/>
    <col min="1556" max="1556" width="7.44140625" style="530" customWidth="1"/>
    <col min="1557" max="1558" width="7" style="530" customWidth="1"/>
    <col min="1559" max="1559" width="6.5546875" style="530" customWidth="1"/>
    <col min="1560" max="1560" width="5.44140625" style="530" customWidth="1"/>
    <col min="1561" max="1561" width="5.109375" style="530" customWidth="1"/>
    <col min="1562" max="1562" width="4.88671875" style="530" customWidth="1"/>
    <col min="1563" max="1563" width="5.5546875" style="530" customWidth="1"/>
    <col min="1564" max="1564" width="6" style="530" customWidth="1"/>
    <col min="1565" max="1567" width="8.44140625" style="530" customWidth="1"/>
    <col min="1568" max="1568" width="8" style="530" customWidth="1"/>
    <col min="1569" max="1792" width="9.109375" style="530"/>
    <col min="1793" max="1793" width="6.44140625" style="530" customWidth="1"/>
    <col min="1794" max="1794" width="14.5546875" style="530" bestFit="1" customWidth="1"/>
    <col min="1795" max="1795" width="13.109375" style="530" customWidth="1"/>
    <col min="1796" max="1796" width="13.6640625" style="530" customWidth="1"/>
    <col min="1797" max="1797" width="16.6640625" style="530" customWidth="1"/>
    <col min="1798" max="1798" width="19" style="530" customWidth="1"/>
    <col min="1799" max="1799" width="16.88671875" style="530" customWidth="1"/>
    <col min="1800" max="1800" width="8.6640625" style="530" customWidth="1"/>
    <col min="1801" max="1801" width="9.33203125" style="530" customWidth="1"/>
    <col min="1802" max="1802" width="12" style="530" customWidth="1"/>
    <col min="1803" max="1803" width="34.5546875" style="530" customWidth="1"/>
    <col min="1804" max="1804" width="19.33203125" style="530" customWidth="1"/>
    <col min="1805" max="1805" width="8.6640625" style="530" bestFit="1" customWidth="1"/>
    <col min="1806" max="1806" width="8.109375" style="530" customWidth="1"/>
    <col min="1807" max="1807" width="10" style="530" customWidth="1"/>
    <col min="1808" max="1810" width="8.44140625" style="530" customWidth="1"/>
    <col min="1811" max="1811" width="9" style="530" customWidth="1"/>
    <col min="1812" max="1812" width="7.44140625" style="530" customWidth="1"/>
    <col min="1813" max="1814" width="7" style="530" customWidth="1"/>
    <col min="1815" max="1815" width="6.5546875" style="530" customWidth="1"/>
    <col min="1816" max="1816" width="5.44140625" style="530" customWidth="1"/>
    <col min="1817" max="1817" width="5.109375" style="530" customWidth="1"/>
    <col min="1818" max="1818" width="4.88671875" style="530" customWidth="1"/>
    <col min="1819" max="1819" width="5.5546875" style="530" customWidth="1"/>
    <col min="1820" max="1820" width="6" style="530" customWidth="1"/>
    <col min="1821" max="1823" width="8.44140625" style="530" customWidth="1"/>
    <col min="1824" max="1824" width="8" style="530" customWidth="1"/>
    <col min="1825" max="2048" width="9.109375" style="530"/>
    <col min="2049" max="2049" width="6.44140625" style="530" customWidth="1"/>
    <col min="2050" max="2050" width="14.5546875" style="530" bestFit="1" customWidth="1"/>
    <col min="2051" max="2051" width="13.109375" style="530" customWidth="1"/>
    <col min="2052" max="2052" width="13.6640625" style="530" customWidth="1"/>
    <col min="2053" max="2053" width="16.6640625" style="530" customWidth="1"/>
    <col min="2054" max="2054" width="19" style="530" customWidth="1"/>
    <col min="2055" max="2055" width="16.88671875" style="530" customWidth="1"/>
    <col min="2056" max="2056" width="8.6640625" style="530" customWidth="1"/>
    <col min="2057" max="2057" width="9.33203125" style="530" customWidth="1"/>
    <col min="2058" max="2058" width="12" style="530" customWidth="1"/>
    <col min="2059" max="2059" width="34.5546875" style="530" customWidth="1"/>
    <col min="2060" max="2060" width="19.33203125" style="530" customWidth="1"/>
    <col min="2061" max="2061" width="8.6640625" style="530" bestFit="1" customWidth="1"/>
    <col min="2062" max="2062" width="8.109375" style="530" customWidth="1"/>
    <col min="2063" max="2063" width="10" style="530" customWidth="1"/>
    <col min="2064" max="2066" width="8.44140625" style="530" customWidth="1"/>
    <col min="2067" max="2067" width="9" style="530" customWidth="1"/>
    <col min="2068" max="2068" width="7.44140625" style="530" customWidth="1"/>
    <col min="2069" max="2070" width="7" style="530" customWidth="1"/>
    <col min="2071" max="2071" width="6.5546875" style="530" customWidth="1"/>
    <col min="2072" max="2072" width="5.44140625" style="530" customWidth="1"/>
    <col min="2073" max="2073" width="5.109375" style="530" customWidth="1"/>
    <col min="2074" max="2074" width="4.88671875" style="530" customWidth="1"/>
    <col min="2075" max="2075" width="5.5546875" style="530" customWidth="1"/>
    <col min="2076" max="2076" width="6" style="530" customWidth="1"/>
    <col min="2077" max="2079" width="8.44140625" style="530" customWidth="1"/>
    <col min="2080" max="2080" width="8" style="530" customWidth="1"/>
    <col min="2081" max="2304" width="9.109375" style="530"/>
    <col min="2305" max="2305" width="6.44140625" style="530" customWidth="1"/>
    <col min="2306" max="2306" width="14.5546875" style="530" bestFit="1" customWidth="1"/>
    <col min="2307" max="2307" width="13.109375" style="530" customWidth="1"/>
    <col min="2308" max="2308" width="13.6640625" style="530" customWidth="1"/>
    <col min="2309" max="2309" width="16.6640625" style="530" customWidth="1"/>
    <col min="2310" max="2310" width="19" style="530" customWidth="1"/>
    <col min="2311" max="2311" width="16.88671875" style="530" customWidth="1"/>
    <col min="2312" max="2312" width="8.6640625" style="530" customWidth="1"/>
    <col min="2313" max="2313" width="9.33203125" style="530" customWidth="1"/>
    <col min="2314" max="2314" width="12" style="530" customWidth="1"/>
    <col min="2315" max="2315" width="34.5546875" style="530" customWidth="1"/>
    <col min="2316" max="2316" width="19.33203125" style="530" customWidth="1"/>
    <col min="2317" max="2317" width="8.6640625" style="530" bestFit="1" customWidth="1"/>
    <col min="2318" max="2318" width="8.109375" style="530" customWidth="1"/>
    <col min="2319" max="2319" width="10" style="530" customWidth="1"/>
    <col min="2320" max="2322" width="8.44140625" style="530" customWidth="1"/>
    <col min="2323" max="2323" width="9" style="530" customWidth="1"/>
    <col min="2324" max="2324" width="7.44140625" style="530" customWidth="1"/>
    <col min="2325" max="2326" width="7" style="530" customWidth="1"/>
    <col min="2327" max="2327" width="6.5546875" style="530" customWidth="1"/>
    <col min="2328" max="2328" width="5.44140625" style="530" customWidth="1"/>
    <col min="2329" max="2329" width="5.109375" style="530" customWidth="1"/>
    <col min="2330" max="2330" width="4.88671875" style="530" customWidth="1"/>
    <col min="2331" max="2331" width="5.5546875" style="530" customWidth="1"/>
    <col min="2332" max="2332" width="6" style="530" customWidth="1"/>
    <col min="2333" max="2335" width="8.44140625" style="530" customWidth="1"/>
    <col min="2336" max="2336" width="8" style="530" customWidth="1"/>
    <col min="2337" max="2560" width="9.109375" style="530"/>
    <col min="2561" max="2561" width="6.44140625" style="530" customWidth="1"/>
    <col min="2562" max="2562" width="14.5546875" style="530" bestFit="1" customWidth="1"/>
    <col min="2563" max="2563" width="13.109375" style="530" customWidth="1"/>
    <col min="2564" max="2564" width="13.6640625" style="530" customWidth="1"/>
    <col min="2565" max="2565" width="16.6640625" style="530" customWidth="1"/>
    <col min="2566" max="2566" width="19" style="530" customWidth="1"/>
    <col min="2567" max="2567" width="16.88671875" style="530" customWidth="1"/>
    <col min="2568" max="2568" width="8.6640625" style="530" customWidth="1"/>
    <col min="2569" max="2569" width="9.33203125" style="530" customWidth="1"/>
    <col min="2570" max="2570" width="12" style="530" customWidth="1"/>
    <col min="2571" max="2571" width="34.5546875" style="530" customWidth="1"/>
    <col min="2572" max="2572" width="19.33203125" style="530" customWidth="1"/>
    <col min="2573" max="2573" width="8.6640625" style="530" bestFit="1" customWidth="1"/>
    <col min="2574" max="2574" width="8.109375" style="530" customWidth="1"/>
    <col min="2575" max="2575" width="10" style="530" customWidth="1"/>
    <col min="2576" max="2578" width="8.44140625" style="530" customWidth="1"/>
    <col min="2579" max="2579" width="9" style="530" customWidth="1"/>
    <col min="2580" max="2580" width="7.44140625" style="530" customWidth="1"/>
    <col min="2581" max="2582" width="7" style="530" customWidth="1"/>
    <col min="2583" max="2583" width="6.5546875" style="530" customWidth="1"/>
    <col min="2584" max="2584" width="5.44140625" style="530" customWidth="1"/>
    <col min="2585" max="2585" width="5.109375" style="530" customWidth="1"/>
    <col min="2586" max="2586" width="4.88671875" style="530" customWidth="1"/>
    <col min="2587" max="2587" width="5.5546875" style="530" customWidth="1"/>
    <col min="2588" max="2588" width="6" style="530" customWidth="1"/>
    <col min="2589" max="2591" width="8.44140625" style="530" customWidth="1"/>
    <col min="2592" max="2592" width="8" style="530" customWidth="1"/>
    <col min="2593" max="2816" width="9.109375" style="530"/>
    <col min="2817" max="2817" width="6.44140625" style="530" customWidth="1"/>
    <col min="2818" max="2818" width="14.5546875" style="530" bestFit="1" customWidth="1"/>
    <col min="2819" max="2819" width="13.109375" style="530" customWidth="1"/>
    <col min="2820" max="2820" width="13.6640625" style="530" customWidth="1"/>
    <col min="2821" max="2821" width="16.6640625" style="530" customWidth="1"/>
    <col min="2822" max="2822" width="19" style="530" customWidth="1"/>
    <col min="2823" max="2823" width="16.88671875" style="530" customWidth="1"/>
    <col min="2824" max="2824" width="8.6640625" style="530" customWidth="1"/>
    <col min="2825" max="2825" width="9.33203125" style="530" customWidth="1"/>
    <col min="2826" max="2826" width="12" style="530" customWidth="1"/>
    <col min="2827" max="2827" width="34.5546875" style="530" customWidth="1"/>
    <col min="2828" max="2828" width="19.33203125" style="530" customWidth="1"/>
    <col min="2829" max="2829" width="8.6640625" style="530" bestFit="1" customWidth="1"/>
    <col min="2830" max="2830" width="8.109375" style="530" customWidth="1"/>
    <col min="2831" max="2831" width="10" style="530" customWidth="1"/>
    <col min="2832" max="2834" width="8.44140625" style="530" customWidth="1"/>
    <col min="2835" max="2835" width="9" style="530" customWidth="1"/>
    <col min="2836" max="2836" width="7.44140625" style="530" customWidth="1"/>
    <col min="2837" max="2838" width="7" style="530" customWidth="1"/>
    <col min="2839" max="2839" width="6.5546875" style="530" customWidth="1"/>
    <col min="2840" max="2840" width="5.44140625" style="530" customWidth="1"/>
    <col min="2841" max="2841" width="5.109375" style="530" customWidth="1"/>
    <col min="2842" max="2842" width="4.88671875" style="530" customWidth="1"/>
    <col min="2843" max="2843" width="5.5546875" style="530" customWidth="1"/>
    <col min="2844" max="2844" width="6" style="530" customWidth="1"/>
    <col min="2845" max="2847" width="8.44140625" style="530" customWidth="1"/>
    <col min="2848" max="2848" width="8" style="530" customWidth="1"/>
    <col min="2849" max="3072" width="9.109375" style="530"/>
    <col min="3073" max="3073" width="6.44140625" style="530" customWidth="1"/>
    <col min="3074" max="3074" width="14.5546875" style="530" bestFit="1" customWidth="1"/>
    <col min="3075" max="3075" width="13.109375" style="530" customWidth="1"/>
    <col min="3076" max="3076" width="13.6640625" style="530" customWidth="1"/>
    <col min="3077" max="3077" width="16.6640625" style="530" customWidth="1"/>
    <col min="3078" max="3078" width="19" style="530" customWidth="1"/>
    <col min="3079" max="3079" width="16.88671875" style="530" customWidth="1"/>
    <col min="3080" max="3080" width="8.6640625" style="530" customWidth="1"/>
    <col min="3081" max="3081" width="9.33203125" style="530" customWidth="1"/>
    <col min="3082" max="3082" width="12" style="530" customWidth="1"/>
    <col min="3083" max="3083" width="34.5546875" style="530" customWidth="1"/>
    <col min="3084" max="3084" width="19.33203125" style="530" customWidth="1"/>
    <col min="3085" max="3085" width="8.6640625" style="530" bestFit="1" customWidth="1"/>
    <col min="3086" max="3086" width="8.109375" style="530" customWidth="1"/>
    <col min="3087" max="3087" width="10" style="530" customWidth="1"/>
    <col min="3088" max="3090" width="8.44140625" style="530" customWidth="1"/>
    <col min="3091" max="3091" width="9" style="530" customWidth="1"/>
    <col min="3092" max="3092" width="7.44140625" style="530" customWidth="1"/>
    <col min="3093" max="3094" width="7" style="530" customWidth="1"/>
    <col min="3095" max="3095" width="6.5546875" style="530" customWidth="1"/>
    <col min="3096" max="3096" width="5.44140625" style="530" customWidth="1"/>
    <col min="3097" max="3097" width="5.109375" style="530" customWidth="1"/>
    <col min="3098" max="3098" width="4.88671875" style="530" customWidth="1"/>
    <col min="3099" max="3099" width="5.5546875" style="530" customWidth="1"/>
    <col min="3100" max="3100" width="6" style="530" customWidth="1"/>
    <col min="3101" max="3103" width="8.44140625" style="530" customWidth="1"/>
    <col min="3104" max="3104" width="8" style="530" customWidth="1"/>
    <col min="3105" max="3328" width="9.109375" style="530"/>
    <col min="3329" max="3329" width="6.44140625" style="530" customWidth="1"/>
    <col min="3330" max="3330" width="14.5546875" style="530" bestFit="1" customWidth="1"/>
    <col min="3331" max="3331" width="13.109375" style="530" customWidth="1"/>
    <col min="3332" max="3332" width="13.6640625" style="530" customWidth="1"/>
    <col min="3333" max="3333" width="16.6640625" style="530" customWidth="1"/>
    <col min="3334" max="3334" width="19" style="530" customWidth="1"/>
    <col min="3335" max="3335" width="16.88671875" style="530" customWidth="1"/>
    <col min="3336" max="3336" width="8.6640625" style="530" customWidth="1"/>
    <col min="3337" max="3337" width="9.33203125" style="530" customWidth="1"/>
    <col min="3338" max="3338" width="12" style="530" customWidth="1"/>
    <col min="3339" max="3339" width="34.5546875" style="530" customWidth="1"/>
    <col min="3340" max="3340" width="19.33203125" style="530" customWidth="1"/>
    <col min="3341" max="3341" width="8.6640625" style="530" bestFit="1" customWidth="1"/>
    <col min="3342" max="3342" width="8.109375" style="530" customWidth="1"/>
    <col min="3343" max="3343" width="10" style="530" customWidth="1"/>
    <col min="3344" max="3346" width="8.44140625" style="530" customWidth="1"/>
    <col min="3347" max="3347" width="9" style="530" customWidth="1"/>
    <col min="3348" max="3348" width="7.44140625" style="530" customWidth="1"/>
    <col min="3349" max="3350" width="7" style="530" customWidth="1"/>
    <col min="3351" max="3351" width="6.5546875" style="530" customWidth="1"/>
    <col min="3352" max="3352" width="5.44140625" style="530" customWidth="1"/>
    <col min="3353" max="3353" width="5.109375" style="530" customWidth="1"/>
    <col min="3354" max="3354" width="4.88671875" style="530" customWidth="1"/>
    <col min="3355" max="3355" width="5.5546875" style="530" customWidth="1"/>
    <col min="3356" max="3356" width="6" style="530" customWidth="1"/>
    <col min="3357" max="3359" width="8.44140625" style="530" customWidth="1"/>
    <col min="3360" max="3360" width="8" style="530" customWidth="1"/>
    <col min="3361" max="3584" width="9.109375" style="530"/>
    <col min="3585" max="3585" width="6.44140625" style="530" customWidth="1"/>
    <col min="3586" max="3586" width="14.5546875" style="530" bestFit="1" customWidth="1"/>
    <col min="3587" max="3587" width="13.109375" style="530" customWidth="1"/>
    <col min="3588" max="3588" width="13.6640625" style="530" customWidth="1"/>
    <col min="3589" max="3589" width="16.6640625" style="530" customWidth="1"/>
    <col min="3590" max="3590" width="19" style="530" customWidth="1"/>
    <col min="3591" max="3591" width="16.88671875" style="530" customWidth="1"/>
    <col min="3592" max="3592" width="8.6640625" style="530" customWidth="1"/>
    <col min="3593" max="3593" width="9.33203125" style="530" customWidth="1"/>
    <col min="3594" max="3594" width="12" style="530" customWidth="1"/>
    <col min="3595" max="3595" width="34.5546875" style="530" customWidth="1"/>
    <col min="3596" max="3596" width="19.33203125" style="530" customWidth="1"/>
    <col min="3597" max="3597" width="8.6640625" style="530" bestFit="1" customWidth="1"/>
    <col min="3598" max="3598" width="8.109375" style="530" customWidth="1"/>
    <col min="3599" max="3599" width="10" style="530" customWidth="1"/>
    <col min="3600" max="3602" width="8.44140625" style="530" customWidth="1"/>
    <col min="3603" max="3603" width="9" style="530" customWidth="1"/>
    <col min="3604" max="3604" width="7.44140625" style="530" customWidth="1"/>
    <col min="3605" max="3606" width="7" style="530" customWidth="1"/>
    <col min="3607" max="3607" width="6.5546875" style="530" customWidth="1"/>
    <col min="3608" max="3608" width="5.44140625" style="530" customWidth="1"/>
    <col min="3609" max="3609" width="5.109375" style="530" customWidth="1"/>
    <col min="3610" max="3610" width="4.88671875" style="530" customWidth="1"/>
    <col min="3611" max="3611" width="5.5546875" style="530" customWidth="1"/>
    <col min="3612" max="3612" width="6" style="530" customWidth="1"/>
    <col min="3613" max="3615" width="8.44140625" style="530" customWidth="1"/>
    <col min="3616" max="3616" width="8" style="530" customWidth="1"/>
    <col min="3617" max="3840" width="9.109375" style="530"/>
    <col min="3841" max="3841" width="6.44140625" style="530" customWidth="1"/>
    <col min="3842" max="3842" width="14.5546875" style="530" bestFit="1" customWidth="1"/>
    <col min="3843" max="3843" width="13.109375" style="530" customWidth="1"/>
    <col min="3844" max="3844" width="13.6640625" style="530" customWidth="1"/>
    <col min="3845" max="3845" width="16.6640625" style="530" customWidth="1"/>
    <col min="3846" max="3846" width="19" style="530" customWidth="1"/>
    <col min="3847" max="3847" width="16.88671875" style="530" customWidth="1"/>
    <col min="3848" max="3848" width="8.6640625" style="530" customWidth="1"/>
    <col min="3849" max="3849" width="9.33203125" style="530" customWidth="1"/>
    <col min="3850" max="3850" width="12" style="530" customWidth="1"/>
    <col min="3851" max="3851" width="34.5546875" style="530" customWidth="1"/>
    <col min="3852" max="3852" width="19.33203125" style="530" customWidth="1"/>
    <col min="3853" max="3853" width="8.6640625" style="530" bestFit="1" customWidth="1"/>
    <col min="3854" max="3854" width="8.109375" style="530" customWidth="1"/>
    <col min="3855" max="3855" width="10" style="530" customWidth="1"/>
    <col min="3856" max="3858" width="8.44140625" style="530" customWidth="1"/>
    <col min="3859" max="3859" width="9" style="530" customWidth="1"/>
    <col min="3860" max="3860" width="7.44140625" style="530" customWidth="1"/>
    <col min="3861" max="3862" width="7" style="530" customWidth="1"/>
    <col min="3863" max="3863" width="6.5546875" style="530" customWidth="1"/>
    <col min="3864" max="3864" width="5.44140625" style="530" customWidth="1"/>
    <col min="3865" max="3865" width="5.109375" style="530" customWidth="1"/>
    <col min="3866" max="3866" width="4.88671875" style="530" customWidth="1"/>
    <col min="3867" max="3867" width="5.5546875" style="530" customWidth="1"/>
    <col min="3868" max="3868" width="6" style="530" customWidth="1"/>
    <col min="3869" max="3871" width="8.44140625" style="530" customWidth="1"/>
    <col min="3872" max="3872" width="8" style="530" customWidth="1"/>
    <col min="3873" max="4096" width="9.109375" style="530"/>
    <col min="4097" max="4097" width="6.44140625" style="530" customWidth="1"/>
    <col min="4098" max="4098" width="14.5546875" style="530" bestFit="1" customWidth="1"/>
    <col min="4099" max="4099" width="13.109375" style="530" customWidth="1"/>
    <col min="4100" max="4100" width="13.6640625" style="530" customWidth="1"/>
    <col min="4101" max="4101" width="16.6640625" style="530" customWidth="1"/>
    <col min="4102" max="4102" width="19" style="530" customWidth="1"/>
    <col min="4103" max="4103" width="16.88671875" style="530" customWidth="1"/>
    <col min="4104" max="4104" width="8.6640625" style="530" customWidth="1"/>
    <col min="4105" max="4105" width="9.33203125" style="530" customWidth="1"/>
    <col min="4106" max="4106" width="12" style="530" customWidth="1"/>
    <col min="4107" max="4107" width="34.5546875" style="530" customWidth="1"/>
    <col min="4108" max="4108" width="19.33203125" style="530" customWidth="1"/>
    <col min="4109" max="4109" width="8.6640625" style="530" bestFit="1" customWidth="1"/>
    <col min="4110" max="4110" width="8.109375" style="530" customWidth="1"/>
    <col min="4111" max="4111" width="10" style="530" customWidth="1"/>
    <col min="4112" max="4114" width="8.44140625" style="530" customWidth="1"/>
    <col min="4115" max="4115" width="9" style="530" customWidth="1"/>
    <col min="4116" max="4116" width="7.44140625" style="530" customWidth="1"/>
    <col min="4117" max="4118" width="7" style="530" customWidth="1"/>
    <col min="4119" max="4119" width="6.5546875" style="530" customWidth="1"/>
    <col min="4120" max="4120" width="5.44140625" style="530" customWidth="1"/>
    <col min="4121" max="4121" width="5.109375" style="530" customWidth="1"/>
    <col min="4122" max="4122" width="4.88671875" style="530" customWidth="1"/>
    <col min="4123" max="4123" width="5.5546875" style="530" customWidth="1"/>
    <col min="4124" max="4124" width="6" style="530" customWidth="1"/>
    <col min="4125" max="4127" width="8.44140625" style="530" customWidth="1"/>
    <col min="4128" max="4128" width="8" style="530" customWidth="1"/>
    <col min="4129" max="4352" width="9.109375" style="530"/>
    <col min="4353" max="4353" width="6.44140625" style="530" customWidth="1"/>
    <col min="4354" max="4354" width="14.5546875" style="530" bestFit="1" customWidth="1"/>
    <col min="4355" max="4355" width="13.109375" style="530" customWidth="1"/>
    <col min="4356" max="4356" width="13.6640625" style="530" customWidth="1"/>
    <col min="4357" max="4357" width="16.6640625" style="530" customWidth="1"/>
    <col min="4358" max="4358" width="19" style="530" customWidth="1"/>
    <col min="4359" max="4359" width="16.88671875" style="530" customWidth="1"/>
    <col min="4360" max="4360" width="8.6640625" style="530" customWidth="1"/>
    <col min="4361" max="4361" width="9.33203125" style="530" customWidth="1"/>
    <col min="4362" max="4362" width="12" style="530" customWidth="1"/>
    <col min="4363" max="4363" width="34.5546875" style="530" customWidth="1"/>
    <col min="4364" max="4364" width="19.33203125" style="530" customWidth="1"/>
    <col min="4365" max="4365" width="8.6640625" style="530" bestFit="1" customWidth="1"/>
    <col min="4366" max="4366" width="8.109375" style="530" customWidth="1"/>
    <col min="4367" max="4367" width="10" style="530" customWidth="1"/>
    <col min="4368" max="4370" width="8.44140625" style="530" customWidth="1"/>
    <col min="4371" max="4371" width="9" style="530" customWidth="1"/>
    <col min="4372" max="4372" width="7.44140625" style="530" customWidth="1"/>
    <col min="4373" max="4374" width="7" style="530" customWidth="1"/>
    <col min="4375" max="4375" width="6.5546875" style="530" customWidth="1"/>
    <col min="4376" max="4376" width="5.44140625" style="530" customWidth="1"/>
    <col min="4377" max="4377" width="5.109375" style="530" customWidth="1"/>
    <col min="4378" max="4378" width="4.88671875" style="530" customWidth="1"/>
    <col min="4379" max="4379" width="5.5546875" style="530" customWidth="1"/>
    <col min="4380" max="4380" width="6" style="530" customWidth="1"/>
    <col min="4381" max="4383" width="8.44140625" style="530" customWidth="1"/>
    <col min="4384" max="4384" width="8" style="530" customWidth="1"/>
    <col min="4385" max="4608" width="9.109375" style="530"/>
    <col min="4609" max="4609" width="6.44140625" style="530" customWidth="1"/>
    <col min="4610" max="4610" width="14.5546875" style="530" bestFit="1" customWidth="1"/>
    <col min="4611" max="4611" width="13.109375" style="530" customWidth="1"/>
    <col min="4612" max="4612" width="13.6640625" style="530" customWidth="1"/>
    <col min="4613" max="4613" width="16.6640625" style="530" customWidth="1"/>
    <col min="4614" max="4614" width="19" style="530" customWidth="1"/>
    <col min="4615" max="4615" width="16.88671875" style="530" customWidth="1"/>
    <col min="4616" max="4616" width="8.6640625" style="530" customWidth="1"/>
    <col min="4617" max="4617" width="9.33203125" style="530" customWidth="1"/>
    <col min="4618" max="4618" width="12" style="530" customWidth="1"/>
    <col min="4619" max="4619" width="34.5546875" style="530" customWidth="1"/>
    <col min="4620" max="4620" width="19.33203125" style="530" customWidth="1"/>
    <col min="4621" max="4621" width="8.6640625" style="530" bestFit="1" customWidth="1"/>
    <col min="4622" max="4622" width="8.109375" style="530" customWidth="1"/>
    <col min="4623" max="4623" width="10" style="530" customWidth="1"/>
    <col min="4624" max="4626" width="8.44140625" style="530" customWidth="1"/>
    <col min="4627" max="4627" width="9" style="530" customWidth="1"/>
    <col min="4628" max="4628" width="7.44140625" style="530" customWidth="1"/>
    <col min="4629" max="4630" width="7" style="530" customWidth="1"/>
    <col min="4631" max="4631" width="6.5546875" style="530" customWidth="1"/>
    <col min="4632" max="4632" width="5.44140625" style="530" customWidth="1"/>
    <col min="4633" max="4633" width="5.109375" style="530" customWidth="1"/>
    <col min="4634" max="4634" width="4.88671875" style="530" customWidth="1"/>
    <col min="4635" max="4635" width="5.5546875" style="530" customWidth="1"/>
    <col min="4636" max="4636" width="6" style="530" customWidth="1"/>
    <col min="4637" max="4639" width="8.44140625" style="530" customWidth="1"/>
    <col min="4640" max="4640" width="8" style="530" customWidth="1"/>
    <col min="4641" max="4864" width="9.109375" style="530"/>
    <col min="4865" max="4865" width="6.44140625" style="530" customWidth="1"/>
    <col min="4866" max="4866" width="14.5546875" style="530" bestFit="1" customWidth="1"/>
    <col min="4867" max="4867" width="13.109375" style="530" customWidth="1"/>
    <col min="4868" max="4868" width="13.6640625" style="530" customWidth="1"/>
    <col min="4869" max="4869" width="16.6640625" style="530" customWidth="1"/>
    <col min="4870" max="4870" width="19" style="530" customWidth="1"/>
    <col min="4871" max="4871" width="16.88671875" style="530" customWidth="1"/>
    <col min="4872" max="4872" width="8.6640625" style="530" customWidth="1"/>
    <col min="4873" max="4873" width="9.33203125" style="530" customWidth="1"/>
    <col min="4874" max="4874" width="12" style="530" customWidth="1"/>
    <col min="4875" max="4875" width="34.5546875" style="530" customWidth="1"/>
    <col min="4876" max="4876" width="19.33203125" style="530" customWidth="1"/>
    <col min="4877" max="4877" width="8.6640625" style="530" bestFit="1" customWidth="1"/>
    <col min="4878" max="4878" width="8.109375" style="530" customWidth="1"/>
    <col min="4879" max="4879" width="10" style="530" customWidth="1"/>
    <col min="4880" max="4882" width="8.44140625" style="530" customWidth="1"/>
    <col min="4883" max="4883" width="9" style="530" customWidth="1"/>
    <col min="4884" max="4884" width="7.44140625" style="530" customWidth="1"/>
    <col min="4885" max="4886" width="7" style="530" customWidth="1"/>
    <col min="4887" max="4887" width="6.5546875" style="530" customWidth="1"/>
    <col min="4888" max="4888" width="5.44140625" style="530" customWidth="1"/>
    <col min="4889" max="4889" width="5.109375" style="530" customWidth="1"/>
    <col min="4890" max="4890" width="4.88671875" style="530" customWidth="1"/>
    <col min="4891" max="4891" width="5.5546875" style="530" customWidth="1"/>
    <col min="4892" max="4892" width="6" style="530" customWidth="1"/>
    <col min="4893" max="4895" width="8.44140625" style="530" customWidth="1"/>
    <col min="4896" max="4896" width="8" style="530" customWidth="1"/>
    <col min="4897" max="5120" width="9.109375" style="530"/>
    <col min="5121" max="5121" width="6.44140625" style="530" customWidth="1"/>
    <col min="5122" max="5122" width="14.5546875" style="530" bestFit="1" customWidth="1"/>
    <col min="5123" max="5123" width="13.109375" style="530" customWidth="1"/>
    <col min="5124" max="5124" width="13.6640625" style="530" customWidth="1"/>
    <col min="5125" max="5125" width="16.6640625" style="530" customWidth="1"/>
    <col min="5126" max="5126" width="19" style="530" customWidth="1"/>
    <col min="5127" max="5127" width="16.88671875" style="530" customWidth="1"/>
    <col min="5128" max="5128" width="8.6640625" style="530" customWidth="1"/>
    <col min="5129" max="5129" width="9.33203125" style="530" customWidth="1"/>
    <col min="5130" max="5130" width="12" style="530" customWidth="1"/>
    <col min="5131" max="5131" width="34.5546875" style="530" customWidth="1"/>
    <col min="5132" max="5132" width="19.33203125" style="530" customWidth="1"/>
    <col min="5133" max="5133" width="8.6640625" style="530" bestFit="1" customWidth="1"/>
    <col min="5134" max="5134" width="8.109375" style="530" customWidth="1"/>
    <col min="5135" max="5135" width="10" style="530" customWidth="1"/>
    <col min="5136" max="5138" width="8.44140625" style="530" customWidth="1"/>
    <col min="5139" max="5139" width="9" style="530" customWidth="1"/>
    <col min="5140" max="5140" width="7.44140625" style="530" customWidth="1"/>
    <col min="5141" max="5142" width="7" style="530" customWidth="1"/>
    <col min="5143" max="5143" width="6.5546875" style="530" customWidth="1"/>
    <col min="5144" max="5144" width="5.44140625" style="530" customWidth="1"/>
    <col min="5145" max="5145" width="5.109375" style="530" customWidth="1"/>
    <col min="5146" max="5146" width="4.88671875" style="530" customWidth="1"/>
    <col min="5147" max="5147" width="5.5546875" style="530" customWidth="1"/>
    <col min="5148" max="5148" width="6" style="530" customWidth="1"/>
    <col min="5149" max="5151" width="8.44140625" style="530" customWidth="1"/>
    <col min="5152" max="5152" width="8" style="530" customWidth="1"/>
    <col min="5153" max="5376" width="9.109375" style="530"/>
    <col min="5377" max="5377" width="6.44140625" style="530" customWidth="1"/>
    <col min="5378" max="5378" width="14.5546875" style="530" bestFit="1" customWidth="1"/>
    <col min="5379" max="5379" width="13.109375" style="530" customWidth="1"/>
    <col min="5380" max="5380" width="13.6640625" style="530" customWidth="1"/>
    <col min="5381" max="5381" width="16.6640625" style="530" customWidth="1"/>
    <col min="5382" max="5382" width="19" style="530" customWidth="1"/>
    <col min="5383" max="5383" width="16.88671875" style="530" customWidth="1"/>
    <col min="5384" max="5384" width="8.6640625" style="530" customWidth="1"/>
    <col min="5385" max="5385" width="9.33203125" style="530" customWidth="1"/>
    <col min="5386" max="5386" width="12" style="530" customWidth="1"/>
    <col min="5387" max="5387" width="34.5546875" style="530" customWidth="1"/>
    <col min="5388" max="5388" width="19.33203125" style="530" customWidth="1"/>
    <col min="5389" max="5389" width="8.6640625" style="530" bestFit="1" customWidth="1"/>
    <col min="5390" max="5390" width="8.109375" style="530" customWidth="1"/>
    <col min="5391" max="5391" width="10" style="530" customWidth="1"/>
    <col min="5392" max="5394" width="8.44140625" style="530" customWidth="1"/>
    <col min="5395" max="5395" width="9" style="530" customWidth="1"/>
    <col min="5396" max="5396" width="7.44140625" style="530" customWidth="1"/>
    <col min="5397" max="5398" width="7" style="530" customWidth="1"/>
    <col min="5399" max="5399" width="6.5546875" style="530" customWidth="1"/>
    <col min="5400" max="5400" width="5.44140625" style="530" customWidth="1"/>
    <col min="5401" max="5401" width="5.109375" style="530" customWidth="1"/>
    <col min="5402" max="5402" width="4.88671875" style="530" customWidth="1"/>
    <col min="5403" max="5403" width="5.5546875" style="530" customWidth="1"/>
    <col min="5404" max="5404" width="6" style="530" customWidth="1"/>
    <col min="5405" max="5407" width="8.44140625" style="530" customWidth="1"/>
    <col min="5408" max="5408" width="8" style="530" customWidth="1"/>
    <col min="5409" max="5632" width="9.109375" style="530"/>
    <col min="5633" max="5633" width="6.44140625" style="530" customWidth="1"/>
    <col min="5634" max="5634" width="14.5546875" style="530" bestFit="1" customWidth="1"/>
    <col min="5635" max="5635" width="13.109375" style="530" customWidth="1"/>
    <col min="5636" max="5636" width="13.6640625" style="530" customWidth="1"/>
    <col min="5637" max="5637" width="16.6640625" style="530" customWidth="1"/>
    <col min="5638" max="5638" width="19" style="530" customWidth="1"/>
    <col min="5639" max="5639" width="16.88671875" style="530" customWidth="1"/>
    <col min="5640" max="5640" width="8.6640625" style="530" customWidth="1"/>
    <col min="5641" max="5641" width="9.33203125" style="530" customWidth="1"/>
    <col min="5642" max="5642" width="12" style="530" customWidth="1"/>
    <col min="5643" max="5643" width="34.5546875" style="530" customWidth="1"/>
    <col min="5644" max="5644" width="19.33203125" style="530" customWidth="1"/>
    <col min="5645" max="5645" width="8.6640625" style="530" bestFit="1" customWidth="1"/>
    <col min="5646" max="5646" width="8.109375" style="530" customWidth="1"/>
    <col min="5647" max="5647" width="10" style="530" customWidth="1"/>
    <col min="5648" max="5650" width="8.44140625" style="530" customWidth="1"/>
    <col min="5651" max="5651" width="9" style="530" customWidth="1"/>
    <col min="5652" max="5652" width="7.44140625" style="530" customWidth="1"/>
    <col min="5653" max="5654" width="7" style="530" customWidth="1"/>
    <col min="5655" max="5655" width="6.5546875" style="530" customWidth="1"/>
    <col min="5656" max="5656" width="5.44140625" style="530" customWidth="1"/>
    <col min="5657" max="5657" width="5.109375" style="530" customWidth="1"/>
    <col min="5658" max="5658" width="4.88671875" style="530" customWidth="1"/>
    <col min="5659" max="5659" width="5.5546875" style="530" customWidth="1"/>
    <col min="5660" max="5660" width="6" style="530" customWidth="1"/>
    <col min="5661" max="5663" width="8.44140625" style="530" customWidth="1"/>
    <col min="5664" max="5664" width="8" style="530" customWidth="1"/>
    <col min="5665" max="5888" width="9.109375" style="530"/>
    <col min="5889" max="5889" width="6.44140625" style="530" customWidth="1"/>
    <col min="5890" max="5890" width="14.5546875" style="530" bestFit="1" customWidth="1"/>
    <col min="5891" max="5891" width="13.109375" style="530" customWidth="1"/>
    <col min="5892" max="5892" width="13.6640625" style="530" customWidth="1"/>
    <col min="5893" max="5893" width="16.6640625" style="530" customWidth="1"/>
    <col min="5894" max="5894" width="19" style="530" customWidth="1"/>
    <col min="5895" max="5895" width="16.88671875" style="530" customWidth="1"/>
    <col min="5896" max="5896" width="8.6640625" style="530" customWidth="1"/>
    <col min="5897" max="5897" width="9.33203125" style="530" customWidth="1"/>
    <col min="5898" max="5898" width="12" style="530" customWidth="1"/>
    <col min="5899" max="5899" width="34.5546875" style="530" customWidth="1"/>
    <col min="5900" max="5900" width="19.33203125" style="530" customWidth="1"/>
    <col min="5901" max="5901" width="8.6640625" style="530" bestFit="1" customWidth="1"/>
    <col min="5902" max="5902" width="8.109375" style="530" customWidth="1"/>
    <col min="5903" max="5903" width="10" style="530" customWidth="1"/>
    <col min="5904" max="5906" width="8.44140625" style="530" customWidth="1"/>
    <col min="5907" max="5907" width="9" style="530" customWidth="1"/>
    <col min="5908" max="5908" width="7.44140625" style="530" customWidth="1"/>
    <col min="5909" max="5910" width="7" style="530" customWidth="1"/>
    <col min="5911" max="5911" width="6.5546875" style="530" customWidth="1"/>
    <col min="5912" max="5912" width="5.44140625" style="530" customWidth="1"/>
    <col min="5913" max="5913" width="5.109375" style="530" customWidth="1"/>
    <col min="5914" max="5914" width="4.88671875" style="530" customWidth="1"/>
    <col min="5915" max="5915" width="5.5546875" style="530" customWidth="1"/>
    <col min="5916" max="5916" width="6" style="530" customWidth="1"/>
    <col min="5917" max="5919" width="8.44140625" style="530" customWidth="1"/>
    <col min="5920" max="5920" width="8" style="530" customWidth="1"/>
    <col min="5921" max="6144" width="9.109375" style="530"/>
    <col min="6145" max="6145" width="6.44140625" style="530" customWidth="1"/>
    <col min="6146" max="6146" width="14.5546875" style="530" bestFit="1" customWidth="1"/>
    <col min="6147" max="6147" width="13.109375" style="530" customWidth="1"/>
    <col min="6148" max="6148" width="13.6640625" style="530" customWidth="1"/>
    <col min="6149" max="6149" width="16.6640625" style="530" customWidth="1"/>
    <col min="6150" max="6150" width="19" style="530" customWidth="1"/>
    <col min="6151" max="6151" width="16.88671875" style="530" customWidth="1"/>
    <col min="6152" max="6152" width="8.6640625" style="530" customWidth="1"/>
    <col min="6153" max="6153" width="9.33203125" style="530" customWidth="1"/>
    <col min="6154" max="6154" width="12" style="530" customWidth="1"/>
    <col min="6155" max="6155" width="34.5546875" style="530" customWidth="1"/>
    <col min="6156" max="6156" width="19.33203125" style="530" customWidth="1"/>
    <col min="6157" max="6157" width="8.6640625" style="530" bestFit="1" customWidth="1"/>
    <col min="6158" max="6158" width="8.109375" style="530" customWidth="1"/>
    <col min="6159" max="6159" width="10" style="530" customWidth="1"/>
    <col min="6160" max="6162" width="8.44140625" style="530" customWidth="1"/>
    <col min="6163" max="6163" width="9" style="530" customWidth="1"/>
    <col min="6164" max="6164" width="7.44140625" style="530" customWidth="1"/>
    <col min="6165" max="6166" width="7" style="530" customWidth="1"/>
    <col min="6167" max="6167" width="6.5546875" style="530" customWidth="1"/>
    <col min="6168" max="6168" width="5.44140625" style="530" customWidth="1"/>
    <col min="6169" max="6169" width="5.109375" style="530" customWidth="1"/>
    <col min="6170" max="6170" width="4.88671875" style="530" customWidth="1"/>
    <col min="6171" max="6171" width="5.5546875" style="530" customWidth="1"/>
    <col min="6172" max="6172" width="6" style="530" customWidth="1"/>
    <col min="6173" max="6175" width="8.44140625" style="530" customWidth="1"/>
    <col min="6176" max="6176" width="8" style="530" customWidth="1"/>
    <col min="6177" max="6400" width="9.109375" style="530"/>
    <col min="6401" max="6401" width="6.44140625" style="530" customWidth="1"/>
    <col min="6402" max="6402" width="14.5546875" style="530" bestFit="1" customWidth="1"/>
    <col min="6403" max="6403" width="13.109375" style="530" customWidth="1"/>
    <col min="6404" max="6404" width="13.6640625" style="530" customWidth="1"/>
    <col min="6405" max="6405" width="16.6640625" style="530" customWidth="1"/>
    <col min="6406" max="6406" width="19" style="530" customWidth="1"/>
    <col min="6407" max="6407" width="16.88671875" style="530" customWidth="1"/>
    <col min="6408" max="6408" width="8.6640625" style="530" customWidth="1"/>
    <col min="6409" max="6409" width="9.33203125" style="530" customWidth="1"/>
    <col min="6410" max="6410" width="12" style="530" customWidth="1"/>
    <col min="6411" max="6411" width="34.5546875" style="530" customWidth="1"/>
    <col min="6412" max="6412" width="19.33203125" style="530" customWidth="1"/>
    <col min="6413" max="6413" width="8.6640625" style="530" bestFit="1" customWidth="1"/>
    <col min="6414" max="6414" width="8.109375" style="530" customWidth="1"/>
    <col min="6415" max="6415" width="10" style="530" customWidth="1"/>
    <col min="6416" max="6418" width="8.44140625" style="530" customWidth="1"/>
    <col min="6419" max="6419" width="9" style="530" customWidth="1"/>
    <col min="6420" max="6420" width="7.44140625" style="530" customWidth="1"/>
    <col min="6421" max="6422" width="7" style="530" customWidth="1"/>
    <col min="6423" max="6423" width="6.5546875" style="530" customWidth="1"/>
    <col min="6424" max="6424" width="5.44140625" style="530" customWidth="1"/>
    <col min="6425" max="6425" width="5.109375" style="530" customWidth="1"/>
    <col min="6426" max="6426" width="4.88671875" style="530" customWidth="1"/>
    <col min="6427" max="6427" width="5.5546875" style="530" customWidth="1"/>
    <col min="6428" max="6428" width="6" style="530" customWidth="1"/>
    <col min="6429" max="6431" width="8.44140625" style="530" customWidth="1"/>
    <col min="6432" max="6432" width="8" style="530" customWidth="1"/>
    <col min="6433" max="6656" width="9.109375" style="530"/>
    <col min="6657" max="6657" width="6.44140625" style="530" customWidth="1"/>
    <col min="6658" max="6658" width="14.5546875" style="530" bestFit="1" customWidth="1"/>
    <col min="6659" max="6659" width="13.109375" style="530" customWidth="1"/>
    <col min="6660" max="6660" width="13.6640625" style="530" customWidth="1"/>
    <col min="6661" max="6661" width="16.6640625" style="530" customWidth="1"/>
    <col min="6662" max="6662" width="19" style="530" customWidth="1"/>
    <col min="6663" max="6663" width="16.88671875" style="530" customWidth="1"/>
    <col min="6664" max="6664" width="8.6640625" style="530" customWidth="1"/>
    <col min="6665" max="6665" width="9.33203125" style="530" customWidth="1"/>
    <col min="6666" max="6666" width="12" style="530" customWidth="1"/>
    <col min="6667" max="6667" width="34.5546875" style="530" customWidth="1"/>
    <col min="6668" max="6668" width="19.33203125" style="530" customWidth="1"/>
    <col min="6669" max="6669" width="8.6640625" style="530" bestFit="1" customWidth="1"/>
    <col min="6670" max="6670" width="8.109375" style="530" customWidth="1"/>
    <col min="6671" max="6671" width="10" style="530" customWidth="1"/>
    <col min="6672" max="6674" width="8.44140625" style="530" customWidth="1"/>
    <col min="6675" max="6675" width="9" style="530" customWidth="1"/>
    <col min="6676" max="6676" width="7.44140625" style="530" customWidth="1"/>
    <col min="6677" max="6678" width="7" style="530" customWidth="1"/>
    <col min="6679" max="6679" width="6.5546875" style="530" customWidth="1"/>
    <col min="6680" max="6680" width="5.44140625" style="530" customWidth="1"/>
    <col min="6681" max="6681" width="5.109375" style="530" customWidth="1"/>
    <col min="6682" max="6682" width="4.88671875" style="530" customWidth="1"/>
    <col min="6683" max="6683" width="5.5546875" style="530" customWidth="1"/>
    <col min="6684" max="6684" width="6" style="530" customWidth="1"/>
    <col min="6685" max="6687" width="8.44140625" style="530" customWidth="1"/>
    <col min="6688" max="6688" width="8" style="530" customWidth="1"/>
    <col min="6689" max="6912" width="9.109375" style="530"/>
    <col min="6913" max="6913" width="6.44140625" style="530" customWidth="1"/>
    <col min="6914" max="6914" width="14.5546875" style="530" bestFit="1" customWidth="1"/>
    <col min="6915" max="6915" width="13.109375" style="530" customWidth="1"/>
    <col min="6916" max="6916" width="13.6640625" style="530" customWidth="1"/>
    <col min="6917" max="6917" width="16.6640625" style="530" customWidth="1"/>
    <col min="6918" max="6918" width="19" style="530" customWidth="1"/>
    <col min="6919" max="6919" width="16.88671875" style="530" customWidth="1"/>
    <col min="6920" max="6920" width="8.6640625" style="530" customWidth="1"/>
    <col min="6921" max="6921" width="9.33203125" style="530" customWidth="1"/>
    <col min="6922" max="6922" width="12" style="530" customWidth="1"/>
    <col min="6923" max="6923" width="34.5546875" style="530" customWidth="1"/>
    <col min="6924" max="6924" width="19.33203125" style="530" customWidth="1"/>
    <col min="6925" max="6925" width="8.6640625" style="530" bestFit="1" customWidth="1"/>
    <col min="6926" max="6926" width="8.109375" style="530" customWidth="1"/>
    <col min="6927" max="6927" width="10" style="530" customWidth="1"/>
    <col min="6928" max="6930" width="8.44140625" style="530" customWidth="1"/>
    <col min="6931" max="6931" width="9" style="530" customWidth="1"/>
    <col min="6932" max="6932" width="7.44140625" style="530" customWidth="1"/>
    <col min="6933" max="6934" width="7" style="530" customWidth="1"/>
    <col min="6935" max="6935" width="6.5546875" style="530" customWidth="1"/>
    <col min="6936" max="6936" width="5.44140625" style="530" customWidth="1"/>
    <col min="6937" max="6937" width="5.109375" style="530" customWidth="1"/>
    <col min="6938" max="6938" width="4.88671875" style="530" customWidth="1"/>
    <col min="6939" max="6939" width="5.5546875" style="530" customWidth="1"/>
    <col min="6940" max="6940" width="6" style="530" customWidth="1"/>
    <col min="6941" max="6943" width="8.44140625" style="530" customWidth="1"/>
    <col min="6944" max="6944" width="8" style="530" customWidth="1"/>
    <col min="6945" max="7168" width="9.109375" style="530"/>
    <col min="7169" max="7169" width="6.44140625" style="530" customWidth="1"/>
    <col min="7170" max="7170" width="14.5546875" style="530" bestFit="1" customWidth="1"/>
    <col min="7171" max="7171" width="13.109375" style="530" customWidth="1"/>
    <col min="7172" max="7172" width="13.6640625" style="530" customWidth="1"/>
    <col min="7173" max="7173" width="16.6640625" style="530" customWidth="1"/>
    <col min="7174" max="7174" width="19" style="530" customWidth="1"/>
    <col min="7175" max="7175" width="16.88671875" style="530" customWidth="1"/>
    <col min="7176" max="7176" width="8.6640625" style="530" customWidth="1"/>
    <col min="7177" max="7177" width="9.33203125" style="530" customWidth="1"/>
    <col min="7178" max="7178" width="12" style="530" customWidth="1"/>
    <col min="7179" max="7179" width="34.5546875" style="530" customWidth="1"/>
    <col min="7180" max="7180" width="19.33203125" style="530" customWidth="1"/>
    <col min="7181" max="7181" width="8.6640625" style="530" bestFit="1" customWidth="1"/>
    <col min="7182" max="7182" width="8.109375" style="530" customWidth="1"/>
    <col min="7183" max="7183" width="10" style="530" customWidth="1"/>
    <col min="7184" max="7186" width="8.44140625" style="530" customWidth="1"/>
    <col min="7187" max="7187" width="9" style="530" customWidth="1"/>
    <col min="7188" max="7188" width="7.44140625" style="530" customWidth="1"/>
    <col min="7189" max="7190" width="7" style="530" customWidth="1"/>
    <col min="7191" max="7191" width="6.5546875" style="530" customWidth="1"/>
    <col min="7192" max="7192" width="5.44140625" style="530" customWidth="1"/>
    <col min="7193" max="7193" width="5.109375" style="530" customWidth="1"/>
    <col min="7194" max="7194" width="4.88671875" style="530" customWidth="1"/>
    <col min="7195" max="7195" width="5.5546875" style="530" customWidth="1"/>
    <col min="7196" max="7196" width="6" style="530" customWidth="1"/>
    <col min="7197" max="7199" width="8.44140625" style="530" customWidth="1"/>
    <col min="7200" max="7200" width="8" style="530" customWidth="1"/>
    <col min="7201" max="7424" width="9.109375" style="530"/>
    <col min="7425" max="7425" width="6.44140625" style="530" customWidth="1"/>
    <col min="7426" max="7426" width="14.5546875" style="530" bestFit="1" customWidth="1"/>
    <col min="7427" max="7427" width="13.109375" style="530" customWidth="1"/>
    <col min="7428" max="7428" width="13.6640625" style="530" customWidth="1"/>
    <col min="7429" max="7429" width="16.6640625" style="530" customWidth="1"/>
    <col min="7430" max="7430" width="19" style="530" customWidth="1"/>
    <col min="7431" max="7431" width="16.88671875" style="530" customWidth="1"/>
    <col min="7432" max="7432" width="8.6640625" style="530" customWidth="1"/>
    <col min="7433" max="7433" width="9.33203125" style="530" customWidth="1"/>
    <col min="7434" max="7434" width="12" style="530" customWidth="1"/>
    <col min="7435" max="7435" width="34.5546875" style="530" customWidth="1"/>
    <col min="7436" max="7436" width="19.33203125" style="530" customWidth="1"/>
    <col min="7437" max="7437" width="8.6640625" style="530" bestFit="1" customWidth="1"/>
    <col min="7438" max="7438" width="8.109375" style="530" customWidth="1"/>
    <col min="7439" max="7439" width="10" style="530" customWidth="1"/>
    <col min="7440" max="7442" width="8.44140625" style="530" customWidth="1"/>
    <col min="7443" max="7443" width="9" style="530" customWidth="1"/>
    <col min="7444" max="7444" width="7.44140625" style="530" customWidth="1"/>
    <col min="7445" max="7446" width="7" style="530" customWidth="1"/>
    <col min="7447" max="7447" width="6.5546875" style="530" customWidth="1"/>
    <col min="7448" max="7448" width="5.44140625" style="530" customWidth="1"/>
    <col min="7449" max="7449" width="5.109375" style="530" customWidth="1"/>
    <col min="7450" max="7450" width="4.88671875" style="530" customWidth="1"/>
    <col min="7451" max="7451" width="5.5546875" style="530" customWidth="1"/>
    <col min="7452" max="7452" width="6" style="530" customWidth="1"/>
    <col min="7453" max="7455" width="8.44140625" style="530" customWidth="1"/>
    <col min="7456" max="7456" width="8" style="530" customWidth="1"/>
    <col min="7457" max="7680" width="9.109375" style="530"/>
    <col min="7681" max="7681" width="6.44140625" style="530" customWidth="1"/>
    <col min="7682" max="7682" width="14.5546875" style="530" bestFit="1" customWidth="1"/>
    <col min="7683" max="7683" width="13.109375" style="530" customWidth="1"/>
    <col min="7684" max="7684" width="13.6640625" style="530" customWidth="1"/>
    <col min="7685" max="7685" width="16.6640625" style="530" customWidth="1"/>
    <col min="7686" max="7686" width="19" style="530" customWidth="1"/>
    <col min="7687" max="7687" width="16.88671875" style="530" customWidth="1"/>
    <col min="7688" max="7688" width="8.6640625" style="530" customWidth="1"/>
    <col min="7689" max="7689" width="9.33203125" style="530" customWidth="1"/>
    <col min="7690" max="7690" width="12" style="530" customWidth="1"/>
    <col min="7691" max="7691" width="34.5546875" style="530" customWidth="1"/>
    <col min="7692" max="7692" width="19.33203125" style="530" customWidth="1"/>
    <col min="7693" max="7693" width="8.6640625" style="530" bestFit="1" customWidth="1"/>
    <col min="7694" max="7694" width="8.109375" style="530" customWidth="1"/>
    <col min="7695" max="7695" width="10" style="530" customWidth="1"/>
    <col min="7696" max="7698" width="8.44140625" style="530" customWidth="1"/>
    <col min="7699" max="7699" width="9" style="530" customWidth="1"/>
    <col min="7700" max="7700" width="7.44140625" style="530" customWidth="1"/>
    <col min="7701" max="7702" width="7" style="530" customWidth="1"/>
    <col min="7703" max="7703" width="6.5546875" style="530" customWidth="1"/>
    <col min="7704" max="7704" width="5.44140625" style="530" customWidth="1"/>
    <col min="7705" max="7705" width="5.109375" style="530" customWidth="1"/>
    <col min="7706" max="7706" width="4.88671875" style="530" customWidth="1"/>
    <col min="7707" max="7707" width="5.5546875" style="530" customWidth="1"/>
    <col min="7708" max="7708" width="6" style="530" customWidth="1"/>
    <col min="7709" max="7711" width="8.44140625" style="530" customWidth="1"/>
    <col min="7712" max="7712" width="8" style="530" customWidth="1"/>
    <col min="7713" max="7936" width="9.109375" style="530"/>
    <col min="7937" max="7937" width="6.44140625" style="530" customWidth="1"/>
    <col min="7938" max="7938" width="14.5546875" style="530" bestFit="1" customWidth="1"/>
    <col min="7939" max="7939" width="13.109375" style="530" customWidth="1"/>
    <col min="7940" max="7940" width="13.6640625" style="530" customWidth="1"/>
    <col min="7941" max="7941" width="16.6640625" style="530" customWidth="1"/>
    <col min="7942" max="7942" width="19" style="530" customWidth="1"/>
    <col min="7943" max="7943" width="16.88671875" style="530" customWidth="1"/>
    <col min="7944" max="7944" width="8.6640625" style="530" customWidth="1"/>
    <col min="7945" max="7945" width="9.33203125" style="530" customWidth="1"/>
    <col min="7946" max="7946" width="12" style="530" customWidth="1"/>
    <col min="7947" max="7947" width="34.5546875" style="530" customWidth="1"/>
    <col min="7948" max="7948" width="19.33203125" style="530" customWidth="1"/>
    <col min="7949" max="7949" width="8.6640625" style="530" bestFit="1" customWidth="1"/>
    <col min="7950" max="7950" width="8.109375" style="530" customWidth="1"/>
    <col min="7951" max="7951" width="10" style="530" customWidth="1"/>
    <col min="7952" max="7954" width="8.44140625" style="530" customWidth="1"/>
    <col min="7955" max="7955" width="9" style="530" customWidth="1"/>
    <col min="7956" max="7956" width="7.44140625" style="530" customWidth="1"/>
    <col min="7957" max="7958" width="7" style="530" customWidth="1"/>
    <col min="7959" max="7959" width="6.5546875" style="530" customWidth="1"/>
    <col min="7960" max="7960" width="5.44140625" style="530" customWidth="1"/>
    <col min="7961" max="7961" width="5.109375" style="530" customWidth="1"/>
    <col min="7962" max="7962" width="4.88671875" style="530" customWidth="1"/>
    <col min="7963" max="7963" width="5.5546875" style="530" customWidth="1"/>
    <col min="7964" max="7964" width="6" style="530" customWidth="1"/>
    <col min="7965" max="7967" width="8.44140625" style="530" customWidth="1"/>
    <col min="7968" max="7968" width="8" style="530" customWidth="1"/>
    <col min="7969" max="8192" width="9.109375" style="530"/>
    <col min="8193" max="8193" width="6.44140625" style="530" customWidth="1"/>
    <col min="8194" max="8194" width="14.5546875" style="530" bestFit="1" customWidth="1"/>
    <col min="8195" max="8195" width="13.109375" style="530" customWidth="1"/>
    <col min="8196" max="8196" width="13.6640625" style="530" customWidth="1"/>
    <col min="8197" max="8197" width="16.6640625" style="530" customWidth="1"/>
    <col min="8198" max="8198" width="19" style="530" customWidth="1"/>
    <col min="8199" max="8199" width="16.88671875" style="530" customWidth="1"/>
    <col min="8200" max="8200" width="8.6640625" style="530" customWidth="1"/>
    <col min="8201" max="8201" width="9.33203125" style="530" customWidth="1"/>
    <col min="8202" max="8202" width="12" style="530" customWidth="1"/>
    <col min="8203" max="8203" width="34.5546875" style="530" customWidth="1"/>
    <col min="8204" max="8204" width="19.33203125" style="530" customWidth="1"/>
    <col min="8205" max="8205" width="8.6640625" style="530" bestFit="1" customWidth="1"/>
    <col min="8206" max="8206" width="8.109375" style="530" customWidth="1"/>
    <col min="8207" max="8207" width="10" style="530" customWidth="1"/>
    <col min="8208" max="8210" width="8.44140625" style="530" customWidth="1"/>
    <col min="8211" max="8211" width="9" style="530" customWidth="1"/>
    <col min="8212" max="8212" width="7.44140625" style="530" customWidth="1"/>
    <col min="8213" max="8214" width="7" style="530" customWidth="1"/>
    <col min="8215" max="8215" width="6.5546875" style="530" customWidth="1"/>
    <col min="8216" max="8216" width="5.44140625" style="530" customWidth="1"/>
    <col min="8217" max="8217" width="5.109375" style="530" customWidth="1"/>
    <col min="8218" max="8218" width="4.88671875" style="530" customWidth="1"/>
    <col min="8219" max="8219" width="5.5546875" style="530" customWidth="1"/>
    <col min="8220" max="8220" width="6" style="530" customWidth="1"/>
    <col min="8221" max="8223" width="8.44140625" style="530" customWidth="1"/>
    <col min="8224" max="8224" width="8" style="530" customWidth="1"/>
    <col min="8225" max="8448" width="9.109375" style="530"/>
    <col min="8449" max="8449" width="6.44140625" style="530" customWidth="1"/>
    <col min="8450" max="8450" width="14.5546875" style="530" bestFit="1" customWidth="1"/>
    <col min="8451" max="8451" width="13.109375" style="530" customWidth="1"/>
    <col min="8452" max="8452" width="13.6640625" style="530" customWidth="1"/>
    <col min="8453" max="8453" width="16.6640625" style="530" customWidth="1"/>
    <col min="8454" max="8454" width="19" style="530" customWidth="1"/>
    <col min="8455" max="8455" width="16.88671875" style="530" customWidth="1"/>
    <col min="8456" max="8456" width="8.6640625" style="530" customWidth="1"/>
    <col min="8457" max="8457" width="9.33203125" style="530" customWidth="1"/>
    <col min="8458" max="8458" width="12" style="530" customWidth="1"/>
    <col min="8459" max="8459" width="34.5546875" style="530" customWidth="1"/>
    <col min="8460" max="8460" width="19.33203125" style="530" customWidth="1"/>
    <col min="8461" max="8461" width="8.6640625" style="530" bestFit="1" customWidth="1"/>
    <col min="8462" max="8462" width="8.109375" style="530" customWidth="1"/>
    <col min="8463" max="8463" width="10" style="530" customWidth="1"/>
    <col min="8464" max="8466" width="8.44140625" style="530" customWidth="1"/>
    <col min="8467" max="8467" width="9" style="530" customWidth="1"/>
    <col min="8468" max="8468" width="7.44140625" style="530" customWidth="1"/>
    <col min="8469" max="8470" width="7" style="530" customWidth="1"/>
    <col min="8471" max="8471" width="6.5546875" style="530" customWidth="1"/>
    <col min="8472" max="8472" width="5.44140625" style="530" customWidth="1"/>
    <col min="8473" max="8473" width="5.109375" style="530" customWidth="1"/>
    <col min="8474" max="8474" width="4.88671875" style="530" customWidth="1"/>
    <col min="8475" max="8475" width="5.5546875" style="530" customWidth="1"/>
    <col min="8476" max="8476" width="6" style="530" customWidth="1"/>
    <col min="8477" max="8479" width="8.44140625" style="530" customWidth="1"/>
    <col min="8480" max="8480" width="8" style="530" customWidth="1"/>
    <col min="8481" max="8704" width="9.109375" style="530"/>
    <col min="8705" max="8705" width="6.44140625" style="530" customWidth="1"/>
    <col min="8706" max="8706" width="14.5546875" style="530" bestFit="1" customWidth="1"/>
    <col min="8707" max="8707" width="13.109375" style="530" customWidth="1"/>
    <col min="8708" max="8708" width="13.6640625" style="530" customWidth="1"/>
    <col min="8709" max="8709" width="16.6640625" style="530" customWidth="1"/>
    <col min="8710" max="8710" width="19" style="530" customWidth="1"/>
    <col min="8711" max="8711" width="16.88671875" style="530" customWidth="1"/>
    <col min="8712" max="8712" width="8.6640625" style="530" customWidth="1"/>
    <col min="8713" max="8713" width="9.33203125" style="530" customWidth="1"/>
    <col min="8714" max="8714" width="12" style="530" customWidth="1"/>
    <col min="8715" max="8715" width="34.5546875" style="530" customWidth="1"/>
    <col min="8716" max="8716" width="19.33203125" style="530" customWidth="1"/>
    <col min="8717" max="8717" width="8.6640625" style="530" bestFit="1" customWidth="1"/>
    <col min="8718" max="8718" width="8.109375" style="530" customWidth="1"/>
    <col min="8719" max="8719" width="10" style="530" customWidth="1"/>
    <col min="8720" max="8722" width="8.44140625" style="530" customWidth="1"/>
    <col min="8723" max="8723" width="9" style="530" customWidth="1"/>
    <col min="8724" max="8724" width="7.44140625" style="530" customWidth="1"/>
    <col min="8725" max="8726" width="7" style="530" customWidth="1"/>
    <col min="8727" max="8727" width="6.5546875" style="530" customWidth="1"/>
    <col min="8728" max="8728" width="5.44140625" style="530" customWidth="1"/>
    <col min="8729" max="8729" width="5.109375" style="530" customWidth="1"/>
    <col min="8730" max="8730" width="4.88671875" style="530" customWidth="1"/>
    <col min="8731" max="8731" width="5.5546875" style="530" customWidth="1"/>
    <col min="8732" max="8732" width="6" style="530" customWidth="1"/>
    <col min="8733" max="8735" width="8.44140625" style="530" customWidth="1"/>
    <col min="8736" max="8736" width="8" style="530" customWidth="1"/>
    <col min="8737" max="8960" width="9.109375" style="530"/>
    <col min="8961" max="8961" width="6.44140625" style="530" customWidth="1"/>
    <col min="8962" max="8962" width="14.5546875" style="530" bestFit="1" customWidth="1"/>
    <col min="8963" max="8963" width="13.109375" style="530" customWidth="1"/>
    <col min="8964" max="8964" width="13.6640625" style="530" customWidth="1"/>
    <col min="8965" max="8965" width="16.6640625" style="530" customWidth="1"/>
    <col min="8966" max="8966" width="19" style="530" customWidth="1"/>
    <col min="8967" max="8967" width="16.88671875" style="530" customWidth="1"/>
    <col min="8968" max="8968" width="8.6640625" style="530" customWidth="1"/>
    <col min="8969" max="8969" width="9.33203125" style="530" customWidth="1"/>
    <col min="8970" max="8970" width="12" style="530" customWidth="1"/>
    <col min="8971" max="8971" width="34.5546875" style="530" customWidth="1"/>
    <col min="8972" max="8972" width="19.33203125" style="530" customWidth="1"/>
    <col min="8973" max="8973" width="8.6640625" style="530" bestFit="1" customWidth="1"/>
    <col min="8974" max="8974" width="8.109375" style="530" customWidth="1"/>
    <col min="8975" max="8975" width="10" style="530" customWidth="1"/>
    <col min="8976" max="8978" width="8.44140625" style="530" customWidth="1"/>
    <col min="8979" max="8979" width="9" style="530" customWidth="1"/>
    <col min="8980" max="8980" width="7.44140625" style="530" customWidth="1"/>
    <col min="8981" max="8982" width="7" style="530" customWidth="1"/>
    <col min="8983" max="8983" width="6.5546875" style="530" customWidth="1"/>
    <col min="8984" max="8984" width="5.44140625" style="530" customWidth="1"/>
    <col min="8985" max="8985" width="5.109375" style="530" customWidth="1"/>
    <col min="8986" max="8986" width="4.88671875" style="530" customWidth="1"/>
    <col min="8987" max="8987" width="5.5546875" style="530" customWidth="1"/>
    <col min="8988" max="8988" width="6" style="530" customWidth="1"/>
    <col min="8989" max="8991" width="8.44140625" style="530" customWidth="1"/>
    <col min="8992" max="8992" width="8" style="530" customWidth="1"/>
    <col min="8993" max="9216" width="9.109375" style="530"/>
    <col min="9217" max="9217" width="6.44140625" style="530" customWidth="1"/>
    <col min="9218" max="9218" width="14.5546875" style="530" bestFit="1" customWidth="1"/>
    <col min="9219" max="9219" width="13.109375" style="530" customWidth="1"/>
    <col min="9220" max="9220" width="13.6640625" style="530" customWidth="1"/>
    <col min="9221" max="9221" width="16.6640625" style="530" customWidth="1"/>
    <col min="9222" max="9222" width="19" style="530" customWidth="1"/>
    <col min="9223" max="9223" width="16.88671875" style="530" customWidth="1"/>
    <col min="9224" max="9224" width="8.6640625" style="530" customWidth="1"/>
    <col min="9225" max="9225" width="9.33203125" style="530" customWidth="1"/>
    <col min="9226" max="9226" width="12" style="530" customWidth="1"/>
    <col min="9227" max="9227" width="34.5546875" style="530" customWidth="1"/>
    <col min="9228" max="9228" width="19.33203125" style="530" customWidth="1"/>
    <col min="9229" max="9229" width="8.6640625" style="530" bestFit="1" customWidth="1"/>
    <col min="9230" max="9230" width="8.109375" style="530" customWidth="1"/>
    <col min="9231" max="9231" width="10" style="530" customWidth="1"/>
    <col min="9232" max="9234" width="8.44140625" style="530" customWidth="1"/>
    <col min="9235" max="9235" width="9" style="530" customWidth="1"/>
    <col min="9236" max="9236" width="7.44140625" style="530" customWidth="1"/>
    <col min="9237" max="9238" width="7" style="530" customWidth="1"/>
    <col min="9239" max="9239" width="6.5546875" style="530" customWidth="1"/>
    <col min="9240" max="9240" width="5.44140625" style="530" customWidth="1"/>
    <col min="9241" max="9241" width="5.109375" style="530" customWidth="1"/>
    <col min="9242" max="9242" width="4.88671875" style="530" customWidth="1"/>
    <col min="9243" max="9243" width="5.5546875" style="530" customWidth="1"/>
    <col min="9244" max="9244" width="6" style="530" customWidth="1"/>
    <col min="9245" max="9247" width="8.44140625" style="530" customWidth="1"/>
    <col min="9248" max="9248" width="8" style="530" customWidth="1"/>
    <col min="9249" max="9472" width="9.109375" style="530"/>
    <col min="9473" max="9473" width="6.44140625" style="530" customWidth="1"/>
    <col min="9474" max="9474" width="14.5546875" style="530" bestFit="1" customWidth="1"/>
    <col min="9475" max="9475" width="13.109375" style="530" customWidth="1"/>
    <col min="9476" max="9476" width="13.6640625" style="530" customWidth="1"/>
    <col min="9477" max="9477" width="16.6640625" style="530" customWidth="1"/>
    <col min="9478" max="9478" width="19" style="530" customWidth="1"/>
    <col min="9479" max="9479" width="16.88671875" style="530" customWidth="1"/>
    <col min="9480" max="9480" width="8.6640625" style="530" customWidth="1"/>
    <col min="9481" max="9481" width="9.33203125" style="530" customWidth="1"/>
    <col min="9482" max="9482" width="12" style="530" customWidth="1"/>
    <col min="9483" max="9483" width="34.5546875" style="530" customWidth="1"/>
    <col min="9484" max="9484" width="19.33203125" style="530" customWidth="1"/>
    <col min="9485" max="9485" width="8.6640625" style="530" bestFit="1" customWidth="1"/>
    <col min="9486" max="9486" width="8.109375" style="530" customWidth="1"/>
    <col min="9487" max="9487" width="10" style="530" customWidth="1"/>
    <col min="9488" max="9490" width="8.44140625" style="530" customWidth="1"/>
    <col min="9491" max="9491" width="9" style="530" customWidth="1"/>
    <col min="9492" max="9492" width="7.44140625" style="530" customWidth="1"/>
    <col min="9493" max="9494" width="7" style="530" customWidth="1"/>
    <col min="9495" max="9495" width="6.5546875" style="530" customWidth="1"/>
    <col min="9496" max="9496" width="5.44140625" style="530" customWidth="1"/>
    <col min="9497" max="9497" width="5.109375" style="530" customWidth="1"/>
    <col min="9498" max="9498" width="4.88671875" style="530" customWidth="1"/>
    <col min="9499" max="9499" width="5.5546875" style="530" customWidth="1"/>
    <col min="9500" max="9500" width="6" style="530" customWidth="1"/>
    <col min="9501" max="9503" width="8.44140625" style="530" customWidth="1"/>
    <col min="9504" max="9504" width="8" style="530" customWidth="1"/>
    <col min="9505" max="9728" width="9.109375" style="530"/>
    <col min="9729" max="9729" width="6.44140625" style="530" customWidth="1"/>
    <col min="9730" max="9730" width="14.5546875" style="530" bestFit="1" customWidth="1"/>
    <col min="9731" max="9731" width="13.109375" style="530" customWidth="1"/>
    <col min="9732" max="9732" width="13.6640625" style="530" customWidth="1"/>
    <col min="9733" max="9733" width="16.6640625" style="530" customWidth="1"/>
    <col min="9734" max="9734" width="19" style="530" customWidth="1"/>
    <col min="9735" max="9735" width="16.88671875" style="530" customWidth="1"/>
    <col min="9736" max="9736" width="8.6640625" style="530" customWidth="1"/>
    <col min="9737" max="9737" width="9.33203125" style="530" customWidth="1"/>
    <col min="9738" max="9738" width="12" style="530" customWidth="1"/>
    <col min="9739" max="9739" width="34.5546875" style="530" customWidth="1"/>
    <col min="9740" max="9740" width="19.33203125" style="530" customWidth="1"/>
    <col min="9741" max="9741" width="8.6640625" style="530" bestFit="1" customWidth="1"/>
    <col min="9742" max="9742" width="8.109375" style="530" customWidth="1"/>
    <col min="9743" max="9743" width="10" style="530" customWidth="1"/>
    <col min="9744" max="9746" width="8.44140625" style="530" customWidth="1"/>
    <col min="9747" max="9747" width="9" style="530" customWidth="1"/>
    <col min="9748" max="9748" width="7.44140625" style="530" customWidth="1"/>
    <col min="9749" max="9750" width="7" style="530" customWidth="1"/>
    <col min="9751" max="9751" width="6.5546875" style="530" customWidth="1"/>
    <col min="9752" max="9752" width="5.44140625" style="530" customWidth="1"/>
    <col min="9753" max="9753" width="5.109375" style="530" customWidth="1"/>
    <col min="9754" max="9754" width="4.88671875" style="530" customWidth="1"/>
    <col min="9755" max="9755" width="5.5546875" style="530" customWidth="1"/>
    <col min="9756" max="9756" width="6" style="530" customWidth="1"/>
    <col min="9757" max="9759" width="8.44140625" style="530" customWidth="1"/>
    <col min="9760" max="9760" width="8" style="530" customWidth="1"/>
    <col min="9761" max="9984" width="9.109375" style="530"/>
    <col min="9985" max="9985" width="6.44140625" style="530" customWidth="1"/>
    <col min="9986" max="9986" width="14.5546875" style="530" bestFit="1" customWidth="1"/>
    <col min="9987" max="9987" width="13.109375" style="530" customWidth="1"/>
    <col min="9988" max="9988" width="13.6640625" style="530" customWidth="1"/>
    <col min="9989" max="9989" width="16.6640625" style="530" customWidth="1"/>
    <col min="9990" max="9990" width="19" style="530" customWidth="1"/>
    <col min="9991" max="9991" width="16.88671875" style="530" customWidth="1"/>
    <col min="9992" max="9992" width="8.6640625" style="530" customWidth="1"/>
    <col min="9993" max="9993" width="9.33203125" style="530" customWidth="1"/>
    <col min="9994" max="9994" width="12" style="530" customWidth="1"/>
    <col min="9995" max="9995" width="34.5546875" style="530" customWidth="1"/>
    <col min="9996" max="9996" width="19.33203125" style="530" customWidth="1"/>
    <col min="9997" max="9997" width="8.6640625" style="530" bestFit="1" customWidth="1"/>
    <col min="9998" max="9998" width="8.109375" style="530" customWidth="1"/>
    <col min="9999" max="9999" width="10" style="530" customWidth="1"/>
    <col min="10000" max="10002" width="8.44140625" style="530" customWidth="1"/>
    <col min="10003" max="10003" width="9" style="530" customWidth="1"/>
    <col min="10004" max="10004" width="7.44140625" style="530" customWidth="1"/>
    <col min="10005" max="10006" width="7" style="530" customWidth="1"/>
    <col min="10007" max="10007" width="6.5546875" style="530" customWidth="1"/>
    <col min="10008" max="10008" width="5.44140625" style="530" customWidth="1"/>
    <col min="10009" max="10009" width="5.109375" style="530" customWidth="1"/>
    <col min="10010" max="10010" width="4.88671875" style="530" customWidth="1"/>
    <col min="10011" max="10011" width="5.5546875" style="530" customWidth="1"/>
    <col min="10012" max="10012" width="6" style="530" customWidth="1"/>
    <col min="10013" max="10015" width="8.44140625" style="530" customWidth="1"/>
    <col min="10016" max="10016" width="8" style="530" customWidth="1"/>
    <col min="10017" max="10240" width="9.109375" style="530"/>
    <col min="10241" max="10241" width="6.44140625" style="530" customWidth="1"/>
    <col min="10242" max="10242" width="14.5546875" style="530" bestFit="1" customWidth="1"/>
    <col min="10243" max="10243" width="13.109375" style="530" customWidth="1"/>
    <col min="10244" max="10244" width="13.6640625" style="530" customWidth="1"/>
    <col min="10245" max="10245" width="16.6640625" style="530" customWidth="1"/>
    <col min="10246" max="10246" width="19" style="530" customWidth="1"/>
    <col min="10247" max="10247" width="16.88671875" style="530" customWidth="1"/>
    <col min="10248" max="10248" width="8.6640625" style="530" customWidth="1"/>
    <col min="10249" max="10249" width="9.33203125" style="530" customWidth="1"/>
    <col min="10250" max="10250" width="12" style="530" customWidth="1"/>
    <col min="10251" max="10251" width="34.5546875" style="530" customWidth="1"/>
    <col min="10252" max="10252" width="19.33203125" style="530" customWidth="1"/>
    <col min="10253" max="10253" width="8.6640625" style="530" bestFit="1" customWidth="1"/>
    <col min="10254" max="10254" width="8.109375" style="530" customWidth="1"/>
    <col min="10255" max="10255" width="10" style="530" customWidth="1"/>
    <col min="10256" max="10258" width="8.44140625" style="530" customWidth="1"/>
    <col min="10259" max="10259" width="9" style="530" customWidth="1"/>
    <col min="10260" max="10260" width="7.44140625" style="530" customWidth="1"/>
    <col min="10261" max="10262" width="7" style="530" customWidth="1"/>
    <col min="10263" max="10263" width="6.5546875" style="530" customWidth="1"/>
    <col min="10264" max="10264" width="5.44140625" style="530" customWidth="1"/>
    <col min="10265" max="10265" width="5.109375" style="530" customWidth="1"/>
    <col min="10266" max="10266" width="4.88671875" style="530" customWidth="1"/>
    <col min="10267" max="10267" width="5.5546875" style="530" customWidth="1"/>
    <col min="10268" max="10268" width="6" style="530" customWidth="1"/>
    <col min="10269" max="10271" width="8.44140625" style="530" customWidth="1"/>
    <col min="10272" max="10272" width="8" style="530" customWidth="1"/>
    <col min="10273" max="10496" width="9.109375" style="530"/>
    <col min="10497" max="10497" width="6.44140625" style="530" customWidth="1"/>
    <col min="10498" max="10498" width="14.5546875" style="530" bestFit="1" customWidth="1"/>
    <col min="10499" max="10499" width="13.109375" style="530" customWidth="1"/>
    <col min="10500" max="10500" width="13.6640625" style="530" customWidth="1"/>
    <col min="10501" max="10501" width="16.6640625" style="530" customWidth="1"/>
    <col min="10502" max="10502" width="19" style="530" customWidth="1"/>
    <col min="10503" max="10503" width="16.88671875" style="530" customWidth="1"/>
    <col min="10504" max="10504" width="8.6640625" style="530" customWidth="1"/>
    <col min="10505" max="10505" width="9.33203125" style="530" customWidth="1"/>
    <col min="10506" max="10506" width="12" style="530" customWidth="1"/>
    <col min="10507" max="10507" width="34.5546875" style="530" customWidth="1"/>
    <col min="10508" max="10508" width="19.33203125" style="530" customWidth="1"/>
    <col min="10509" max="10509" width="8.6640625" style="530" bestFit="1" customWidth="1"/>
    <col min="10510" max="10510" width="8.109375" style="530" customWidth="1"/>
    <col min="10511" max="10511" width="10" style="530" customWidth="1"/>
    <col min="10512" max="10514" width="8.44140625" style="530" customWidth="1"/>
    <col min="10515" max="10515" width="9" style="530" customWidth="1"/>
    <col min="10516" max="10516" width="7.44140625" style="530" customWidth="1"/>
    <col min="10517" max="10518" width="7" style="530" customWidth="1"/>
    <col min="10519" max="10519" width="6.5546875" style="530" customWidth="1"/>
    <col min="10520" max="10520" width="5.44140625" style="530" customWidth="1"/>
    <col min="10521" max="10521" width="5.109375" style="530" customWidth="1"/>
    <col min="10522" max="10522" width="4.88671875" style="530" customWidth="1"/>
    <col min="10523" max="10523" width="5.5546875" style="530" customWidth="1"/>
    <col min="10524" max="10524" width="6" style="530" customWidth="1"/>
    <col min="10525" max="10527" width="8.44140625" style="530" customWidth="1"/>
    <col min="10528" max="10528" width="8" style="530" customWidth="1"/>
    <col min="10529" max="10752" width="9.109375" style="530"/>
    <col min="10753" max="10753" width="6.44140625" style="530" customWidth="1"/>
    <col min="10754" max="10754" width="14.5546875" style="530" bestFit="1" customWidth="1"/>
    <col min="10755" max="10755" width="13.109375" style="530" customWidth="1"/>
    <col min="10756" max="10756" width="13.6640625" style="530" customWidth="1"/>
    <col min="10757" max="10757" width="16.6640625" style="530" customWidth="1"/>
    <col min="10758" max="10758" width="19" style="530" customWidth="1"/>
    <col min="10759" max="10759" width="16.88671875" style="530" customWidth="1"/>
    <col min="10760" max="10760" width="8.6640625" style="530" customWidth="1"/>
    <col min="10761" max="10761" width="9.33203125" style="530" customWidth="1"/>
    <col min="10762" max="10762" width="12" style="530" customWidth="1"/>
    <col min="10763" max="10763" width="34.5546875" style="530" customWidth="1"/>
    <col min="10764" max="10764" width="19.33203125" style="530" customWidth="1"/>
    <col min="10765" max="10765" width="8.6640625" style="530" bestFit="1" customWidth="1"/>
    <col min="10766" max="10766" width="8.109375" style="530" customWidth="1"/>
    <col min="10767" max="10767" width="10" style="530" customWidth="1"/>
    <col min="10768" max="10770" width="8.44140625" style="530" customWidth="1"/>
    <col min="10771" max="10771" width="9" style="530" customWidth="1"/>
    <col min="10772" max="10772" width="7.44140625" style="530" customWidth="1"/>
    <col min="10773" max="10774" width="7" style="530" customWidth="1"/>
    <col min="10775" max="10775" width="6.5546875" style="530" customWidth="1"/>
    <col min="10776" max="10776" width="5.44140625" style="530" customWidth="1"/>
    <col min="10777" max="10777" width="5.109375" style="530" customWidth="1"/>
    <col min="10778" max="10778" width="4.88671875" style="530" customWidth="1"/>
    <col min="10779" max="10779" width="5.5546875" style="530" customWidth="1"/>
    <col min="10780" max="10780" width="6" style="530" customWidth="1"/>
    <col min="10781" max="10783" width="8.44140625" style="530" customWidth="1"/>
    <col min="10784" max="10784" width="8" style="530" customWidth="1"/>
    <col min="10785" max="11008" width="9.109375" style="530"/>
    <col min="11009" max="11009" width="6.44140625" style="530" customWidth="1"/>
    <col min="11010" max="11010" width="14.5546875" style="530" bestFit="1" customWidth="1"/>
    <col min="11011" max="11011" width="13.109375" style="530" customWidth="1"/>
    <col min="11012" max="11012" width="13.6640625" style="530" customWidth="1"/>
    <col min="11013" max="11013" width="16.6640625" style="530" customWidth="1"/>
    <col min="11014" max="11014" width="19" style="530" customWidth="1"/>
    <col min="11015" max="11015" width="16.88671875" style="530" customWidth="1"/>
    <col min="11016" max="11016" width="8.6640625" style="530" customWidth="1"/>
    <col min="11017" max="11017" width="9.33203125" style="530" customWidth="1"/>
    <col min="11018" max="11018" width="12" style="530" customWidth="1"/>
    <col min="11019" max="11019" width="34.5546875" style="530" customWidth="1"/>
    <col min="11020" max="11020" width="19.33203125" style="530" customWidth="1"/>
    <col min="11021" max="11021" width="8.6640625" style="530" bestFit="1" customWidth="1"/>
    <col min="11022" max="11022" width="8.109375" style="530" customWidth="1"/>
    <col min="11023" max="11023" width="10" style="530" customWidth="1"/>
    <col min="11024" max="11026" width="8.44140625" style="530" customWidth="1"/>
    <col min="11027" max="11027" width="9" style="530" customWidth="1"/>
    <col min="11028" max="11028" width="7.44140625" style="530" customWidth="1"/>
    <col min="11029" max="11030" width="7" style="530" customWidth="1"/>
    <col min="11031" max="11031" width="6.5546875" style="530" customWidth="1"/>
    <col min="11032" max="11032" width="5.44140625" style="530" customWidth="1"/>
    <col min="11033" max="11033" width="5.109375" style="530" customWidth="1"/>
    <col min="11034" max="11034" width="4.88671875" style="530" customWidth="1"/>
    <col min="11035" max="11035" width="5.5546875" style="530" customWidth="1"/>
    <col min="11036" max="11036" width="6" style="530" customWidth="1"/>
    <col min="11037" max="11039" width="8.44140625" style="530" customWidth="1"/>
    <col min="11040" max="11040" width="8" style="530" customWidth="1"/>
    <col min="11041" max="11264" width="9.109375" style="530"/>
    <col min="11265" max="11265" width="6.44140625" style="530" customWidth="1"/>
    <col min="11266" max="11266" width="14.5546875" style="530" bestFit="1" customWidth="1"/>
    <col min="11267" max="11267" width="13.109375" style="530" customWidth="1"/>
    <col min="11268" max="11268" width="13.6640625" style="530" customWidth="1"/>
    <col min="11269" max="11269" width="16.6640625" style="530" customWidth="1"/>
    <col min="11270" max="11270" width="19" style="530" customWidth="1"/>
    <col min="11271" max="11271" width="16.88671875" style="530" customWidth="1"/>
    <col min="11272" max="11272" width="8.6640625" style="530" customWidth="1"/>
    <col min="11273" max="11273" width="9.33203125" style="530" customWidth="1"/>
    <col min="11274" max="11274" width="12" style="530" customWidth="1"/>
    <col min="11275" max="11275" width="34.5546875" style="530" customWidth="1"/>
    <col min="11276" max="11276" width="19.33203125" style="530" customWidth="1"/>
    <col min="11277" max="11277" width="8.6640625" style="530" bestFit="1" customWidth="1"/>
    <col min="11278" max="11278" width="8.109375" style="530" customWidth="1"/>
    <col min="11279" max="11279" width="10" style="530" customWidth="1"/>
    <col min="11280" max="11282" width="8.44140625" style="530" customWidth="1"/>
    <col min="11283" max="11283" width="9" style="530" customWidth="1"/>
    <col min="11284" max="11284" width="7.44140625" style="530" customWidth="1"/>
    <col min="11285" max="11286" width="7" style="530" customWidth="1"/>
    <col min="11287" max="11287" width="6.5546875" style="530" customWidth="1"/>
    <col min="11288" max="11288" width="5.44140625" style="530" customWidth="1"/>
    <col min="11289" max="11289" width="5.109375" style="530" customWidth="1"/>
    <col min="11290" max="11290" width="4.88671875" style="530" customWidth="1"/>
    <col min="11291" max="11291" width="5.5546875" style="530" customWidth="1"/>
    <col min="11292" max="11292" width="6" style="530" customWidth="1"/>
    <col min="11293" max="11295" width="8.44140625" style="530" customWidth="1"/>
    <col min="11296" max="11296" width="8" style="530" customWidth="1"/>
    <col min="11297" max="11520" width="9.109375" style="530"/>
    <col min="11521" max="11521" width="6.44140625" style="530" customWidth="1"/>
    <col min="11522" max="11522" width="14.5546875" style="530" bestFit="1" customWidth="1"/>
    <col min="11523" max="11523" width="13.109375" style="530" customWidth="1"/>
    <col min="11524" max="11524" width="13.6640625" style="530" customWidth="1"/>
    <col min="11525" max="11525" width="16.6640625" style="530" customWidth="1"/>
    <col min="11526" max="11526" width="19" style="530" customWidth="1"/>
    <col min="11527" max="11527" width="16.88671875" style="530" customWidth="1"/>
    <col min="11528" max="11528" width="8.6640625" style="530" customWidth="1"/>
    <col min="11529" max="11529" width="9.33203125" style="530" customWidth="1"/>
    <col min="11530" max="11530" width="12" style="530" customWidth="1"/>
    <col min="11531" max="11531" width="34.5546875" style="530" customWidth="1"/>
    <col min="11532" max="11532" width="19.33203125" style="530" customWidth="1"/>
    <col min="11533" max="11533" width="8.6640625" style="530" bestFit="1" customWidth="1"/>
    <col min="11534" max="11534" width="8.109375" style="530" customWidth="1"/>
    <col min="11535" max="11535" width="10" style="530" customWidth="1"/>
    <col min="11536" max="11538" width="8.44140625" style="530" customWidth="1"/>
    <col min="11539" max="11539" width="9" style="530" customWidth="1"/>
    <col min="11540" max="11540" width="7.44140625" style="530" customWidth="1"/>
    <col min="11541" max="11542" width="7" style="530" customWidth="1"/>
    <col min="11543" max="11543" width="6.5546875" style="530" customWidth="1"/>
    <col min="11544" max="11544" width="5.44140625" style="530" customWidth="1"/>
    <col min="11545" max="11545" width="5.109375" style="530" customWidth="1"/>
    <col min="11546" max="11546" width="4.88671875" style="530" customWidth="1"/>
    <col min="11547" max="11547" width="5.5546875" style="530" customWidth="1"/>
    <col min="11548" max="11548" width="6" style="530" customWidth="1"/>
    <col min="11549" max="11551" width="8.44140625" style="530" customWidth="1"/>
    <col min="11552" max="11552" width="8" style="530" customWidth="1"/>
    <col min="11553" max="11776" width="9.109375" style="530"/>
    <col min="11777" max="11777" width="6.44140625" style="530" customWidth="1"/>
    <col min="11778" max="11778" width="14.5546875" style="530" bestFit="1" customWidth="1"/>
    <col min="11779" max="11779" width="13.109375" style="530" customWidth="1"/>
    <col min="11780" max="11780" width="13.6640625" style="530" customWidth="1"/>
    <col min="11781" max="11781" width="16.6640625" style="530" customWidth="1"/>
    <col min="11782" max="11782" width="19" style="530" customWidth="1"/>
    <col min="11783" max="11783" width="16.88671875" style="530" customWidth="1"/>
    <col min="11784" max="11784" width="8.6640625" style="530" customWidth="1"/>
    <col min="11785" max="11785" width="9.33203125" style="530" customWidth="1"/>
    <col min="11786" max="11786" width="12" style="530" customWidth="1"/>
    <col min="11787" max="11787" width="34.5546875" style="530" customWidth="1"/>
    <col min="11788" max="11788" width="19.33203125" style="530" customWidth="1"/>
    <col min="11789" max="11789" width="8.6640625" style="530" bestFit="1" customWidth="1"/>
    <col min="11790" max="11790" width="8.109375" style="530" customWidth="1"/>
    <col min="11791" max="11791" width="10" style="530" customWidth="1"/>
    <col min="11792" max="11794" width="8.44140625" style="530" customWidth="1"/>
    <col min="11795" max="11795" width="9" style="530" customWidth="1"/>
    <col min="11796" max="11796" width="7.44140625" style="530" customWidth="1"/>
    <col min="11797" max="11798" width="7" style="530" customWidth="1"/>
    <col min="11799" max="11799" width="6.5546875" style="530" customWidth="1"/>
    <col min="11800" max="11800" width="5.44140625" style="530" customWidth="1"/>
    <col min="11801" max="11801" width="5.109375" style="530" customWidth="1"/>
    <col min="11802" max="11802" width="4.88671875" style="530" customWidth="1"/>
    <col min="11803" max="11803" width="5.5546875" style="530" customWidth="1"/>
    <col min="11804" max="11804" width="6" style="530" customWidth="1"/>
    <col min="11805" max="11807" width="8.44140625" style="530" customWidth="1"/>
    <col min="11808" max="11808" width="8" style="530" customWidth="1"/>
    <col min="11809" max="12032" width="9.109375" style="530"/>
    <col min="12033" max="12033" width="6.44140625" style="530" customWidth="1"/>
    <col min="12034" max="12034" width="14.5546875" style="530" bestFit="1" customWidth="1"/>
    <col min="12035" max="12035" width="13.109375" style="530" customWidth="1"/>
    <col min="12036" max="12036" width="13.6640625" style="530" customWidth="1"/>
    <col min="12037" max="12037" width="16.6640625" style="530" customWidth="1"/>
    <col min="12038" max="12038" width="19" style="530" customWidth="1"/>
    <col min="12039" max="12039" width="16.88671875" style="530" customWidth="1"/>
    <col min="12040" max="12040" width="8.6640625" style="530" customWidth="1"/>
    <col min="12041" max="12041" width="9.33203125" style="530" customWidth="1"/>
    <col min="12042" max="12042" width="12" style="530" customWidth="1"/>
    <col min="12043" max="12043" width="34.5546875" style="530" customWidth="1"/>
    <col min="12044" max="12044" width="19.33203125" style="530" customWidth="1"/>
    <col min="12045" max="12045" width="8.6640625" style="530" bestFit="1" customWidth="1"/>
    <col min="12046" max="12046" width="8.109375" style="530" customWidth="1"/>
    <col min="12047" max="12047" width="10" style="530" customWidth="1"/>
    <col min="12048" max="12050" width="8.44140625" style="530" customWidth="1"/>
    <col min="12051" max="12051" width="9" style="530" customWidth="1"/>
    <col min="12052" max="12052" width="7.44140625" style="530" customWidth="1"/>
    <col min="12053" max="12054" width="7" style="530" customWidth="1"/>
    <col min="12055" max="12055" width="6.5546875" style="530" customWidth="1"/>
    <col min="12056" max="12056" width="5.44140625" style="530" customWidth="1"/>
    <col min="12057" max="12057" width="5.109375" style="530" customWidth="1"/>
    <col min="12058" max="12058" width="4.88671875" style="530" customWidth="1"/>
    <col min="12059" max="12059" width="5.5546875" style="530" customWidth="1"/>
    <col min="12060" max="12060" width="6" style="530" customWidth="1"/>
    <col min="12061" max="12063" width="8.44140625" style="530" customWidth="1"/>
    <col min="12064" max="12064" width="8" style="530" customWidth="1"/>
    <col min="12065" max="12288" width="9.109375" style="530"/>
    <col min="12289" max="12289" width="6.44140625" style="530" customWidth="1"/>
    <col min="12290" max="12290" width="14.5546875" style="530" bestFit="1" customWidth="1"/>
    <col min="12291" max="12291" width="13.109375" style="530" customWidth="1"/>
    <col min="12292" max="12292" width="13.6640625" style="530" customWidth="1"/>
    <col min="12293" max="12293" width="16.6640625" style="530" customWidth="1"/>
    <col min="12294" max="12294" width="19" style="530" customWidth="1"/>
    <col min="12295" max="12295" width="16.88671875" style="530" customWidth="1"/>
    <col min="12296" max="12296" width="8.6640625" style="530" customWidth="1"/>
    <col min="12297" max="12297" width="9.33203125" style="530" customWidth="1"/>
    <col min="12298" max="12298" width="12" style="530" customWidth="1"/>
    <col min="12299" max="12299" width="34.5546875" style="530" customWidth="1"/>
    <col min="12300" max="12300" width="19.33203125" style="530" customWidth="1"/>
    <col min="12301" max="12301" width="8.6640625" style="530" bestFit="1" customWidth="1"/>
    <col min="12302" max="12302" width="8.109375" style="530" customWidth="1"/>
    <col min="12303" max="12303" width="10" style="530" customWidth="1"/>
    <col min="12304" max="12306" width="8.44140625" style="530" customWidth="1"/>
    <col min="12307" max="12307" width="9" style="530" customWidth="1"/>
    <col min="12308" max="12308" width="7.44140625" style="530" customWidth="1"/>
    <col min="12309" max="12310" width="7" style="530" customWidth="1"/>
    <col min="12311" max="12311" width="6.5546875" style="530" customWidth="1"/>
    <col min="12312" max="12312" width="5.44140625" style="530" customWidth="1"/>
    <col min="12313" max="12313" width="5.109375" style="530" customWidth="1"/>
    <col min="12314" max="12314" width="4.88671875" style="530" customWidth="1"/>
    <col min="12315" max="12315" width="5.5546875" style="530" customWidth="1"/>
    <col min="12316" max="12316" width="6" style="530" customWidth="1"/>
    <col min="12317" max="12319" width="8.44140625" style="530" customWidth="1"/>
    <col min="12320" max="12320" width="8" style="530" customWidth="1"/>
    <col min="12321" max="12544" width="9.109375" style="530"/>
    <col min="12545" max="12545" width="6.44140625" style="530" customWidth="1"/>
    <col min="12546" max="12546" width="14.5546875" style="530" bestFit="1" customWidth="1"/>
    <col min="12547" max="12547" width="13.109375" style="530" customWidth="1"/>
    <col min="12548" max="12548" width="13.6640625" style="530" customWidth="1"/>
    <col min="12549" max="12549" width="16.6640625" style="530" customWidth="1"/>
    <col min="12550" max="12550" width="19" style="530" customWidth="1"/>
    <col min="12551" max="12551" width="16.88671875" style="530" customWidth="1"/>
    <col min="12552" max="12552" width="8.6640625" style="530" customWidth="1"/>
    <col min="12553" max="12553" width="9.33203125" style="530" customWidth="1"/>
    <col min="12554" max="12554" width="12" style="530" customWidth="1"/>
    <col min="12555" max="12555" width="34.5546875" style="530" customWidth="1"/>
    <col min="12556" max="12556" width="19.33203125" style="530" customWidth="1"/>
    <col min="12557" max="12557" width="8.6640625" style="530" bestFit="1" customWidth="1"/>
    <col min="12558" max="12558" width="8.109375" style="530" customWidth="1"/>
    <col min="12559" max="12559" width="10" style="530" customWidth="1"/>
    <col min="12560" max="12562" width="8.44140625" style="530" customWidth="1"/>
    <col min="12563" max="12563" width="9" style="530" customWidth="1"/>
    <col min="12564" max="12564" width="7.44140625" style="530" customWidth="1"/>
    <col min="12565" max="12566" width="7" style="530" customWidth="1"/>
    <col min="12567" max="12567" width="6.5546875" style="530" customWidth="1"/>
    <col min="12568" max="12568" width="5.44140625" style="530" customWidth="1"/>
    <col min="12569" max="12569" width="5.109375" style="530" customWidth="1"/>
    <col min="12570" max="12570" width="4.88671875" style="530" customWidth="1"/>
    <col min="12571" max="12571" width="5.5546875" style="530" customWidth="1"/>
    <col min="12572" max="12572" width="6" style="530" customWidth="1"/>
    <col min="12573" max="12575" width="8.44140625" style="530" customWidth="1"/>
    <col min="12576" max="12576" width="8" style="530" customWidth="1"/>
    <col min="12577" max="12800" width="9.109375" style="530"/>
    <col min="12801" max="12801" width="6.44140625" style="530" customWidth="1"/>
    <col min="12802" max="12802" width="14.5546875" style="530" bestFit="1" customWidth="1"/>
    <col min="12803" max="12803" width="13.109375" style="530" customWidth="1"/>
    <col min="12804" max="12804" width="13.6640625" style="530" customWidth="1"/>
    <col min="12805" max="12805" width="16.6640625" style="530" customWidth="1"/>
    <col min="12806" max="12806" width="19" style="530" customWidth="1"/>
    <col min="12807" max="12807" width="16.88671875" style="530" customWidth="1"/>
    <col min="12808" max="12808" width="8.6640625" style="530" customWidth="1"/>
    <col min="12809" max="12809" width="9.33203125" style="530" customWidth="1"/>
    <col min="12810" max="12810" width="12" style="530" customWidth="1"/>
    <col min="12811" max="12811" width="34.5546875" style="530" customWidth="1"/>
    <col min="12812" max="12812" width="19.33203125" style="530" customWidth="1"/>
    <col min="12813" max="12813" width="8.6640625" style="530" bestFit="1" customWidth="1"/>
    <col min="12814" max="12814" width="8.109375" style="530" customWidth="1"/>
    <col min="12815" max="12815" width="10" style="530" customWidth="1"/>
    <col min="12816" max="12818" width="8.44140625" style="530" customWidth="1"/>
    <col min="12819" max="12819" width="9" style="530" customWidth="1"/>
    <col min="12820" max="12820" width="7.44140625" style="530" customWidth="1"/>
    <col min="12821" max="12822" width="7" style="530" customWidth="1"/>
    <col min="12823" max="12823" width="6.5546875" style="530" customWidth="1"/>
    <col min="12824" max="12824" width="5.44140625" style="530" customWidth="1"/>
    <col min="12825" max="12825" width="5.109375" style="530" customWidth="1"/>
    <col min="12826" max="12826" width="4.88671875" style="530" customWidth="1"/>
    <col min="12827" max="12827" width="5.5546875" style="530" customWidth="1"/>
    <col min="12828" max="12828" width="6" style="530" customWidth="1"/>
    <col min="12829" max="12831" width="8.44140625" style="530" customWidth="1"/>
    <col min="12832" max="12832" width="8" style="530" customWidth="1"/>
    <col min="12833" max="13056" width="9.109375" style="530"/>
    <col min="13057" max="13057" width="6.44140625" style="530" customWidth="1"/>
    <col min="13058" max="13058" width="14.5546875" style="530" bestFit="1" customWidth="1"/>
    <col min="13059" max="13059" width="13.109375" style="530" customWidth="1"/>
    <col min="13060" max="13060" width="13.6640625" style="530" customWidth="1"/>
    <col min="13061" max="13061" width="16.6640625" style="530" customWidth="1"/>
    <col min="13062" max="13062" width="19" style="530" customWidth="1"/>
    <col min="13063" max="13063" width="16.88671875" style="530" customWidth="1"/>
    <col min="13064" max="13064" width="8.6640625" style="530" customWidth="1"/>
    <col min="13065" max="13065" width="9.33203125" style="530" customWidth="1"/>
    <col min="13066" max="13066" width="12" style="530" customWidth="1"/>
    <col min="13067" max="13067" width="34.5546875" style="530" customWidth="1"/>
    <col min="13068" max="13068" width="19.33203125" style="530" customWidth="1"/>
    <col min="13069" max="13069" width="8.6640625" style="530" bestFit="1" customWidth="1"/>
    <col min="13070" max="13070" width="8.109375" style="530" customWidth="1"/>
    <col min="13071" max="13071" width="10" style="530" customWidth="1"/>
    <col min="13072" max="13074" width="8.44140625" style="530" customWidth="1"/>
    <col min="13075" max="13075" width="9" style="530" customWidth="1"/>
    <col min="13076" max="13076" width="7.44140625" style="530" customWidth="1"/>
    <col min="13077" max="13078" width="7" style="530" customWidth="1"/>
    <col min="13079" max="13079" width="6.5546875" style="530" customWidth="1"/>
    <col min="13080" max="13080" width="5.44140625" style="530" customWidth="1"/>
    <col min="13081" max="13081" width="5.109375" style="530" customWidth="1"/>
    <col min="13082" max="13082" width="4.88671875" style="530" customWidth="1"/>
    <col min="13083" max="13083" width="5.5546875" style="530" customWidth="1"/>
    <col min="13084" max="13084" width="6" style="530" customWidth="1"/>
    <col min="13085" max="13087" width="8.44140625" style="530" customWidth="1"/>
    <col min="13088" max="13088" width="8" style="530" customWidth="1"/>
    <col min="13089" max="13312" width="9.109375" style="530"/>
    <col min="13313" max="13313" width="6.44140625" style="530" customWidth="1"/>
    <col min="13314" max="13314" width="14.5546875" style="530" bestFit="1" customWidth="1"/>
    <col min="13315" max="13315" width="13.109375" style="530" customWidth="1"/>
    <col min="13316" max="13316" width="13.6640625" style="530" customWidth="1"/>
    <col min="13317" max="13317" width="16.6640625" style="530" customWidth="1"/>
    <col min="13318" max="13318" width="19" style="530" customWidth="1"/>
    <col min="13319" max="13319" width="16.88671875" style="530" customWidth="1"/>
    <col min="13320" max="13320" width="8.6640625" style="530" customWidth="1"/>
    <col min="13321" max="13321" width="9.33203125" style="530" customWidth="1"/>
    <col min="13322" max="13322" width="12" style="530" customWidth="1"/>
    <col min="13323" max="13323" width="34.5546875" style="530" customWidth="1"/>
    <col min="13324" max="13324" width="19.33203125" style="530" customWidth="1"/>
    <col min="13325" max="13325" width="8.6640625" style="530" bestFit="1" customWidth="1"/>
    <col min="13326" max="13326" width="8.109375" style="530" customWidth="1"/>
    <col min="13327" max="13327" width="10" style="530" customWidth="1"/>
    <col min="13328" max="13330" width="8.44140625" style="530" customWidth="1"/>
    <col min="13331" max="13331" width="9" style="530" customWidth="1"/>
    <col min="13332" max="13332" width="7.44140625" style="530" customWidth="1"/>
    <col min="13333" max="13334" width="7" style="530" customWidth="1"/>
    <col min="13335" max="13335" width="6.5546875" style="530" customWidth="1"/>
    <col min="13336" max="13336" width="5.44140625" style="530" customWidth="1"/>
    <col min="13337" max="13337" width="5.109375" style="530" customWidth="1"/>
    <col min="13338" max="13338" width="4.88671875" style="530" customWidth="1"/>
    <col min="13339" max="13339" width="5.5546875" style="530" customWidth="1"/>
    <col min="13340" max="13340" width="6" style="530" customWidth="1"/>
    <col min="13341" max="13343" width="8.44140625" style="530" customWidth="1"/>
    <col min="13344" max="13344" width="8" style="530" customWidth="1"/>
    <col min="13345" max="13568" width="9.109375" style="530"/>
    <col min="13569" max="13569" width="6.44140625" style="530" customWidth="1"/>
    <col min="13570" max="13570" width="14.5546875" style="530" bestFit="1" customWidth="1"/>
    <col min="13571" max="13571" width="13.109375" style="530" customWidth="1"/>
    <col min="13572" max="13572" width="13.6640625" style="530" customWidth="1"/>
    <col min="13573" max="13573" width="16.6640625" style="530" customWidth="1"/>
    <col min="13574" max="13574" width="19" style="530" customWidth="1"/>
    <col min="13575" max="13575" width="16.88671875" style="530" customWidth="1"/>
    <col min="13576" max="13576" width="8.6640625" style="530" customWidth="1"/>
    <col min="13577" max="13577" width="9.33203125" style="530" customWidth="1"/>
    <col min="13578" max="13578" width="12" style="530" customWidth="1"/>
    <col min="13579" max="13579" width="34.5546875" style="530" customWidth="1"/>
    <col min="13580" max="13580" width="19.33203125" style="530" customWidth="1"/>
    <col min="13581" max="13581" width="8.6640625" style="530" bestFit="1" customWidth="1"/>
    <col min="13582" max="13582" width="8.109375" style="530" customWidth="1"/>
    <col min="13583" max="13583" width="10" style="530" customWidth="1"/>
    <col min="13584" max="13586" width="8.44140625" style="530" customWidth="1"/>
    <col min="13587" max="13587" width="9" style="530" customWidth="1"/>
    <col min="13588" max="13588" width="7.44140625" style="530" customWidth="1"/>
    <col min="13589" max="13590" width="7" style="530" customWidth="1"/>
    <col min="13591" max="13591" width="6.5546875" style="530" customWidth="1"/>
    <col min="13592" max="13592" width="5.44140625" style="530" customWidth="1"/>
    <col min="13593" max="13593" width="5.109375" style="530" customWidth="1"/>
    <col min="13594" max="13594" width="4.88671875" style="530" customWidth="1"/>
    <col min="13595" max="13595" width="5.5546875" style="530" customWidth="1"/>
    <col min="13596" max="13596" width="6" style="530" customWidth="1"/>
    <col min="13597" max="13599" width="8.44140625" style="530" customWidth="1"/>
    <col min="13600" max="13600" width="8" style="530" customWidth="1"/>
    <col min="13601" max="13824" width="9.109375" style="530"/>
    <col min="13825" max="13825" width="6.44140625" style="530" customWidth="1"/>
    <col min="13826" max="13826" width="14.5546875" style="530" bestFit="1" customWidth="1"/>
    <col min="13827" max="13827" width="13.109375" style="530" customWidth="1"/>
    <col min="13828" max="13828" width="13.6640625" style="530" customWidth="1"/>
    <col min="13829" max="13829" width="16.6640625" style="530" customWidth="1"/>
    <col min="13830" max="13830" width="19" style="530" customWidth="1"/>
    <col min="13831" max="13831" width="16.88671875" style="530" customWidth="1"/>
    <col min="13832" max="13832" width="8.6640625" style="530" customWidth="1"/>
    <col min="13833" max="13833" width="9.33203125" style="530" customWidth="1"/>
    <col min="13834" max="13834" width="12" style="530" customWidth="1"/>
    <col min="13835" max="13835" width="34.5546875" style="530" customWidth="1"/>
    <col min="13836" max="13836" width="19.33203125" style="530" customWidth="1"/>
    <col min="13837" max="13837" width="8.6640625" style="530" bestFit="1" customWidth="1"/>
    <col min="13838" max="13838" width="8.109375" style="530" customWidth="1"/>
    <col min="13839" max="13839" width="10" style="530" customWidth="1"/>
    <col min="13840" max="13842" width="8.44140625" style="530" customWidth="1"/>
    <col min="13843" max="13843" width="9" style="530" customWidth="1"/>
    <col min="13844" max="13844" width="7.44140625" style="530" customWidth="1"/>
    <col min="13845" max="13846" width="7" style="530" customWidth="1"/>
    <col min="13847" max="13847" width="6.5546875" style="530" customWidth="1"/>
    <col min="13848" max="13848" width="5.44140625" style="530" customWidth="1"/>
    <col min="13849" max="13849" width="5.109375" style="530" customWidth="1"/>
    <col min="13850" max="13850" width="4.88671875" style="530" customWidth="1"/>
    <col min="13851" max="13851" width="5.5546875" style="530" customWidth="1"/>
    <col min="13852" max="13852" width="6" style="530" customWidth="1"/>
    <col min="13853" max="13855" width="8.44140625" style="530" customWidth="1"/>
    <col min="13856" max="13856" width="8" style="530" customWidth="1"/>
    <col min="13857" max="14080" width="9.109375" style="530"/>
    <col min="14081" max="14081" width="6.44140625" style="530" customWidth="1"/>
    <col min="14082" max="14082" width="14.5546875" style="530" bestFit="1" customWidth="1"/>
    <col min="14083" max="14083" width="13.109375" style="530" customWidth="1"/>
    <col min="14084" max="14084" width="13.6640625" style="530" customWidth="1"/>
    <col min="14085" max="14085" width="16.6640625" style="530" customWidth="1"/>
    <col min="14086" max="14086" width="19" style="530" customWidth="1"/>
    <col min="14087" max="14087" width="16.88671875" style="530" customWidth="1"/>
    <col min="14088" max="14088" width="8.6640625" style="530" customWidth="1"/>
    <col min="14089" max="14089" width="9.33203125" style="530" customWidth="1"/>
    <col min="14090" max="14090" width="12" style="530" customWidth="1"/>
    <col min="14091" max="14091" width="34.5546875" style="530" customWidth="1"/>
    <col min="14092" max="14092" width="19.33203125" style="530" customWidth="1"/>
    <col min="14093" max="14093" width="8.6640625" style="530" bestFit="1" customWidth="1"/>
    <col min="14094" max="14094" width="8.109375" style="530" customWidth="1"/>
    <col min="14095" max="14095" width="10" style="530" customWidth="1"/>
    <col min="14096" max="14098" width="8.44140625" style="530" customWidth="1"/>
    <col min="14099" max="14099" width="9" style="530" customWidth="1"/>
    <col min="14100" max="14100" width="7.44140625" style="530" customWidth="1"/>
    <col min="14101" max="14102" width="7" style="530" customWidth="1"/>
    <col min="14103" max="14103" width="6.5546875" style="530" customWidth="1"/>
    <col min="14104" max="14104" width="5.44140625" style="530" customWidth="1"/>
    <col min="14105" max="14105" width="5.109375" style="530" customWidth="1"/>
    <col min="14106" max="14106" width="4.88671875" style="530" customWidth="1"/>
    <col min="14107" max="14107" width="5.5546875" style="530" customWidth="1"/>
    <col min="14108" max="14108" width="6" style="530" customWidth="1"/>
    <col min="14109" max="14111" width="8.44140625" style="530" customWidth="1"/>
    <col min="14112" max="14112" width="8" style="530" customWidth="1"/>
    <col min="14113" max="14336" width="9.109375" style="530"/>
    <col min="14337" max="14337" width="6.44140625" style="530" customWidth="1"/>
    <col min="14338" max="14338" width="14.5546875" style="530" bestFit="1" customWidth="1"/>
    <col min="14339" max="14339" width="13.109375" style="530" customWidth="1"/>
    <col min="14340" max="14340" width="13.6640625" style="530" customWidth="1"/>
    <col min="14341" max="14341" width="16.6640625" style="530" customWidth="1"/>
    <col min="14342" max="14342" width="19" style="530" customWidth="1"/>
    <col min="14343" max="14343" width="16.88671875" style="530" customWidth="1"/>
    <col min="14344" max="14344" width="8.6640625" style="530" customWidth="1"/>
    <col min="14345" max="14345" width="9.33203125" style="530" customWidth="1"/>
    <col min="14346" max="14346" width="12" style="530" customWidth="1"/>
    <col min="14347" max="14347" width="34.5546875" style="530" customWidth="1"/>
    <col min="14348" max="14348" width="19.33203125" style="530" customWidth="1"/>
    <col min="14349" max="14349" width="8.6640625" style="530" bestFit="1" customWidth="1"/>
    <col min="14350" max="14350" width="8.109375" style="530" customWidth="1"/>
    <col min="14351" max="14351" width="10" style="530" customWidth="1"/>
    <col min="14352" max="14354" width="8.44140625" style="530" customWidth="1"/>
    <col min="14355" max="14355" width="9" style="530" customWidth="1"/>
    <col min="14356" max="14356" width="7.44140625" style="530" customWidth="1"/>
    <col min="14357" max="14358" width="7" style="530" customWidth="1"/>
    <col min="14359" max="14359" width="6.5546875" style="530" customWidth="1"/>
    <col min="14360" max="14360" width="5.44140625" style="530" customWidth="1"/>
    <col min="14361" max="14361" width="5.109375" style="530" customWidth="1"/>
    <col min="14362" max="14362" width="4.88671875" style="530" customWidth="1"/>
    <col min="14363" max="14363" width="5.5546875" style="530" customWidth="1"/>
    <col min="14364" max="14364" width="6" style="530" customWidth="1"/>
    <col min="14365" max="14367" width="8.44140625" style="530" customWidth="1"/>
    <col min="14368" max="14368" width="8" style="530" customWidth="1"/>
    <col min="14369" max="14592" width="9.109375" style="530"/>
    <col min="14593" max="14593" width="6.44140625" style="530" customWidth="1"/>
    <col min="14594" max="14594" width="14.5546875" style="530" bestFit="1" customWidth="1"/>
    <col min="14595" max="14595" width="13.109375" style="530" customWidth="1"/>
    <col min="14596" max="14596" width="13.6640625" style="530" customWidth="1"/>
    <col min="14597" max="14597" width="16.6640625" style="530" customWidth="1"/>
    <col min="14598" max="14598" width="19" style="530" customWidth="1"/>
    <col min="14599" max="14599" width="16.88671875" style="530" customWidth="1"/>
    <col min="14600" max="14600" width="8.6640625" style="530" customWidth="1"/>
    <col min="14601" max="14601" width="9.33203125" style="530" customWidth="1"/>
    <col min="14602" max="14602" width="12" style="530" customWidth="1"/>
    <col min="14603" max="14603" width="34.5546875" style="530" customWidth="1"/>
    <col min="14604" max="14604" width="19.33203125" style="530" customWidth="1"/>
    <col min="14605" max="14605" width="8.6640625" style="530" bestFit="1" customWidth="1"/>
    <col min="14606" max="14606" width="8.109375" style="530" customWidth="1"/>
    <col min="14607" max="14607" width="10" style="530" customWidth="1"/>
    <col min="14608" max="14610" width="8.44140625" style="530" customWidth="1"/>
    <col min="14611" max="14611" width="9" style="530" customWidth="1"/>
    <col min="14612" max="14612" width="7.44140625" style="530" customWidth="1"/>
    <col min="14613" max="14614" width="7" style="530" customWidth="1"/>
    <col min="14615" max="14615" width="6.5546875" style="530" customWidth="1"/>
    <col min="14616" max="14616" width="5.44140625" style="530" customWidth="1"/>
    <col min="14617" max="14617" width="5.109375" style="530" customWidth="1"/>
    <col min="14618" max="14618" width="4.88671875" style="530" customWidth="1"/>
    <col min="14619" max="14619" width="5.5546875" style="530" customWidth="1"/>
    <col min="14620" max="14620" width="6" style="530" customWidth="1"/>
    <col min="14621" max="14623" width="8.44140625" style="530" customWidth="1"/>
    <col min="14624" max="14624" width="8" style="530" customWidth="1"/>
    <col min="14625" max="14848" width="9.109375" style="530"/>
    <col min="14849" max="14849" width="6.44140625" style="530" customWidth="1"/>
    <col min="14850" max="14850" width="14.5546875" style="530" bestFit="1" customWidth="1"/>
    <col min="14851" max="14851" width="13.109375" style="530" customWidth="1"/>
    <col min="14852" max="14852" width="13.6640625" style="530" customWidth="1"/>
    <col min="14853" max="14853" width="16.6640625" style="530" customWidth="1"/>
    <col min="14854" max="14854" width="19" style="530" customWidth="1"/>
    <col min="14855" max="14855" width="16.88671875" style="530" customWidth="1"/>
    <col min="14856" max="14856" width="8.6640625" style="530" customWidth="1"/>
    <col min="14857" max="14857" width="9.33203125" style="530" customWidth="1"/>
    <col min="14858" max="14858" width="12" style="530" customWidth="1"/>
    <col min="14859" max="14859" width="34.5546875" style="530" customWidth="1"/>
    <col min="14860" max="14860" width="19.33203125" style="530" customWidth="1"/>
    <col min="14861" max="14861" width="8.6640625" style="530" bestFit="1" customWidth="1"/>
    <col min="14862" max="14862" width="8.109375" style="530" customWidth="1"/>
    <col min="14863" max="14863" width="10" style="530" customWidth="1"/>
    <col min="14864" max="14866" width="8.44140625" style="530" customWidth="1"/>
    <col min="14867" max="14867" width="9" style="530" customWidth="1"/>
    <col min="14868" max="14868" width="7.44140625" style="530" customWidth="1"/>
    <col min="14869" max="14870" width="7" style="530" customWidth="1"/>
    <col min="14871" max="14871" width="6.5546875" style="530" customWidth="1"/>
    <col min="14872" max="14872" width="5.44140625" style="530" customWidth="1"/>
    <col min="14873" max="14873" width="5.109375" style="530" customWidth="1"/>
    <col min="14874" max="14874" width="4.88671875" style="530" customWidth="1"/>
    <col min="14875" max="14875" width="5.5546875" style="530" customWidth="1"/>
    <col min="14876" max="14876" width="6" style="530" customWidth="1"/>
    <col min="14877" max="14879" width="8.44140625" style="530" customWidth="1"/>
    <col min="14880" max="14880" width="8" style="530" customWidth="1"/>
    <col min="14881" max="15104" width="9.109375" style="530"/>
    <col min="15105" max="15105" width="6.44140625" style="530" customWidth="1"/>
    <col min="15106" max="15106" width="14.5546875" style="530" bestFit="1" customWidth="1"/>
    <col min="15107" max="15107" width="13.109375" style="530" customWidth="1"/>
    <col min="15108" max="15108" width="13.6640625" style="530" customWidth="1"/>
    <col min="15109" max="15109" width="16.6640625" style="530" customWidth="1"/>
    <col min="15110" max="15110" width="19" style="530" customWidth="1"/>
    <col min="15111" max="15111" width="16.88671875" style="530" customWidth="1"/>
    <col min="15112" max="15112" width="8.6640625" style="530" customWidth="1"/>
    <col min="15113" max="15113" width="9.33203125" style="530" customWidth="1"/>
    <col min="15114" max="15114" width="12" style="530" customWidth="1"/>
    <col min="15115" max="15115" width="34.5546875" style="530" customWidth="1"/>
    <col min="15116" max="15116" width="19.33203125" style="530" customWidth="1"/>
    <col min="15117" max="15117" width="8.6640625" style="530" bestFit="1" customWidth="1"/>
    <col min="15118" max="15118" width="8.109375" style="530" customWidth="1"/>
    <col min="15119" max="15119" width="10" style="530" customWidth="1"/>
    <col min="15120" max="15122" width="8.44140625" style="530" customWidth="1"/>
    <col min="15123" max="15123" width="9" style="530" customWidth="1"/>
    <col min="15124" max="15124" width="7.44140625" style="530" customWidth="1"/>
    <col min="15125" max="15126" width="7" style="530" customWidth="1"/>
    <col min="15127" max="15127" width="6.5546875" style="530" customWidth="1"/>
    <col min="15128" max="15128" width="5.44140625" style="530" customWidth="1"/>
    <col min="15129" max="15129" width="5.109375" style="530" customWidth="1"/>
    <col min="15130" max="15130" width="4.88671875" style="530" customWidth="1"/>
    <col min="15131" max="15131" width="5.5546875" style="530" customWidth="1"/>
    <col min="15132" max="15132" width="6" style="530" customWidth="1"/>
    <col min="15133" max="15135" width="8.44140625" style="530" customWidth="1"/>
    <col min="15136" max="15136" width="8" style="530" customWidth="1"/>
    <col min="15137" max="15360" width="9.109375" style="530"/>
    <col min="15361" max="15361" width="6.44140625" style="530" customWidth="1"/>
    <col min="15362" max="15362" width="14.5546875" style="530" bestFit="1" customWidth="1"/>
    <col min="15363" max="15363" width="13.109375" style="530" customWidth="1"/>
    <col min="15364" max="15364" width="13.6640625" style="530" customWidth="1"/>
    <col min="15365" max="15365" width="16.6640625" style="530" customWidth="1"/>
    <col min="15366" max="15366" width="19" style="530" customWidth="1"/>
    <col min="15367" max="15367" width="16.88671875" style="530" customWidth="1"/>
    <col min="15368" max="15368" width="8.6640625" style="530" customWidth="1"/>
    <col min="15369" max="15369" width="9.33203125" style="530" customWidth="1"/>
    <col min="15370" max="15370" width="12" style="530" customWidth="1"/>
    <col min="15371" max="15371" width="34.5546875" style="530" customWidth="1"/>
    <col min="15372" max="15372" width="19.33203125" style="530" customWidth="1"/>
    <col min="15373" max="15373" width="8.6640625" style="530" bestFit="1" customWidth="1"/>
    <col min="15374" max="15374" width="8.109375" style="530" customWidth="1"/>
    <col min="15375" max="15375" width="10" style="530" customWidth="1"/>
    <col min="15376" max="15378" width="8.44140625" style="530" customWidth="1"/>
    <col min="15379" max="15379" width="9" style="530" customWidth="1"/>
    <col min="15380" max="15380" width="7.44140625" style="530" customWidth="1"/>
    <col min="15381" max="15382" width="7" style="530" customWidth="1"/>
    <col min="15383" max="15383" width="6.5546875" style="530" customWidth="1"/>
    <col min="15384" max="15384" width="5.44140625" style="530" customWidth="1"/>
    <col min="15385" max="15385" width="5.109375" style="530" customWidth="1"/>
    <col min="15386" max="15386" width="4.88671875" style="530" customWidth="1"/>
    <col min="15387" max="15387" width="5.5546875" style="530" customWidth="1"/>
    <col min="15388" max="15388" width="6" style="530" customWidth="1"/>
    <col min="15389" max="15391" width="8.44140625" style="530" customWidth="1"/>
    <col min="15392" max="15392" width="8" style="530" customWidth="1"/>
    <col min="15393" max="15616" width="9.109375" style="530"/>
    <col min="15617" max="15617" width="6.44140625" style="530" customWidth="1"/>
    <col min="15618" max="15618" width="14.5546875" style="530" bestFit="1" customWidth="1"/>
    <col min="15619" max="15619" width="13.109375" style="530" customWidth="1"/>
    <col min="15620" max="15620" width="13.6640625" style="530" customWidth="1"/>
    <col min="15621" max="15621" width="16.6640625" style="530" customWidth="1"/>
    <col min="15622" max="15622" width="19" style="530" customWidth="1"/>
    <col min="15623" max="15623" width="16.88671875" style="530" customWidth="1"/>
    <col min="15624" max="15624" width="8.6640625" style="530" customWidth="1"/>
    <col min="15625" max="15625" width="9.33203125" style="530" customWidth="1"/>
    <col min="15626" max="15626" width="12" style="530" customWidth="1"/>
    <col min="15627" max="15627" width="34.5546875" style="530" customWidth="1"/>
    <col min="15628" max="15628" width="19.33203125" style="530" customWidth="1"/>
    <col min="15629" max="15629" width="8.6640625" style="530" bestFit="1" customWidth="1"/>
    <col min="15630" max="15630" width="8.109375" style="530" customWidth="1"/>
    <col min="15631" max="15631" width="10" style="530" customWidth="1"/>
    <col min="15632" max="15634" width="8.44140625" style="530" customWidth="1"/>
    <col min="15635" max="15635" width="9" style="530" customWidth="1"/>
    <col min="15636" max="15636" width="7.44140625" style="530" customWidth="1"/>
    <col min="15637" max="15638" width="7" style="530" customWidth="1"/>
    <col min="15639" max="15639" width="6.5546875" style="530" customWidth="1"/>
    <col min="15640" max="15640" width="5.44140625" style="530" customWidth="1"/>
    <col min="15641" max="15641" width="5.109375" style="530" customWidth="1"/>
    <col min="15642" max="15642" width="4.88671875" style="530" customWidth="1"/>
    <col min="15643" max="15643" width="5.5546875" style="530" customWidth="1"/>
    <col min="15644" max="15644" width="6" style="530" customWidth="1"/>
    <col min="15645" max="15647" width="8.44140625" style="530" customWidth="1"/>
    <col min="15648" max="15648" width="8" style="530" customWidth="1"/>
    <col min="15649" max="15872" width="9.109375" style="530"/>
    <col min="15873" max="15873" width="6.44140625" style="530" customWidth="1"/>
    <col min="15874" max="15874" width="14.5546875" style="530" bestFit="1" customWidth="1"/>
    <col min="15875" max="15875" width="13.109375" style="530" customWidth="1"/>
    <col min="15876" max="15876" width="13.6640625" style="530" customWidth="1"/>
    <col min="15877" max="15877" width="16.6640625" style="530" customWidth="1"/>
    <col min="15878" max="15878" width="19" style="530" customWidth="1"/>
    <col min="15879" max="15879" width="16.88671875" style="530" customWidth="1"/>
    <col min="15880" max="15880" width="8.6640625" style="530" customWidth="1"/>
    <col min="15881" max="15881" width="9.33203125" style="530" customWidth="1"/>
    <col min="15882" max="15882" width="12" style="530" customWidth="1"/>
    <col min="15883" max="15883" width="34.5546875" style="530" customWidth="1"/>
    <col min="15884" max="15884" width="19.33203125" style="530" customWidth="1"/>
    <col min="15885" max="15885" width="8.6640625" style="530" bestFit="1" customWidth="1"/>
    <col min="15886" max="15886" width="8.109375" style="530" customWidth="1"/>
    <col min="15887" max="15887" width="10" style="530" customWidth="1"/>
    <col min="15888" max="15890" width="8.44140625" style="530" customWidth="1"/>
    <col min="15891" max="15891" width="9" style="530" customWidth="1"/>
    <col min="15892" max="15892" width="7.44140625" style="530" customWidth="1"/>
    <col min="15893" max="15894" width="7" style="530" customWidth="1"/>
    <col min="15895" max="15895" width="6.5546875" style="530" customWidth="1"/>
    <col min="15896" max="15896" width="5.44140625" style="530" customWidth="1"/>
    <col min="15897" max="15897" width="5.109375" style="530" customWidth="1"/>
    <col min="15898" max="15898" width="4.88671875" style="530" customWidth="1"/>
    <col min="15899" max="15899" width="5.5546875" style="530" customWidth="1"/>
    <col min="15900" max="15900" width="6" style="530" customWidth="1"/>
    <col min="15901" max="15903" width="8.44140625" style="530" customWidth="1"/>
    <col min="15904" max="15904" width="8" style="530" customWidth="1"/>
    <col min="15905" max="16128" width="9.109375" style="530"/>
    <col min="16129" max="16129" width="6.44140625" style="530" customWidth="1"/>
    <col min="16130" max="16130" width="14.5546875" style="530" bestFit="1" customWidth="1"/>
    <col min="16131" max="16131" width="13.109375" style="530" customWidth="1"/>
    <col min="16132" max="16132" width="13.6640625" style="530" customWidth="1"/>
    <col min="16133" max="16133" width="16.6640625" style="530" customWidth="1"/>
    <col min="16134" max="16134" width="19" style="530" customWidth="1"/>
    <col min="16135" max="16135" width="16.88671875" style="530" customWidth="1"/>
    <col min="16136" max="16136" width="8.6640625" style="530" customWidth="1"/>
    <col min="16137" max="16137" width="9.33203125" style="530" customWidth="1"/>
    <col min="16138" max="16138" width="12" style="530" customWidth="1"/>
    <col min="16139" max="16139" width="34.5546875" style="530" customWidth="1"/>
    <col min="16140" max="16140" width="19.33203125" style="530" customWidth="1"/>
    <col min="16141" max="16141" width="8.6640625" style="530" bestFit="1" customWidth="1"/>
    <col min="16142" max="16142" width="8.109375" style="530" customWidth="1"/>
    <col min="16143" max="16143" width="10" style="530" customWidth="1"/>
    <col min="16144" max="16146" width="8.44140625" style="530" customWidth="1"/>
    <col min="16147" max="16147" width="9" style="530" customWidth="1"/>
    <col min="16148" max="16148" width="7.44140625" style="530" customWidth="1"/>
    <col min="16149" max="16150" width="7" style="530" customWidth="1"/>
    <col min="16151" max="16151" width="6.5546875" style="530" customWidth="1"/>
    <col min="16152" max="16152" width="5.44140625" style="530" customWidth="1"/>
    <col min="16153" max="16153" width="5.109375" style="530" customWidth="1"/>
    <col min="16154" max="16154" width="4.88671875" style="530" customWidth="1"/>
    <col min="16155" max="16155" width="5.5546875" style="530" customWidth="1"/>
    <col min="16156" max="16156" width="6" style="530" customWidth="1"/>
    <col min="16157" max="16159" width="8.44140625" style="530" customWidth="1"/>
    <col min="16160" max="16160" width="8" style="530" customWidth="1"/>
    <col min="16161" max="16384" width="9.109375" style="530"/>
  </cols>
  <sheetData>
    <row r="1" spans="1:38" s="41" customFormat="1" ht="22.5" customHeight="1">
      <c r="A1" s="40"/>
      <c r="B1" s="792"/>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792"/>
      <c r="AC1" s="792"/>
      <c r="AF1" s="42"/>
    </row>
    <row r="2" spans="1:38" s="41" customFormat="1" ht="9.75" customHeight="1">
      <c r="A2" s="40"/>
      <c r="B2" s="43"/>
      <c r="C2" s="43"/>
      <c r="D2" s="43"/>
      <c r="E2" s="44"/>
      <c r="F2" s="43"/>
      <c r="G2" s="44"/>
      <c r="H2" s="43"/>
      <c r="I2" s="45"/>
      <c r="J2" s="43"/>
      <c r="K2" s="43"/>
      <c r="L2" s="43"/>
      <c r="M2" s="43"/>
      <c r="N2" s="43"/>
      <c r="O2" s="43"/>
      <c r="P2" s="43"/>
      <c r="Q2" s="43"/>
      <c r="R2" s="43"/>
      <c r="S2" s="43"/>
      <c r="T2" s="43"/>
      <c r="U2" s="43"/>
      <c r="V2" s="43"/>
      <c r="W2" s="43"/>
      <c r="X2" s="43"/>
      <c r="Y2" s="43"/>
      <c r="Z2" s="43"/>
      <c r="AA2" s="43"/>
      <c r="AB2" s="43"/>
      <c r="AC2" s="43"/>
      <c r="AF2" s="42"/>
    </row>
    <row r="3" spans="1:38" s="63" customFormat="1" ht="15.75" customHeight="1">
      <c r="A3" s="46"/>
      <c r="B3" s="47"/>
      <c r="C3" s="47"/>
      <c r="D3" s="47"/>
      <c r="E3" s="48" t="s">
        <v>122</v>
      </c>
      <c r="F3" s="45"/>
      <c r="G3" s="49" t="s">
        <v>123</v>
      </c>
      <c r="H3" s="50"/>
      <c r="I3" s="51"/>
      <c r="J3" s="52"/>
      <c r="K3" s="53" t="s">
        <v>124</v>
      </c>
      <c r="L3" s="54" t="s">
        <v>125</v>
      </c>
      <c r="M3" s="55"/>
      <c r="N3" s="56"/>
      <c r="O3" s="57"/>
      <c r="P3" s="57"/>
      <c r="Q3" s="58"/>
      <c r="R3" s="47"/>
      <c r="S3" s="59"/>
      <c r="T3" s="58"/>
      <c r="U3" s="47"/>
      <c r="V3" s="60"/>
      <c r="W3" s="60"/>
      <c r="X3" s="60"/>
      <c r="Y3" s="60"/>
      <c r="Z3" s="60"/>
      <c r="AA3" s="60"/>
      <c r="AB3" s="60"/>
      <c r="AC3" s="47"/>
      <c r="AD3" s="61"/>
      <c r="AE3" s="61"/>
      <c r="AF3" s="62"/>
    </row>
    <row r="4" spans="1:38" s="63" customFormat="1" ht="17.25" customHeight="1">
      <c r="A4" s="46"/>
      <c r="B4" s="47"/>
      <c r="C4" s="47"/>
      <c r="D4" s="47"/>
      <c r="E4" s="48" t="s">
        <v>126</v>
      </c>
      <c r="F4" s="45"/>
      <c r="G4" s="64" t="s">
        <v>127</v>
      </c>
      <c r="H4" s="50"/>
      <c r="I4" s="51"/>
      <c r="J4" s="65"/>
      <c r="K4" s="66" t="s">
        <v>128</v>
      </c>
      <c r="L4" s="67">
        <v>100819865</v>
      </c>
      <c r="M4" s="68"/>
      <c r="N4" s="68"/>
      <c r="O4" s="68"/>
      <c r="P4" s="68"/>
      <c r="Q4" s="46"/>
      <c r="R4" s="46"/>
      <c r="S4" s="46"/>
      <c r="T4" s="46"/>
      <c r="U4" s="46"/>
      <c r="V4" s="59"/>
      <c r="W4" s="47"/>
      <c r="X4" s="69"/>
      <c r="Y4" s="59"/>
      <c r="Z4" s="47"/>
      <c r="AA4" s="69"/>
      <c r="AB4" s="59"/>
      <c r="AC4" s="47"/>
      <c r="AD4" s="61"/>
      <c r="AE4" s="61"/>
      <c r="AF4" s="62"/>
    </row>
    <row r="5" spans="1:38" s="63" customFormat="1" ht="16.5" customHeight="1">
      <c r="A5" s="46"/>
      <c r="B5" s="47"/>
      <c r="C5" s="47"/>
      <c r="D5" s="47"/>
      <c r="E5" s="70"/>
      <c r="F5" s="47"/>
      <c r="G5" s="67"/>
      <c r="H5" s="71"/>
      <c r="I5" s="51"/>
      <c r="J5" s="52"/>
      <c r="K5" s="66" t="s">
        <v>129</v>
      </c>
      <c r="L5" s="72" t="s">
        <v>130</v>
      </c>
      <c r="M5" s="50"/>
      <c r="N5" s="73"/>
      <c r="O5" s="55"/>
      <c r="P5" s="55"/>
      <c r="Q5" s="74"/>
      <c r="R5" s="47"/>
      <c r="S5" s="59"/>
      <c r="T5" s="58"/>
      <c r="U5" s="69"/>
      <c r="V5" s="75"/>
      <c r="W5" s="47"/>
      <c r="X5" s="47"/>
      <c r="Y5" s="47"/>
      <c r="Z5" s="47"/>
      <c r="AA5" s="47"/>
      <c r="AB5" s="47"/>
      <c r="AC5" s="47"/>
      <c r="AD5" s="61"/>
      <c r="AE5" s="61"/>
      <c r="AF5" s="62"/>
    </row>
    <row r="6" spans="1:38" s="63" customFormat="1" ht="28.5" customHeight="1" thickBot="1">
      <c r="B6" s="76"/>
      <c r="C6" s="76"/>
      <c r="D6" s="76"/>
      <c r="E6" s="48" t="s">
        <v>131</v>
      </c>
      <c r="F6" s="76"/>
      <c r="G6" s="793" t="s">
        <v>132</v>
      </c>
      <c r="H6" s="793"/>
      <c r="I6" s="77"/>
      <c r="J6" s="78"/>
      <c r="K6" s="66" t="s">
        <v>133</v>
      </c>
      <c r="L6" s="794">
        <v>43265</v>
      </c>
      <c r="M6" s="794"/>
      <c r="N6" s="794"/>
      <c r="O6" s="794"/>
      <c r="P6" s="794"/>
      <c r="Q6" s="79"/>
      <c r="R6" s="80"/>
      <c r="S6" s="80"/>
      <c r="T6" s="80"/>
      <c r="U6" s="80"/>
      <c r="V6" s="81"/>
      <c r="W6" s="76"/>
      <c r="X6" s="76"/>
      <c r="Y6" s="76"/>
      <c r="Z6" s="76"/>
      <c r="AA6" s="76"/>
      <c r="AB6" s="76"/>
      <c r="AC6" s="76"/>
      <c r="AD6" s="76"/>
      <c r="AE6" s="76"/>
      <c r="AF6" s="62"/>
    </row>
    <row r="7" spans="1:38" s="106" customFormat="1" ht="20.25" customHeight="1">
      <c r="A7" s="82"/>
      <c r="B7" s="83"/>
      <c r="C7" s="83"/>
      <c r="D7" s="84"/>
      <c r="E7" s="85"/>
      <c r="F7" s="84"/>
      <c r="G7" s="85"/>
      <c r="H7" s="84"/>
      <c r="I7" s="86"/>
      <c r="J7" s="87"/>
      <c r="K7" s="88" t="s">
        <v>134</v>
      </c>
      <c r="L7" s="89"/>
      <c r="M7" s="90"/>
      <c r="N7" s="91"/>
      <c r="O7" s="92"/>
      <c r="P7" s="93"/>
      <c r="Q7" s="93"/>
      <c r="R7" s="94"/>
      <c r="S7" s="95"/>
      <c r="T7" s="96"/>
      <c r="U7" s="97"/>
      <c r="V7" s="98"/>
      <c r="W7" s="99"/>
      <c r="X7" s="100"/>
      <c r="Y7" s="101"/>
      <c r="Z7" s="83"/>
      <c r="AA7" s="88"/>
      <c r="AB7" s="98"/>
      <c r="AC7" s="102"/>
      <c r="AD7" s="103"/>
      <c r="AE7" s="104"/>
      <c r="AF7" s="105"/>
      <c r="AG7" s="61"/>
    </row>
    <row r="8" spans="1:38" s="130" customFormat="1" ht="18" customHeight="1" thickBot="1">
      <c r="A8" s="107"/>
      <c r="B8" s="108" t="s">
        <v>135</v>
      </c>
      <c r="C8" s="108" t="s">
        <v>136</v>
      </c>
      <c r="D8" s="109" t="s">
        <v>137</v>
      </c>
      <c r="E8" s="110" t="s">
        <v>138</v>
      </c>
      <c r="F8" s="109" t="s">
        <v>139</v>
      </c>
      <c r="G8" s="110" t="s">
        <v>134</v>
      </c>
      <c r="H8" s="109" t="s">
        <v>140</v>
      </c>
      <c r="I8" s="111" t="s">
        <v>141</v>
      </c>
      <c r="J8" s="112" t="s">
        <v>142</v>
      </c>
      <c r="K8" s="113" t="s">
        <v>143</v>
      </c>
      <c r="L8" s="114" t="s">
        <v>144</v>
      </c>
      <c r="M8" s="115" t="s">
        <v>145</v>
      </c>
      <c r="N8" s="116" t="s">
        <v>146</v>
      </c>
      <c r="O8" s="117" t="s">
        <v>146</v>
      </c>
      <c r="P8" s="118" t="s">
        <v>147</v>
      </c>
      <c r="Q8" s="118" t="s">
        <v>148</v>
      </c>
      <c r="R8" s="119" t="s">
        <v>149</v>
      </c>
      <c r="S8" s="120" t="s">
        <v>150</v>
      </c>
      <c r="T8" s="121" t="s">
        <v>151</v>
      </c>
      <c r="U8" s="122" t="s">
        <v>152</v>
      </c>
      <c r="V8" s="123" t="s">
        <v>153</v>
      </c>
      <c r="W8" s="122" t="s">
        <v>154</v>
      </c>
      <c r="X8" s="113" t="s">
        <v>155</v>
      </c>
      <c r="Y8" s="124" t="s">
        <v>156</v>
      </c>
      <c r="Z8" s="125" t="s">
        <v>154</v>
      </c>
      <c r="AA8" s="113" t="s">
        <v>155</v>
      </c>
      <c r="AB8" s="126" t="s">
        <v>156</v>
      </c>
      <c r="AC8" s="127" t="s">
        <v>157</v>
      </c>
      <c r="AD8" s="128" t="s">
        <v>158</v>
      </c>
      <c r="AE8" s="129" t="s">
        <v>159</v>
      </c>
      <c r="AF8" s="105"/>
      <c r="AG8" s="61"/>
      <c r="AH8" s="106"/>
      <c r="AI8" s="106"/>
      <c r="AJ8" s="106"/>
      <c r="AK8" s="105"/>
      <c r="AL8" s="105"/>
    </row>
    <row r="9" spans="1:38" s="130" customFormat="1" ht="24" customHeight="1" thickBot="1">
      <c r="A9" s="107"/>
      <c r="B9" s="131" t="s">
        <v>160</v>
      </c>
      <c r="C9" s="131" t="s">
        <v>161</v>
      </c>
      <c r="D9" s="109" t="s">
        <v>162</v>
      </c>
      <c r="E9" s="110" t="s">
        <v>163</v>
      </c>
      <c r="F9" s="109" t="s">
        <v>164</v>
      </c>
      <c r="G9" s="110" t="s">
        <v>165</v>
      </c>
      <c r="H9" s="109" t="s">
        <v>166</v>
      </c>
      <c r="I9" s="111" t="s">
        <v>167</v>
      </c>
      <c r="J9" s="132" t="s">
        <v>168</v>
      </c>
      <c r="K9" s="113" t="s">
        <v>169</v>
      </c>
      <c r="L9" s="114" t="s">
        <v>170</v>
      </c>
      <c r="M9" s="115"/>
      <c r="N9" s="133" t="s">
        <v>171</v>
      </c>
      <c r="O9" s="117" t="s">
        <v>172</v>
      </c>
      <c r="P9" s="118" t="s">
        <v>173</v>
      </c>
      <c r="Q9" s="118" t="s">
        <v>144</v>
      </c>
      <c r="R9" s="119" t="s">
        <v>144</v>
      </c>
      <c r="S9" s="795" t="s">
        <v>174</v>
      </c>
      <c r="T9" s="796"/>
      <c r="U9" s="797" t="s">
        <v>175</v>
      </c>
      <c r="V9" s="798"/>
      <c r="W9" s="795" t="s">
        <v>174</v>
      </c>
      <c r="X9" s="799"/>
      <c r="Y9" s="796"/>
      <c r="Z9" s="797" t="s">
        <v>175</v>
      </c>
      <c r="AA9" s="799"/>
      <c r="AB9" s="798"/>
      <c r="AC9" s="127"/>
      <c r="AD9" s="134"/>
      <c r="AE9" s="135"/>
      <c r="AF9" s="105"/>
      <c r="AG9" s="61"/>
      <c r="AH9" s="106"/>
      <c r="AI9" s="106"/>
      <c r="AJ9" s="106"/>
      <c r="AK9" s="105"/>
      <c r="AL9" s="105"/>
    </row>
    <row r="10" spans="1:38" s="106" customFormat="1" ht="22.5" customHeight="1">
      <c r="A10" s="136" t="s">
        <v>176</v>
      </c>
      <c r="B10" s="137"/>
      <c r="C10" s="137"/>
      <c r="D10" s="84"/>
      <c r="E10" s="84"/>
      <c r="F10" s="85"/>
      <c r="G10" s="85"/>
      <c r="H10" s="84"/>
      <c r="I10" s="86"/>
      <c r="J10" s="138"/>
      <c r="K10" s="139"/>
      <c r="L10" s="89"/>
      <c r="M10" s="90"/>
      <c r="N10" s="91"/>
      <c r="O10" s="92"/>
      <c r="P10" s="93"/>
      <c r="Q10" s="93"/>
      <c r="R10" s="94"/>
      <c r="S10" s="95"/>
      <c r="T10" s="96"/>
      <c r="U10" s="97"/>
      <c r="V10" s="98"/>
      <c r="W10" s="83"/>
      <c r="X10" s="88"/>
      <c r="Y10" s="96"/>
      <c r="Z10" s="83"/>
      <c r="AA10" s="88"/>
      <c r="AB10" s="98"/>
      <c r="AC10" s="102"/>
      <c r="AD10" s="140"/>
      <c r="AE10" s="141"/>
      <c r="AF10" s="105"/>
      <c r="AG10" s="61"/>
      <c r="AK10" s="105"/>
      <c r="AL10" s="105"/>
    </row>
    <row r="11" spans="1:38" s="130" customFormat="1" ht="14.25" customHeight="1">
      <c r="A11" s="142" t="s">
        <v>117</v>
      </c>
      <c r="B11" s="143"/>
      <c r="C11" s="143"/>
      <c r="D11" s="144"/>
      <c r="E11" s="145"/>
      <c r="F11" s="146"/>
      <c r="G11" s="145"/>
      <c r="H11" s="146"/>
      <c r="I11" s="147"/>
      <c r="J11" s="148"/>
      <c r="K11" s="149"/>
      <c r="L11" s="150"/>
      <c r="M11" s="151"/>
      <c r="N11" s="152"/>
      <c r="O11" s="153"/>
      <c r="P11" s="154"/>
      <c r="Q11" s="154"/>
      <c r="R11" s="155"/>
      <c r="S11" s="156"/>
      <c r="T11" s="157"/>
      <c r="U11" s="158"/>
      <c r="V11" s="159"/>
      <c r="W11" s="160"/>
      <c r="X11" s="143"/>
      <c r="Y11" s="157"/>
      <c r="Z11" s="143"/>
      <c r="AA11" s="160"/>
      <c r="AB11" s="159"/>
      <c r="AC11" s="161"/>
      <c r="AD11" s="162"/>
      <c r="AE11" s="163"/>
      <c r="AF11" s="105"/>
      <c r="AG11" s="61"/>
      <c r="AH11" s="106"/>
      <c r="AI11" s="106"/>
      <c r="AJ11" s="106"/>
      <c r="AK11" s="105"/>
      <c r="AL11" s="105"/>
    </row>
    <row r="12" spans="1:38" s="130" customFormat="1" ht="14.25" customHeight="1">
      <c r="A12" s="164"/>
      <c r="B12" s="165">
        <v>200092189575</v>
      </c>
      <c r="C12" s="165">
        <v>10516527</v>
      </c>
      <c r="D12" s="166" t="s">
        <v>177</v>
      </c>
      <c r="E12" s="167"/>
      <c r="F12" s="167" t="s">
        <v>178</v>
      </c>
      <c r="G12" s="110"/>
      <c r="H12" s="109"/>
      <c r="I12" s="111"/>
      <c r="J12" s="132"/>
      <c r="K12" s="113"/>
      <c r="L12" s="114"/>
      <c r="M12" s="115"/>
      <c r="N12" s="133"/>
      <c r="O12" s="117"/>
      <c r="P12" s="118"/>
      <c r="Q12" s="118"/>
      <c r="R12" s="119"/>
      <c r="S12" s="168"/>
      <c r="T12" s="169"/>
      <c r="U12" s="170"/>
      <c r="V12" s="123"/>
      <c r="W12" s="171"/>
      <c r="X12" s="76"/>
      <c r="Y12" s="169"/>
      <c r="Z12" s="76"/>
      <c r="AA12" s="171"/>
      <c r="AB12" s="123"/>
      <c r="AC12" s="127"/>
      <c r="AD12" s="134"/>
      <c r="AE12" s="135"/>
      <c r="AF12" s="105"/>
      <c r="AG12" s="61"/>
      <c r="AH12" s="106"/>
      <c r="AI12" s="106"/>
      <c r="AJ12" s="106"/>
      <c r="AK12" s="105"/>
      <c r="AL12" s="105"/>
    </row>
    <row r="13" spans="1:38" s="130" customFormat="1" ht="14.25" customHeight="1">
      <c r="A13" s="164"/>
      <c r="B13" s="165"/>
      <c r="C13" s="165"/>
      <c r="D13" s="166"/>
      <c r="E13" s="167"/>
      <c r="F13" s="167"/>
      <c r="G13" s="172" t="s">
        <v>179</v>
      </c>
      <c r="H13" s="173" t="s">
        <v>180</v>
      </c>
      <c r="I13" s="174" t="s">
        <v>181</v>
      </c>
      <c r="J13" s="175" t="s">
        <v>182</v>
      </c>
      <c r="K13" s="176" t="s">
        <v>183</v>
      </c>
      <c r="L13" s="177"/>
      <c r="M13" s="178"/>
      <c r="N13" s="179"/>
      <c r="O13" s="180"/>
      <c r="P13" s="181"/>
      <c r="Q13" s="181"/>
      <c r="R13" s="182"/>
      <c r="S13" s="120"/>
      <c r="T13" s="183"/>
      <c r="U13" s="184"/>
      <c r="V13" s="121"/>
      <c r="W13" s="185"/>
      <c r="X13" s="186"/>
      <c r="Y13" s="187"/>
      <c r="Z13" s="131"/>
      <c r="AA13" s="188"/>
      <c r="AB13" s="121"/>
      <c r="AC13" s="189" t="s">
        <v>184</v>
      </c>
      <c r="AD13" s="190">
        <v>6.0000000000000001E-3</v>
      </c>
      <c r="AE13" s="191"/>
      <c r="AF13" s="105"/>
      <c r="AG13" s="61"/>
      <c r="AH13" s="106"/>
      <c r="AI13" s="106"/>
      <c r="AJ13" s="106"/>
      <c r="AK13" s="105"/>
      <c r="AL13" s="105"/>
    </row>
    <row r="14" spans="1:38" s="130" customFormat="1" ht="14.25" customHeight="1">
      <c r="A14" s="164"/>
      <c r="B14" s="165"/>
      <c r="C14" s="165"/>
      <c r="D14" s="166"/>
      <c r="E14" s="167"/>
      <c r="F14" s="167"/>
      <c r="G14" s="172" t="s">
        <v>179</v>
      </c>
      <c r="H14" s="173">
        <v>2</v>
      </c>
      <c r="I14" s="192" t="s">
        <v>181</v>
      </c>
      <c r="J14" s="175" t="s">
        <v>185</v>
      </c>
      <c r="K14" s="176" t="s">
        <v>183</v>
      </c>
      <c r="L14" s="177"/>
      <c r="M14" s="193"/>
      <c r="N14" s="179"/>
      <c r="O14" s="180"/>
      <c r="P14" s="181"/>
      <c r="Q14" s="181"/>
      <c r="R14" s="182"/>
      <c r="S14" s="120"/>
      <c r="T14" s="183"/>
      <c r="U14" s="184"/>
      <c r="V14" s="121"/>
      <c r="W14" s="185"/>
      <c r="X14" s="186"/>
      <c r="Y14" s="187"/>
      <c r="Z14" s="131"/>
      <c r="AA14" s="188"/>
      <c r="AB14" s="121"/>
      <c r="AC14" s="189" t="s">
        <v>184</v>
      </c>
      <c r="AD14" s="190">
        <v>6.0000000000000001E-3</v>
      </c>
      <c r="AE14" s="191"/>
      <c r="AF14" s="105"/>
      <c r="AG14" s="61"/>
      <c r="AH14" s="106"/>
      <c r="AI14" s="106"/>
      <c r="AJ14" s="106"/>
      <c r="AK14" s="105"/>
      <c r="AL14" s="105"/>
    </row>
    <row r="15" spans="1:38" s="130" customFormat="1" ht="14.25" customHeight="1">
      <c r="A15" s="164"/>
      <c r="B15" s="165"/>
      <c r="C15" s="165"/>
      <c r="D15" s="166"/>
      <c r="E15" s="167"/>
      <c r="F15" s="167"/>
      <c r="G15" s="172" t="s">
        <v>179</v>
      </c>
      <c r="H15" s="173">
        <v>3</v>
      </c>
      <c r="I15" s="192" t="s">
        <v>186</v>
      </c>
      <c r="J15" s="175" t="s">
        <v>187</v>
      </c>
      <c r="K15" s="176" t="s">
        <v>183</v>
      </c>
      <c r="L15" s="177"/>
      <c r="M15" s="193"/>
      <c r="N15" s="179"/>
      <c r="O15" s="180"/>
      <c r="P15" s="181"/>
      <c r="Q15" s="181"/>
      <c r="R15" s="182"/>
      <c r="S15" s="120"/>
      <c r="T15" s="183"/>
      <c r="U15" s="184"/>
      <c r="V15" s="121"/>
      <c r="W15" s="185"/>
      <c r="X15" s="186"/>
      <c r="Y15" s="187"/>
      <c r="Z15" s="131"/>
      <c r="AA15" s="188"/>
      <c r="AB15" s="121"/>
      <c r="AC15" s="189" t="s">
        <v>184</v>
      </c>
      <c r="AD15" s="190">
        <v>6.0000000000000001E-3</v>
      </c>
      <c r="AE15" s="191"/>
      <c r="AF15" s="105"/>
      <c r="AG15" s="61"/>
      <c r="AH15" s="106"/>
      <c r="AI15" s="106"/>
      <c r="AJ15" s="106"/>
      <c r="AK15" s="105"/>
      <c r="AL15" s="105"/>
    </row>
    <row r="16" spans="1:38" s="130" customFormat="1" ht="14.25" customHeight="1">
      <c r="A16" s="164"/>
      <c r="B16" s="165"/>
      <c r="C16" s="165"/>
      <c r="D16" s="166"/>
      <c r="E16" s="167"/>
      <c r="F16" s="167"/>
      <c r="G16" s="172" t="s">
        <v>179</v>
      </c>
      <c r="H16" s="173">
        <v>4</v>
      </c>
      <c r="I16" s="192" t="s">
        <v>186</v>
      </c>
      <c r="J16" s="175" t="s">
        <v>188</v>
      </c>
      <c r="K16" s="176" t="s">
        <v>183</v>
      </c>
      <c r="L16" s="177"/>
      <c r="M16" s="193"/>
      <c r="N16" s="179"/>
      <c r="O16" s="180"/>
      <c r="P16" s="181"/>
      <c r="Q16" s="181"/>
      <c r="R16" s="182"/>
      <c r="S16" s="120"/>
      <c r="T16" s="183"/>
      <c r="U16" s="184"/>
      <c r="V16" s="121"/>
      <c r="W16" s="185"/>
      <c r="X16" s="186"/>
      <c r="Y16" s="187"/>
      <c r="Z16" s="131"/>
      <c r="AA16" s="188"/>
      <c r="AB16" s="121"/>
      <c r="AC16" s="189" t="s">
        <v>184</v>
      </c>
      <c r="AD16" s="190">
        <v>6.0000000000000001E-3</v>
      </c>
      <c r="AE16" s="191"/>
      <c r="AF16" s="105"/>
      <c r="AG16" s="61"/>
      <c r="AH16" s="106"/>
      <c r="AI16" s="106"/>
      <c r="AJ16" s="106"/>
      <c r="AK16" s="105"/>
      <c r="AL16" s="105"/>
    </row>
    <row r="17" spans="1:38" s="130" customFormat="1" ht="14.25" customHeight="1">
      <c r="A17" s="164"/>
      <c r="B17" s="165"/>
      <c r="C17" s="165"/>
      <c r="D17" s="166"/>
      <c r="E17" s="167"/>
      <c r="F17" s="167"/>
      <c r="G17" s="172"/>
      <c r="H17" s="173"/>
      <c r="I17" s="192"/>
      <c r="J17" s="175"/>
      <c r="K17" s="176"/>
      <c r="L17" s="177"/>
      <c r="M17" s="193"/>
      <c r="N17" s="179"/>
      <c r="O17" s="180"/>
      <c r="P17" s="181"/>
      <c r="Q17" s="181"/>
      <c r="R17" s="182"/>
      <c r="S17" s="120"/>
      <c r="T17" s="183"/>
      <c r="U17" s="184"/>
      <c r="V17" s="121"/>
      <c r="W17" s="185"/>
      <c r="X17" s="186"/>
      <c r="Y17" s="187"/>
      <c r="Z17" s="131"/>
      <c r="AA17" s="188"/>
      <c r="AB17" s="121"/>
      <c r="AC17" s="189"/>
      <c r="AD17" s="190"/>
      <c r="AE17" s="191"/>
      <c r="AF17" s="105"/>
      <c r="AG17" s="61"/>
      <c r="AH17" s="106"/>
      <c r="AI17" s="106"/>
      <c r="AJ17" s="106"/>
      <c r="AK17" s="105"/>
      <c r="AL17" s="105"/>
    </row>
    <row r="18" spans="1:38" s="196" customFormat="1" ht="15" customHeight="1">
      <c r="A18" s="194"/>
      <c r="B18" s="195"/>
      <c r="C18" s="195"/>
      <c r="D18" s="173"/>
      <c r="E18" s="167"/>
      <c r="F18" s="167"/>
      <c r="G18" s="172" t="s">
        <v>189</v>
      </c>
      <c r="H18" s="173" t="s">
        <v>180</v>
      </c>
      <c r="I18" s="174" t="s">
        <v>181</v>
      </c>
      <c r="J18" s="175" t="s">
        <v>182</v>
      </c>
      <c r="K18" s="176" t="s">
        <v>190</v>
      </c>
      <c r="L18" s="177"/>
      <c r="M18" s="193"/>
      <c r="N18" s="179"/>
      <c r="O18" s="180"/>
      <c r="P18" s="181"/>
      <c r="Q18" s="181"/>
      <c r="R18" s="182"/>
      <c r="S18" s="120"/>
      <c r="T18" s="183"/>
      <c r="U18" s="184"/>
      <c r="V18" s="121"/>
      <c r="W18" s="185"/>
      <c r="X18" s="186"/>
      <c r="Y18" s="187"/>
      <c r="Z18" s="131"/>
      <c r="AA18" s="188"/>
      <c r="AB18" s="121"/>
      <c r="AC18" s="189" t="s">
        <v>184</v>
      </c>
      <c r="AD18" s="190">
        <v>6.0000000000000001E-3</v>
      </c>
      <c r="AE18" s="191"/>
      <c r="AF18" s="105"/>
      <c r="AG18" s="61"/>
      <c r="AH18" s="106"/>
      <c r="AI18" s="106"/>
      <c r="AJ18" s="106"/>
      <c r="AK18" s="105"/>
      <c r="AL18" s="105"/>
    </row>
    <row r="19" spans="1:38" s="196" customFormat="1" ht="15" customHeight="1">
      <c r="A19" s="194"/>
      <c r="B19" s="195"/>
      <c r="C19" s="195"/>
      <c r="D19" s="173"/>
      <c r="E19" s="167"/>
      <c r="F19" s="167"/>
      <c r="G19" s="172" t="s">
        <v>189</v>
      </c>
      <c r="H19" s="173">
        <v>2</v>
      </c>
      <c r="I19" s="192" t="s">
        <v>181</v>
      </c>
      <c r="J19" s="175" t="s">
        <v>185</v>
      </c>
      <c r="K19" s="176" t="s">
        <v>190</v>
      </c>
      <c r="L19" s="177"/>
      <c r="M19" s="193"/>
      <c r="N19" s="179"/>
      <c r="O19" s="180"/>
      <c r="P19" s="181"/>
      <c r="Q19" s="181"/>
      <c r="R19" s="182"/>
      <c r="S19" s="120"/>
      <c r="T19" s="183"/>
      <c r="U19" s="184"/>
      <c r="V19" s="121"/>
      <c r="W19" s="185"/>
      <c r="X19" s="186"/>
      <c r="Y19" s="187"/>
      <c r="Z19" s="131"/>
      <c r="AA19" s="188"/>
      <c r="AB19" s="121"/>
      <c r="AC19" s="189" t="s">
        <v>184</v>
      </c>
      <c r="AD19" s="190">
        <v>6.0000000000000001E-3</v>
      </c>
      <c r="AE19" s="191"/>
      <c r="AF19" s="105"/>
      <c r="AG19" s="61"/>
      <c r="AH19" s="106"/>
      <c r="AI19" s="106"/>
      <c r="AJ19" s="106"/>
      <c r="AK19" s="105"/>
      <c r="AL19" s="105"/>
    </row>
    <row r="20" spans="1:38" s="196" customFormat="1" ht="15" customHeight="1">
      <c r="A20" s="194"/>
      <c r="B20" s="195"/>
      <c r="C20" s="195"/>
      <c r="D20" s="173"/>
      <c r="E20" s="167"/>
      <c r="F20" s="167"/>
      <c r="G20" s="172" t="s">
        <v>189</v>
      </c>
      <c r="H20" s="173">
        <v>3</v>
      </c>
      <c r="I20" s="192" t="s">
        <v>186</v>
      </c>
      <c r="J20" s="175" t="s">
        <v>187</v>
      </c>
      <c r="K20" s="176" t="s">
        <v>190</v>
      </c>
      <c r="L20" s="177"/>
      <c r="M20" s="193"/>
      <c r="N20" s="179"/>
      <c r="O20" s="180"/>
      <c r="P20" s="181"/>
      <c r="Q20" s="181"/>
      <c r="R20" s="182"/>
      <c r="S20" s="120"/>
      <c r="T20" s="183"/>
      <c r="U20" s="184"/>
      <c r="V20" s="121"/>
      <c r="W20" s="185"/>
      <c r="X20" s="186"/>
      <c r="Y20" s="187"/>
      <c r="Z20" s="131"/>
      <c r="AA20" s="188"/>
      <c r="AB20" s="121"/>
      <c r="AC20" s="189" t="s">
        <v>184</v>
      </c>
      <c r="AD20" s="190">
        <v>6.0000000000000001E-3</v>
      </c>
      <c r="AE20" s="191"/>
      <c r="AF20" s="105"/>
      <c r="AG20" s="61"/>
      <c r="AH20" s="106"/>
      <c r="AI20" s="106"/>
      <c r="AJ20" s="106"/>
      <c r="AK20" s="105"/>
      <c r="AL20" s="105"/>
    </row>
    <row r="21" spans="1:38" s="196" customFormat="1" ht="15" customHeight="1">
      <c r="A21" s="194"/>
      <c r="B21" s="195"/>
      <c r="C21" s="195"/>
      <c r="D21" s="173"/>
      <c r="E21" s="167"/>
      <c r="F21" s="167"/>
      <c r="G21" s="172" t="s">
        <v>189</v>
      </c>
      <c r="H21" s="173">
        <v>4</v>
      </c>
      <c r="I21" s="192" t="s">
        <v>186</v>
      </c>
      <c r="J21" s="175" t="s">
        <v>188</v>
      </c>
      <c r="K21" s="176" t="s">
        <v>190</v>
      </c>
      <c r="L21" s="177"/>
      <c r="M21" s="193"/>
      <c r="N21" s="179"/>
      <c r="O21" s="180"/>
      <c r="P21" s="181"/>
      <c r="Q21" s="181"/>
      <c r="R21" s="182"/>
      <c r="S21" s="120"/>
      <c r="T21" s="183"/>
      <c r="U21" s="184"/>
      <c r="V21" s="121"/>
      <c r="W21" s="185"/>
      <c r="X21" s="186"/>
      <c r="Y21" s="187"/>
      <c r="Z21" s="131"/>
      <c r="AA21" s="188"/>
      <c r="AB21" s="121"/>
      <c r="AC21" s="189" t="s">
        <v>184</v>
      </c>
      <c r="AD21" s="190">
        <v>6.0000000000000001E-3</v>
      </c>
      <c r="AE21" s="191"/>
      <c r="AF21" s="105"/>
      <c r="AG21" s="61"/>
      <c r="AH21" s="106"/>
      <c r="AI21" s="106"/>
      <c r="AJ21" s="106"/>
      <c r="AK21" s="105"/>
      <c r="AL21" s="105"/>
    </row>
    <row r="22" spans="1:38" s="196" customFormat="1" ht="15" customHeight="1">
      <c r="A22" s="194"/>
      <c r="B22" s="195"/>
      <c r="C22" s="195"/>
      <c r="D22" s="173"/>
      <c r="E22" s="167"/>
      <c r="F22" s="167"/>
      <c r="G22" s="172"/>
      <c r="H22" s="173"/>
      <c r="I22" s="174"/>
      <c r="J22" s="175"/>
      <c r="K22" s="176"/>
      <c r="L22" s="177"/>
      <c r="M22" s="193"/>
      <c r="N22" s="179"/>
      <c r="O22" s="180"/>
      <c r="P22" s="181"/>
      <c r="Q22" s="181"/>
      <c r="R22" s="182"/>
      <c r="S22" s="120"/>
      <c r="T22" s="183"/>
      <c r="U22" s="184"/>
      <c r="V22" s="121"/>
      <c r="W22" s="185"/>
      <c r="X22" s="186"/>
      <c r="Y22" s="187"/>
      <c r="Z22" s="131"/>
      <c r="AA22" s="188"/>
      <c r="AB22" s="121"/>
      <c r="AC22" s="197"/>
      <c r="AD22" s="198"/>
      <c r="AE22" s="191"/>
      <c r="AF22" s="105"/>
      <c r="AG22" s="61"/>
      <c r="AH22" s="106"/>
      <c r="AI22" s="106"/>
      <c r="AJ22" s="106"/>
      <c r="AK22" s="105"/>
      <c r="AL22" s="105"/>
    </row>
    <row r="23" spans="1:38" s="196" customFormat="1" ht="15" customHeight="1">
      <c r="A23" s="194"/>
      <c r="B23" s="195"/>
      <c r="C23" s="195"/>
      <c r="D23" s="173"/>
      <c r="E23" s="167"/>
      <c r="F23" s="167"/>
      <c r="G23" s="172" t="s">
        <v>191</v>
      </c>
      <c r="H23" s="173">
        <v>1</v>
      </c>
      <c r="I23" s="192" t="s">
        <v>186</v>
      </c>
      <c r="J23" s="175" t="s">
        <v>182</v>
      </c>
      <c r="K23" s="176" t="s">
        <v>192</v>
      </c>
      <c r="L23" s="177"/>
      <c r="M23" s="193"/>
      <c r="N23" s="179"/>
      <c r="O23" s="180"/>
      <c r="P23" s="181"/>
      <c r="Q23" s="181"/>
      <c r="R23" s="182"/>
      <c r="S23" s="120"/>
      <c r="T23" s="183"/>
      <c r="U23" s="184"/>
      <c r="V23" s="121"/>
      <c r="W23" s="185"/>
      <c r="X23" s="186"/>
      <c r="Y23" s="187"/>
      <c r="Z23" s="131"/>
      <c r="AA23" s="188"/>
      <c r="AB23" s="121"/>
      <c r="AC23" s="197">
        <v>3.4000000000000002E-2</v>
      </c>
      <c r="AD23" s="198"/>
      <c r="AE23" s="191">
        <v>0.01</v>
      </c>
      <c r="AF23" s="105"/>
      <c r="AG23" s="61"/>
      <c r="AH23" s="106"/>
      <c r="AI23" s="106"/>
      <c r="AJ23" s="106"/>
      <c r="AK23" s="105"/>
      <c r="AL23" s="105"/>
    </row>
    <row r="24" spans="1:38" s="196" customFormat="1" ht="15" customHeight="1">
      <c r="A24" s="194"/>
      <c r="B24" s="195"/>
      <c r="C24" s="195"/>
      <c r="D24" s="173"/>
      <c r="E24" s="167"/>
      <c r="F24" s="167"/>
      <c r="G24" s="172" t="s">
        <v>191</v>
      </c>
      <c r="H24" s="173">
        <v>2</v>
      </c>
      <c r="I24" s="192" t="s">
        <v>186</v>
      </c>
      <c r="J24" s="175" t="s">
        <v>185</v>
      </c>
      <c r="K24" s="176" t="s">
        <v>192</v>
      </c>
      <c r="L24" s="177"/>
      <c r="M24" s="193"/>
      <c r="N24" s="179"/>
      <c r="O24" s="180"/>
      <c r="P24" s="181"/>
      <c r="Q24" s="181"/>
      <c r="R24" s="182"/>
      <c r="S24" s="120"/>
      <c r="T24" s="183"/>
      <c r="U24" s="184"/>
      <c r="V24" s="121"/>
      <c r="W24" s="185"/>
      <c r="X24" s="186"/>
      <c r="Y24" s="187"/>
      <c r="Z24" s="131"/>
      <c r="AA24" s="188"/>
      <c r="AB24" s="121"/>
      <c r="AC24" s="197">
        <v>3.4000000000000002E-2</v>
      </c>
      <c r="AD24" s="198"/>
      <c r="AE24" s="191">
        <v>0.01</v>
      </c>
      <c r="AF24" s="105"/>
      <c r="AG24" s="61"/>
      <c r="AH24" s="106"/>
      <c r="AI24" s="106"/>
      <c r="AJ24" s="106"/>
      <c r="AK24" s="105"/>
      <c r="AL24" s="105"/>
    </row>
    <row r="25" spans="1:38" s="196" customFormat="1" ht="15" customHeight="1">
      <c r="A25" s="194"/>
      <c r="B25" s="195"/>
      <c r="C25" s="195"/>
      <c r="D25" s="173"/>
      <c r="E25" s="167"/>
      <c r="F25" s="167"/>
      <c r="G25" s="172"/>
      <c r="H25" s="173"/>
      <c r="I25" s="192"/>
      <c r="J25" s="175"/>
      <c r="K25" s="176"/>
      <c r="L25" s="177"/>
      <c r="M25" s="193"/>
      <c r="N25" s="179"/>
      <c r="O25" s="180"/>
      <c r="P25" s="181"/>
      <c r="Q25" s="181"/>
      <c r="R25" s="182"/>
      <c r="S25" s="120"/>
      <c r="T25" s="183"/>
      <c r="U25" s="184"/>
      <c r="V25" s="121"/>
      <c r="W25" s="185"/>
      <c r="X25" s="186"/>
      <c r="Y25" s="187"/>
      <c r="Z25" s="131"/>
      <c r="AA25" s="188"/>
      <c r="AB25" s="121"/>
      <c r="AC25" s="189"/>
      <c r="AD25" s="198"/>
      <c r="AE25" s="191"/>
      <c r="AF25" s="105"/>
      <c r="AG25" s="61"/>
      <c r="AH25" s="106"/>
      <c r="AI25" s="106"/>
      <c r="AJ25" s="106"/>
      <c r="AK25" s="105"/>
      <c r="AL25" s="105"/>
    </row>
    <row r="26" spans="1:38" s="196" customFormat="1" ht="15" customHeight="1">
      <c r="A26" s="194"/>
      <c r="B26" s="199"/>
      <c r="C26" s="199"/>
      <c r="D26" s="173"/>
      <c r="E26" s="167"/>
      <c r="F26" s="167"/>
      <c r="G26" s="172" t="s">
        <v>193</v>
      </c>
      <c r="H26" s="173">
        <v>1</v>
      </c>
      <c r="I26" s="174" t="s">
        <v>186</v>
      </c>
      <c r="J26" s="175" t="s">
        <v>182</v>
      </c>
      <c r="K26" s="176" t="s">
        <v>194</v>
      </c>
      <c r="L26" s="177"/>
      <c r="M26" s="193"/>
      <c r="N26" s="179"/>
      <c r="O26" s="180"/>
      <c r="P26" s="181"/>
      <c r="Q26" s="181"/>
      <c r="R26" s="182"/>
      <c r="S26" s="120"/>
      <c r="T26" s="183"/>
      <c r="U26" s="184"/>
      <c r="V26" s="121"/>
      <c r="W26" s="185"/>
      <c r="X26" s="186"/>
      <c r="Y26" s="187"/>
      <c r="Z26" s="131"/>
      <c r="AA26" s="188"/>
      <c r="AB26" s="121"/>
      <c r="AC26" s="197">
        <v>3.4000000000000002E-2</v>
      </c>
      <c r="AD26" s="198"/>
      <c r="AE26" s="191">
        <v>0.01</v>
      </c>
      <c r="AF26" s="105"/>
      <c r="AG26" s="61"/>
      <c r="AH26" s="106"/>
      <c r="AI26" s="106"/>
      <c r="AJ26" s="106"/>
      <c r="AK26" s="105"/>
      <c r="AL26" s="105"/>
    </row>
    <row r="27" spans="1:38" s="196" customFormat="1" ht="15" customHeight="1">
      <c r="A27" s="194"/>
      <c r="B27" s="199"/>
      <c r="C27" s="199"/>
      <c r="D27" s="173"/>
      <c r="E27" s="167"/>
      <c r="F27" s="167"/>
      <c r="G27" s="172" t="s">
        <v>193</v>
      </c>
      <c r="H27" s="173">
        <v>2</v>
      </c>
      <c r="I27" s="192" t="s">
        <v>186</v>
      </c>
      <c r="J27" s="175" t="s">
        <v>185</v>
      </c>
      <c r="K27" s="176" t="s">
        <v>194</v>
      </c>
      <c r="L27" s="177"/>
      <c r="M27" s="193"/>
      <c r="N27" s="179"/>
      <c r="O27" s="180"/>
      <c r="P27" s="181"/>
      <c r="Q27" s="181"/>
      <c r="R27" s="182"/>
      <c r="S27" s="120"/>
      <c r="T27" s="183"/>
      <c r="U27" s="184"/>
      <c r="V27" s="121"/>
      <c r="W27" s="185"/>
      <c r="X27" s="186"/>
      <c r="Y27" s="187"/>
      <c r="Z27" s="131"/>
      <c r="AA27" s="188"/>
      <c r="AB27" s="121"/>
      <c r="AC27" s="197">
        <v>3.4000000000000002E-2</v>
      </c>
      <c r="AD27" s="198"/>
      <c r="AE27" s="191">
        <v>0.01</v>
      </c>
      <c r="AF27" s="105"/>
      <c r="AG27" s="61"/>
      <c r="AH27" s="106"/>
      <c r="AI27" s="106"/>
      <c r="AJ27" s="106"/>
      <c r="AK27" s="105"/>
      <c r="AL27" s="105"/>
    </row>
    <row r="28" spans="1:38" s="196" customFormat="1" ht="15" customHeight="1">
      <c r="A28" s="194"/>
      <c r="B28" s="199"/>
      <c r="C28" s="199"/>
      <c r="D28" s="173"/>
      <c r="E28" s="167"/>
      <c r="F28" s="167"/>
      <c r="G28" s="172"/>
      <c r="H28" s="173"/>
      <c r="I28" s="174"/>
      <c r="J28" s="175"/>
      <c r="K28" s="176"/>
      <c r="L28" s="177"/>
      <c r="M28" s="193"/>
      <c r="N28" s="179"/>
      <c r="O28" s="180"/>
      <c r="P28" s="181"/>
      <c r="Q28" s="181"/>
      <c r="R28" s="182"/>
      <c r="S28" s="120"/>
      <c r="T28" s="183"/>
      <c r="U28" s="184"/>
      <c r="V28" s="121"/>
      <c r="W28" s="185"/>
      <c r="X28" s="186"/>
      <c r="Y28" s="187"/>
      <c r="Z28" s="131"/>
      <c r="AA28" s="188"/>
      <c r="AB28" s="121"/>
      <c r="AC28" s="197"/>
      <c r="AD28" s="198"/>
      <c r="AE28" s="200"/>
      <c r="AF28" s="105"/>
      <c r="AG28" s="61"/>
      <c r="AH28" s="106"/>
      <c r="AI28" s="106"/>
      <c r="AJ28" s="106"/>
      <c r="AK28" s="105"/>
      <c r="AL28" s="105"/>
    </row>
    <row r="29" spans="1:38" s="196" customFormat="1" ht="15" customHeight="1">
      <c r="A29" s="194"/>
      <c r="B29" s="199"/>
      <c r="C29" s="199"/>
      <c r="D29" s="173"/>
      <c r="E29" s="167"/>
      <c r="F29" s="167"/>
      <c r="G29" s="172" t="s">
        <v>195</v>
      </c>
      <c r="H29" s="173">
        <v>1</v>
      </c>
      <c r="I29" s="174" t="s">
        <v>186</v>
      </c>
      <c r="J29" s="175" t="s">
        <v>182</v>
      </c>
      <c r="K29" s="176" t="s">
        <v>196</v>
      </c>
      <c r="L29" s="177"/>
      <c r="M29" s="193"/>
      <c r="N29" s="179"/>
      <c r="O29" s="180"/>
      <c r="P29" s="181"/>
      <c r="Q29" s="181"/>
      <c r="R29" s="182"/>
      <c r="S29" s="120"/>
      <c r="T29" s="183"/>
      <c r="U29" s="184"/>
      <c r="V29" s="121"/>
      <c r="W29" s="185"/>
      <c r="X29" s="186" t="s">
        <v>0</v>
      </c>
      <c r="Y29" s="187"/>
      <c r="Z29" s="131"/>
      <c r="AA29" s="188"/>
      <c r="AB29" s="121"/>
      <c r="AC29" s="197">
        <v>3.4000000000000002E-2</v>
      </c>
      <c r="AD29" s="198"/>
      <c r="AE29" s="191">
        <v>0.01</v>
      </c>
      <c r="AF29" s="105"/>
      <c r="AG29" s="61"/>
      <c r="AH29" s="106"/>
      <c r="AI29" s="106"/>
      <c r="AJ29" s="106"/>
      <c r="AK29" s="105"/>
      <c r="AL29" s="105"/>
    </row>
    <row r="30" spans="1:38" s="196" customFormat="1" ht="15" customHeight="1">
      <c r="A30" s="194"/>
      <c r="B30" s="199"/>
      <c r="C30" s="199"/>
      <c r="D30" s="173"/>
      <c r="E30" s="167"/>
      <c r="F30" s="167"/>
      <c r="G30" s="172" t="s">
        <v>195</v>
      </c>
      <c r="H30" s="173">
        <v>2</v>
      </c>
      <c r="I30" s="174" t="s">
        <v>186</v>
      </c>
      <c r="J30" s="175" t="s">
        <v>185</v>
      </c>
      <c r="K30" s="176" t="s">
        <v>196</v>
      </c>
      <c r="L30" s="177"/>
      <c r="M30" s="193"/>
      <c r="N30" s="179"/>
      <c r="O30" s="180"/>
      <c r="P30" s="181"/>
      <c r="Q30" s="181"/>
      <c r="R30" s="182"/>
      <c r="S30" s="120"/>
      <c r="T30" s="183"/>
      <c r="U30" s="184"/>
      <c r="V30" s="121"/>
      <c r="W30" s="185"/>
      <c r="X30" s="186" t="s">
        <v>0</v>
      </c>
      <c r="Y30" s="187"/>
      <c r="Z30" s="131"/>
      <c r="AA30" s="188"/>
      <c r="AB30" s="121"/>
      <c r="AC30" s="197">
        <v>3.4000000000000002E-2</v>
      </c>
      <c r="AD30" s="198"/>
      <c r="AE30" s="191">
        <v>0.01</v>
      </c>
      <c r="AF30" s="105"/>
      <c r="AG30" s="61"/>
      <c r="AH30" s="106"/>
      <c r="AI30" s="106"/>
      <c r="AJ30" s="106"/>
      <c r="AK30" s="105"/>
      <c r="AL30" s="105"/>
    </row>
    <row r="31" spans="1:38" s="196" customFormat="1" ht="15" customHeight="1">
      <c r="A31" s="194"/>
      <c r="B31" s="199"/>
      <c r="C31" s="199"/>
      <c r="D31" s="173"/>
      <c r="E31" s="167"/>
      <c r="F31" s="167"/>
      <c r="G31" s="172"/>
      <c r="H31" s="173"/>
      <c r="I31" s="174"/>
      <c r="J31" s="175"/>
      <c r="K31" s="176"/>
      <c r="L31" s="177"/>
      <c r="M31" s="193"/>
      <c r="N31" s="179"/>
      <c r="O31" s="180"/>
      <c r="P31" s="181"/>
      <c r="Q31" s="181"/>
      <c r="R31" s="182"/>
      <c r="S31" s="120"/>
      <c r="T31" s="183"/>
      <c r="U31" s="184"/>
      <c r="V31" s="121"/>
      <c r="W31" s="185"/>
      <c r="X31" s="186"/>
      <c r="Y31" s="187"/>
      <c r="Z31" s="131"/>
      <c r="AA31" s="188"/>
      <c r="AB31" s="121"/>
      <c r="AC31" s="197"/>
      <c r="AD31" s="198"/>
      <c r="AE31" s="191"/>
      <c r="AF31" s="105"/>
      <c r="AG31" s="61"/>
      <c r="AH31" s="106"/>
      <c r="AI31" s="106"/>
      <c r="AJ31" s="106"/>
      <c r="AK31" s="105"/>
      <c r="AL31" s="105"/>
    </row>
    <row r="32" spans="1:38" s="196" customFormat="1" ht="15" customHeight="1">
      <c r="A32" s="194"/>
      <c r="B32" s="195"/>
      <c r="C32" s="195"/>
      <c r="D32" s="173"/>
      <c r="E32" s="167"/>
      <c r="F32" s="167"/>
      <c r="G32" s="172" t="s">
        <v>197</v>
      </c>
      <c r="H32" s="173">
        <v>1</v>
      </c>
      <c r="I32" s="192" t="s">
        <v>186</v>
      </c>
      <c r="J32" s="175" t="s">
        <v>182</v>
      </c>
      <c r="K32" s="176" t="s">
        <v>198</v>
      </c>
      <c r="L32" s="177"/>
      <c r="M32" s="193"/>
      <c r="N32" s="179"/>
      <c r="O32" s="201"/>
      <c r="P32" s="202"/>
      <c r="Q32" s="202"/>
      <c r="R32" s="182"/>
      <c r="S32" s="120"/>
      <c r="T32" s="183"/>
      <c r="U32" s="184"/>
      <c r="V32" s="121"/>
      <c r="W32" s="131"/>
      <c r="X32" s="188"/>
      <c r="Y32" s="183"/>
      <c r="Z32" s="131"/>
      <c r="AA32" s="188"/>
      <c r="AB32" s="121"/>
      <c r="AC32" s="189">
        <v>3.4000000000000002E-2</v>
      </c>
      <c r="AD32" s="198"/>
      <c r="AE32" s="191">
        <v>0.01</v>
      </c>
      <c r="AF32" s="105"/>
      <c r="AG32" s="61"/>
      <c r="AH32" s="106"/>
      <c r="AI32" s="106"/>
      <c r="AJ32" s="106"/>
      <c r="AK32" s="105"/>
      <c r="AL32" s="105"/>
    </row>
    <row r="33" spans="1:42" s="196" customFormat="1" ht="15" customHeight="1">
      <c r="A33" s="194"/>
      <c r="B33" s="195"/>
      <c r="C33" s="195"/>
      <c r="D33" s="173"/>
      <c r="E33" s="167"/>
      <c r="F33" s="167"/>
      <c r="G33" s="172" t="s">
        <v>197</v>
      </c>
      <c r="H33" s="173">
        <v>2</v>
      </c>
      <c r="I33" s="192" t="s">
        <v>186</v>
      </c>
      <c r="J33" s="175" t="s">
        <v>185</v>
      </c>
      <c r="K33" s="176" t="s">
        <v>198</v>
      </c>
      <c r="L33" s="177"/>
      <c r="M33" s="193"/>
      <c r="N33" s="179"/>
      <c r="O33" s="201"/>
      <c r="P33" s="202"/>
      <c r="Q33" s="202"/>
      <c r="R33" s="182"/>
      <c r="S33" s="120"/>
      <c r="T33" s="183"/>
      <c r="U33" s="184"/>
      <c r="V33" s="121"/>
      <c r="W33" s="131"/>
      <c r="X33" s="188"/>
      <c r="Y33" s="183"/>
      <c r="Z33" s="131"/>
      <c r="AA33" s="188"/>
      <c r="AB33" s="121"/>
      <c r="AC33" s="189">
        <v>3.4000000000000002E-2</v>
      </c>
      <c r="AD33" s="198"/>
      <c r="AE33" s="191">
        <v>0.01</v>
      </c>
      <c r="AF33" s="105"/>
      <c r="AG33" s="61"/>
      <c r="AH33" s="106"/>
      <c r="AI33" s="106"/>
      <c r="AJ33" s="106"/>
      <c r="AK33" s="105"/>
      <c r="AL33" s="105"/>
    </row>
    <row r="34" spans="1:42" s="196" customFormat="1" ht="15" customHeight="1">
      <c r="A34" s="194"/>
      <c r="B34" s="195"/>
      <c r="C34" s="195"/>
      <c r="D34" s="173"/>
      <c r="E34" s="167"/>
      <c r="F34" s="167"/>
      <c r="G34" s="172"/>
      <c r="H34" s="173"/>
      <c r="I34" s="192"/>
      <c r="J34" s="175"/>
      <c r="L34" s="177"/>
      <c r="M34" s="193"/>
      <c r="N34" s="179"/>
      <c r="O34" s="201"/>
      <c r="P34" s="202"/>
      <c r="Q34" s="202"/>
      <c r="R34" s="182"/>
      <c r="S34" s="120"/>
      <c r="T34" s="183"/>
      <c r="U34" s="184"/>
      <c r="V34" s="121"/>
      <c r="W34" s="131"/>
      <c r="X34" s="188"/>
      <c r="Y34" s="183"/>
      <c r="Z34" s="131"/>
      <c r="AA34" s="188"/>
      <c r="AB34" s="121"/>
      <c r="AC34" s="189"/>
      <c r="AD34" s="198"/>
      <c r="AE34" s="191"/>
      <c r="AF34" s="105"/>
      <c r="AG34" s="61"/>
      <c r="AH34" s="106"/>
      <c r="AI34" s="106"/>
      <c r="AJ34" s="106"/>
      <c r="AK34" s="105"/>
      <c r="AL34" s="105"/>
    </row>
    <row r="35" spans="1:42" s="196" customFormat="1" ht="15" customHeight="1">
      <c r="A35" s="194"/>
      <c r="B35" s="195"/>
      <c r="C35" s="195"/>
      <c r="D35" s="173"/>
      <c r="E35" s="167"/>
      <c r="F35" s="167"/>
      <c r="G35" s="172" t="s">
        <v>199</v>
      </c>
      <c r="H35" s="173">
        <v>1</v>
      </c>
      <c r="I35" s="192" t="s">
        <v>186</v>
      </c>
      <c r="J35" s="175" t="s">
        <v>182</v>
      </c>
      <c r="K35" s="176" t="s">
        <v>200</v>
      </c>
      <c r="L35" s="177"/>
      <c r="M35" s="193"/>
      <c r="N35" s="179"/>
      <c r="O35" s="201"/>
      <c r="P35" s="202"/>
      <c r="Q35" s="202"/>
      <c r="R35" s="182"/>
      <c r="S35" s="120"/>
      <c r="T35" s="183"/>
      <c r="U35" s="184"/>
      <c r="V35" s="121"/>
      <c r="W35" s="131"/>
      <c r="X35" s="188"/>
      <c r="Y35" s="183"/>
      <c r="Z35" s="131"/>
      <c r="AA35" s="188"/>
      <c r="AB35" s="121"/>
      <c r="AC35" s="189">
        <v>3.4000000000000002E-2</v>
      </c>
      <c r="AD35" s="198"/>
      <c r="AE35" s="191"/>
      <c r="AF35" s="105"/>
      <c r="AG35" s="61"/>
      <c r="AH35" s="106"/>
      <c r="AI35" s="106"/>
      <c r="AJ35" s="106"/>
      <c r="AK35" s="105"/>
      <c r="AL35" s="105"/>
    </row>
    <row r="36" spans="1:42" s="196" customFormat="1" ht="15" customHeight="1">
      <c r="A36" s="194"/>
      <c r="B36" s="195"/>
      <c r="C36" s="195"/>
      <c r="D36" s="173"/>
      <c r="E36" s="167"/>
      <c r="F36" s="167"/>
      <c r="G36" s="172" t="s">
        <v>199</v>
      </c>
      <c r="H36" s="173">
        <v>2</v>
      </c>
      <c r="I36" s="192" t="s">
        <v>186</v>
      </c>
      <c r="J36" s="175" t="s">
        <v>185</v>
      </c>
      <c r="K36" s="176" t="s">
        <v>200</v>
      </c>
      <c r="L36" s="177"/>
      <c r="M36" s="193"/>
      <c r="N36" s="179"/>
      <c r="O36" s="201"/>
      <c r="P36" s="202"/>
      <c r="Q36" s="202"/>
      <c r="R36" s="182"/>
      <c r="S36" s="120"/>
      <c r="T36" s="183"/>
      <c r="U36" s="184"/>
      <c r="V36" s="121"/>
      <c r="W36" s="131"/>
      <c r="X36" s="188"/>
      <c r="Y36" s="183"/>
      <c r="Z36" s="131"/>
      <c r="AA36" s="188"/>
      <c r="AB36" s="121"/>
      <c r="AC36" s="189">
        <v>3.4000000000000002E-2</v>
      </c>
      <c r="AD36" s="198"/>
      <c r="AE36" s="191"/>
      <c r="AF36" s="105"/>
      <c r="AG36" s="61"/>
      <c r="AH36" s="106"/>
      <c r="AI36" s="106"/>
      <c r="AJ36" s="106"/>
      <c r="AK36" s="105"/>
      <c r="AL36" s="105"/>
    </row>
    <row r="37" spans="1:42" s="196" customFormat="1" ht="15" customHeight="1">
      <c r="A37" s="194"/>
      <c r="B37" s="131"/>
      <c r="C37" s="131"/>
      <c r="D37" s="203"/>
      <c r="E37" s="167"/>
      <c r="F37" s="167"/>
      <c r="G37" s="204"/>
      <c r="H37" s="203"/>
      <c r="I37" s="111"/>
      <c r="J37" s="205"/>
      <c r="K37" s="206"/>
      <c r="L37" s="177"/>
      <c r="M37" s="193"/>
      <c r="N37" s="179"/>
      <c r="O37" s="180"/>
      <c r="P37" s="181"/>
      <c r="Q37" s="181"/>
      <c r="R37" s="182"/>
      <c r="S37" s="120"/>
      <c r="T37" s="183"/>
      <c r="U37" s="184"/>
      <c r="V37" s="121"/>
      <c r="W37" s="185"/>
      <c r="X37" s="186"/>
      <c r="Y37" s="187"/>
      <c r="Z37" s="131"/>
      <c r="AA37" s="188"/>
      <c r="AB37" s="121"/>
      <c r="AC37" s="189"/>
      <c r="AD37" s="198"/>
      <c r="AE37" s="191"/>
      <c r="AF37" s="105"/>
      <c r="AG37" s="61"/>
      <c r="AH37" s="106"/>
      <c r="AI37" s="106"/>
      <c r="AJ37" s="106"/>
      <c r="AK37" s="105"/>
      <c r="AL37" s="105"/>
    </row>
    <row r="38" spans="1:42" s="130" customFormat="1" ht="15" customHeight="1">
      <c r="A38" s="207" t="s">
        <v>114</v>
      </c>
      <c r="B38" s="208"/>
      <c r="C38" s="208"/>
      <c r="D38" s="209"/>
      <c r="E38" s="209"/>
      <c r="F38" s="209"/>
      <c r="G38" s="210"/>
      <c r="H38" s="209"/>
      <c r="I38" s="147"/>
      <c r="J38" s="211"/>
      <c r="K38" s="212"/>
      <c r="L38" s="213"/>
      <c r="M38" s="214"/>
      <c r="N38" s="215"/>
      <c r="O38" s="216"/>
      <c r="P38" s="217"/>
      <c r="Q38" s="217"/>
      <c r="R38" s="218"/>
      <c r="S38" s="219"/>
      <c r="T38" s="220"/>
      <c r="U38" s="221"/>
      <c r="V38" s="222"/>
      <c r="W38" s="223"/>
      <c r="X38" s="224"/>
      <c r="Y38" s="225"/>
      <c r="Z38" s="226"/>
      <c r="AA38" s="227"/>
      <c r="AB38" s="222"/>
      <c r="AC38" s="228"/>
      <c r="AD38" s="229"/>
      <c r="AE38" s="230"/>
      <c r="AF38" s="105"/>
      <c r="AG38" s="61"/>
      <c r="AH38" s="106"/>
      <c r="AI38" s="106"/>
      <c r="AJ38" s="106"/>
      <c r="AK38" s="105"/>
      <c r="AL38" s="105"/>
    </row>
    <row r="39" spans="1:42" s="196" customFormat="1" ht="15" customHeight="1">
      <c r="A39" s="166"/>
      <c r="B39" s="165">
        <v>200092189575</v>
      </c>
      <c r="C39" s="165">
        <v>10777291</v>
      </c>
      <c r="D39" s="166" t="s">
        <v>201</v>
      </c>
      <c r="E39" s="167"/>
      <c r="F39" s="167" t="s">
        <v>202</v>
      </c>
      <c r="G39" s="173"/>
      <c r="H39" s="231"/>
      <c r="I39" s="174"/>
      <c r="J39" s="232"/>
      <c r="K39" s="233"/>
      <c r="L39" s="177"/>
      <c r="M39" s="193"/>
      <c r="N39" s="179"/>
      <c r="O39" s="180"/>
      <c r="P39" s="181"/>
      <c r="Q39" s="181"/>
      <c r="R39" s="182"/>
      <c r="S39" s="120"/>
      <c r="T39" s="183"/>
      <c r="U39" s="184"/>
      <c r="V39" s="121"/>
      <c r="W39" s="185"/>
      <c r="X39" s="186"/>
      <c r="Y39" s="187"/>
      <c r="Z39" s="131"/>
      <c r="AA39" s="188"/>
      <c r="AB39" s="121"/>
      <c r="AC39" s="189"/>
      <c r="AD39" s="198"/>
      <c r="AE39" s="191"/>
      <c r="AF39" s="105"/>
      <c r="AG39" s="61"/>
      <c r="AH39" s="106"/>
      <c r="AI39" s="106"/>
      <c r="AJ39" s="106"/>
      <c r="AK39" s="105"/>
      <c r="AL39" s="105"/>
      <c r="AO39" s="105"/>
      <c r="AP39" s="61"/>
    </row>
    <row r="40" spans="1:42" s="196" customFormat="1" ht="15" customHeight="1">
      <c r="A40" s="194"/>
      <c r="B40" s="234"/>
      <c r="C40" s="234"/>
      <c r="D40" s="166"/>
      <c r="E40" s="167" t="s">
        <v>203</v>
      </c>
      <c r="F40" s="167"/>
      <c r="G40" s="173" t="s">
        <v>204</v>
      </c>
      <c r="H40" s="173" t="s">
        <v>180</v>
      </c>
      <c r="I40" s="174" t="s">
        <v>181</v>
      </c>
      <c r="J40" s="175" t="s">
        <v>182</v>
      </c>
      <c r="K40" s="233" t="s">
        <v>205</v>
      </c>
      <c r="L40" s="177"/>
      <c r="M40" s="193"/>
      <c r="N40" s="179"/>
      <c r="O40" s="180"/>
      <c r="P40" s="181"/>
      <c r="Q40" s="181"/>
      <c r="R40" s="182"/>
      <c r="S40" s="120"/>
      <c r="T40" s="183"/>
      <c r="U40" s="184"/>
      <c r="V40" s="121"/>
      <c r="W40" s="185"/>
      <c r="X40" s="186"/>
      <c r="Y40" s="187"/>
      <c r="Z40" s="131"/>
      <c r="AA40" s="188"/>
      <c r="AB40" s="121"/>
      <c r="AC40" s="189">
        <v>3.4000000000000002E-2</v>
      </c>
      <c r="AD40" s="198"/>
      <c r="AE40" s="191">
        <v>0.01</v>
      </c>
      <c r="AF40" s="105"/>
      <c r="AG40" s="61"/>
      <c r="AH40" s="106"/>
      <c r="AI40" s="106"/>
      <c r="AJ40" s="105"/>
      <c r="AK40" s="105"/>
      <c r="AL40" s="61"/>
    </row>
    <row r="41" spans="1:42" s="196" customFormat="1" ht="15" customHeight="1">
      <c r="A41" s="194"/>
      <c r="B41" s="234"/>
      <c r="C41" s="234"/>
      <c r="D41" s="166"/>
      <c r="E41" s="167"/>
      <c r="F41" s="167"/>
      <c r="G41" s="173" t="s">
        <v>204</v>
      </c>
      <c r="H41" s="173">
        <v>2</v>
      </c>
      <c r="I41" s="192" t="s">
        <v>181</v>
      </c>
      <c r="J41" s="175" t="s">
        <v>185</v>
      </c>
      <c r="K41" s="233" t="s">
        <v>205</v>
      </c>
      <c r="L41" s="177"/>
      <c r="M41" s="193"/>
      <c r="N41" s="179"/>
      <c r="O41" s="180"/>
      <c r="P41" s="181"/>
      <c r="Q41" s="181"/>
      <c r="R41" s="182"/>
      <c r="S41" s="120"/>
      <c r="T41" s="183"/>
      <c r="U41" s="184"/>
      <c r="V41" s="121"/>
      <c r="W41" s="185"/>
      <c r="X41" s="186"/>
      <c r="Y41" s="187"/>
      <c r="Z41" s="131"/>
      <c r="AA41" s="188"/>
      <c r="AB41" s="121"/>
      <c r="AC41" s="189">
        <v>3.4000000000000002E-2</v>
      </c>
      <c r="AD41" s="198"/>
      <c r="AE41" s="191">
        <v>0.01</v>
      </c>
      <c r="AF41" s="105"/>
      <c r="AG41" s="61"/>
      <c r="AH41" s="106"/>
      <c r="AI41" s="106"/>
      <c r="AJ41" s="105"/>
      <c r="AK41" s="105"/>
      <c r="AL41" s="61"/>
    </row>
    <row r="42" spans="1:42" s="196" customFormat="1" ht="15" customHeight="1">
      <c r="A42" s="194"/>
      <c r="B42" s="234"/>
      <c r="C42" s="234"/>
      <c r="D42" s="166"/>
      <c r="E42" s="167"/>
      <c r="F42" s="167"/>
      <c r="G42" s="173"/>
      <c r="H42" s="231"/>
      <c r="I42" s="174"/>
      <c r="J42" s="232"/>
      <c r="K42" s="233"/>
      <c r="L42" s="177"/>
      <c r="M42" s="193"/>
      <c r="N42" s="179"/>
      <c r="O42" s="180"/>
      <c r="P42" s="181"/>
      <c r="Q42" s="181"/>
      <c r="R42" s="182"/>
      <c r="S42" s="120"/>
      <c r="T42" s="183"/>
      <c r="U42" s="184"/>
      <c r="V42" s="121"/>
      <c r="W42" s="185"/>
      <c r="X42" s="186"/>
      <c r="Y42" s="187"/>
      <c r="Z42" s="131"/>
      <c r="AA42" s="188"/>
      <c r="AB42" s="121"/>
      <c r="AC42" s="189"/>
      <c r="AD42" s="198"/>
      <c r="AE42" s="191"/>
      <c r="AF42" s="105"/>
      <c r="AG42" s="61"/>
      <c r="AH42" s="106"/>
      <c r="AI42" s="106"/>
      <c r="AJ42" s="105"/>
      <c r="AK42" s="105"/>
      <c r="AL42" s="61"/>
    </row>
    <row r="43" spans="1:42" s="196" customFormat="1" ht="15" customHeight="1">
      <c r="A43" s="194"/>
      <c r="B43" s="234"/>
      <c r="C43" s="234"/>
      <c r="D43" s="166"/>
      <c r="E43" s="167" t="s">
        <v>206</v>
      </c>
      <c r="F43" s="167"/>
      <c r="G43" s="172" t="s">
        <v>207</v>
      </c>
      <c r="H43" s="173" t="s">
        <v>180</v>
      </c>
      <c r="I43" s="174" t="s">
        <v>181</v>
      </c>
      <c r="J43" s="175" t="s">
        <v>182</v>
      </c>
      <c r="K43" s="176" t="s">
        <v>208</v>
      </c>
      <c r="L43" s="177"/>
      <c r="M43" s="193"/>
      <c r="N43" s="179"/>
      <c r="O43" s="180"/>
      <c r="P43" s="181"/>
      <c r="Q43" s="181"/>
      <c r="R43" s="182"/>
      <c r="S43" s="120"/>
      <c r="T43" s="183"/>
      <c r="U43" s="184"/>
      <c r="V43" s="121"/>
      <c r="W43" s="185"/>
      <c r="X43" s="186"/>
      <c r="Y43" s="187"/>
      <c r="Z43" s="131"/>
      <c r="AA43" s="188"/>
      <c r="AB43" s="121"/>
      <c r="AC43" s="189">
        <v>3.4000000000000002E-2</v>
      </c>
      <c r="AD43" s="198"/>
      <c r="AE43" s="191">
        <v>0.01</v>
      </c>
      <c r="AF43" s="105"/>
      <c r="AG43" s="61"/>
      <c r="AH43" s="106"/>
      <c r="AI43" s="106"/>
      <c r="AJ43" s="105"/>
      <c r="AK43" s="105"/>
      <c r="AL43" s="61"/>
    </row>
    <row r="44" spans="1:42" s="196" customFormat="1" ht="15" customHeight="1">
      <c r="A44" s="194"/>
      <c r="B44" s="234"/>
      <c r="C44" s="234"/>
      <c r="D44" s="166"/>
      <c r="E44" s="167"/>
      <c r="F44" s="167"/>
      <c r="G44" s="172" t="s">
        <v>207</v>
      </c>
      <c r="H44" s="173">
        <v>2</v>
      </c>
      <c r="I44" s="192" t="s">
        <v>181</v>
      </c>
      <c r="J44" s="175" t="s">
        <v>185</v>
      </c>
      <c r="K44" s="176" t="s">
        <v>208</v>
      </c>
      <c r="L44" s="177"/>
      <c r="M44" s="193"/>
      <c r="N44" s="179"/>
      <c r="O44" s="180"/>
      <c r="P44" s="181"/>
      <c r="Q44" s="181"/>
      <c r="R44" s="182"/>
      <c r="S44" s="120"/>
      <c r="T44" s="183"/>
      <c r="U44" s="184"/>
      <c r="V44" s="121"/>
      <c r="W44" s="185"/>
      <c r="X44" s="186"/>
      <c r="Y44" s="187"/>
      <c r="Z44" s="131"/>
      <c r="AA44" s="188"/>
      <c r="AB44" s="121"/>
      <c r="AC44" s="189">
        <v>3.4000000000000002E-2</v>
      </c>
      <c r="AD44" s="198"/>
      <c r="AE44" s="191">
        <v>0.01</v>
      </c>
      <c r="AF44" s="105"/>
      <c r="AG44" s="61"/>
      <c r="AH44" s="106"/>
      <c r="AI44" s="106"/>
      <c r="AJ44" s="105"/>
      <c r="AK44" s="105"/>
      <c r="AL44" s="61"/>
    </row>
    <row r="45" spans="1:42" s="196" customFormat="1" ht="15" customHeight="1">
      <c r="A45" s="194"/>
      <c r="B45" s="202"/>
      <c r="C45" s="202"/>
      <c r="D45" s="203"/>
      <c r="E45" s="167"/>
      <c r="F45" s="167"/>
      <c r="G45" s="203"/>
      <c r="H45" s="235"/>
      <c r="I45" s="111"/>
      <c r="J45" s="236"/>
      <c r="K45" s="237"/>
      <c r="L45" s="177"/>
      <c r="M45" s="193"/>
      <c r="N45" s="179"/>
      <c r="O45" s="180"/>
      <c r="P45" s="181"/>
      <c r="Q45" s="181"/>
      <c r="R45" s="182"/>
      <c r="S45" s="120"/>
      <c r="T45" s="183"/>
      <c r="U45" s="184"/>
      <c r="V45" s="121"/>
      <c r="W45" s="185"/>
      <c r="X45" s="186"/>
      <c r="Y45" s="187"/>
      <c r="Z45" s="131"/>
      <c r="AA45" s="188"/>
      <c r="AB45" s="121"/>
      <c r="AC45" s="189"/>
      <c r="AD45" s="198"/>
      <c r="AE45" s="191"/>
      <c r="AF45" s="105"/>
      <c r="AG45" s="61"/>
      <c r="AH45" s="106"/>
      <c r="AI45" s="106"/>
      <c r="AJ45" s="105"/>
      <c r="AK45" s="105"/>
      <c r="AL45" s="61"/>
    </row>
    <row r="46" spans="1:42" s="196" customFormat="1" ht="21.75" customHeight="1">
      <c r="A46" s="142" t="s">
        <v>209</v>
      </c>
      <c r="B46" s="213"/>
      <c r="C46" s="213"/>
      <c r="D46" s="213"/>
      <c r="E46" s="213"/>
      <c r="F46" s="213"/>
      <c r="G46" s="213"/>
      <c r="H46" s="213"/>
      <c r="I46" s="213"/>
      <c r="J46" s="213"/>
      <c r="K46" s="213"/>
      <c r="L46" s="213"/>
      <c r="M46" s="214"/>
      <c r="N46" s="215"/>
      <c r="O46" s="216"/>
      <c r="P46" s="217"/>
      <c r="Q46" s="217"/>
      <c r="R46" s="218"/>
      <c r="S46" s="219"/>
      <c r="T46" s="220"/>
      <c r="U46" s="221"/>
      <c r="V46" s="222"/>
      <c r="W46" s="223"/>
      <c r="X46" s="224"/>
      <c r="Y46" s="225"/>
      <c r="Z46" s="226"/>
      <c r="AA46" s="227"/>
      <c r="AB46" s="222"/>
      <c r="AC46" s="228"/>
      <c r="AD46" s="229"/>
      <c r="AE46" s="230"/>
      <c r="AF46" s="105"/>
      <c r="AG46" s="61"/>
      <c r="AH46" s="106"/>
      <c r="AI46" s="106"/>
      <c r="AJ46" s="106"/>
      <c r="AK46" s="105"/>
      <c r="AL46" s="105"/>
      <c r="AO46" s="105"/>
      <c r="AP46" s="61"/>
    </row>
    <row r="47" spans="1:42" s="196" customFormat="1" ht="19.5" customHeight="1">
      <c r="A47" s="800" t="s">
        <v>210</v>
      </c>
      <c r="B47" s="801"/>
      <c r="C47" s="801"/>
      <c r="D47" s="801"/>
      <c r="E47" s="801"/>
      <c r="F47" s="801"/>
      <c r="G47" s="801"/>
      <c r="H47" s="801"/>
      <c r="I47" s="801"/>
      <c r="J47" s="801"/>
      <c r="K47" s="802"/>
      <c r="L47" s="177"/>
      <c r="M47" s="193"/>
      <c r="N47" s="179"/>
      <c r="O47" s="180"/>
      <c r="P47" s="181"/>
      <c r="Q47" s="181"/>
      <c r="R47" s="182"/>
      <c r="S47" s="120"/>
      <c r="T47" s="183"/>
      <c r="U47" s="184"/>
      <c r="V47" s="121"/>
      <c r="W47" s="185"/>
      <c r="X47" s="186"/>
      <c r="Y47" s="187"/>
      <c r="Z47" s="131"/>
      <c r="AA47" s="188"/>
      <c r="AB47" s="121"/>
      <c r="AC47" s="189"/>
      <c r="AD47" s="198"/>
      <c r="AE47" s="191"/>
      <c r="AF47" s="105"/>
      <c r="AG47" s="61"/>
      <c r="AH47" s="106"/>
      <c r="AI47" s="106"/>
      <c r="AJ47" s="106"/>
      <c r="AK47" s="105"/>
      <c r="AL47" s="105"/>
      <c r="AO47" s="105"/>
      <c r="AP47" s="61"/>
    </row>
    <row r="48" spans="1:42" s="196" customFormat="1" ht="15" customHeight="1">
      <c r="A48" s="238"/>
      <c r="B48" s="179">
        <v>200092189575</v>
      </c>
      <c r="C48" s="131">
        <v>10982662</v>
      </c>
      <c r="D48" s="203" t="s">
        <v>211</v>
      </c>
      <c r="E48" s="167"/>
      <c r="F48" s="167" t="s">
        <v>212</v>
      </c>
      <c r="G48" s="239"/>
      <c r="H48" s="111"/>
      <c r="I48" s="111"/>
      <c r="J48" s="240"/>
      <c r="K48" s="206"/>
      <c r="L48" s="241"/>
      <c r="M48" s="242"/>
      <c r="N48" s="243"/>
      <c r="O48" s="244"/>
      <c r="P48" s="245"/>
      <c r="Q48" s="245"/>
      <c r="R48" s="246"/>
      <c r="S48" s="247"/>
      <c r="T48" s="248"/>
      <c r="U48" s="249"/>
      <c r="V48" s="250"/>
      <c r="W48" s="251"/>
      <c r="X48" s="252"/>
      <c r="Y48" s="253"/>
      <c r="Z48" s="254"/>
      <c r="AA48" s="255"/>
      <c r="AB48" s="250"/>
      <c r="AC48" s="189"/>
      <c r="AD48" s="198"/>
      <c r="AE48" s="191"/>
      <c r="AF48" s="105"/>
      <c r="AG48" s="61"/>
      <c r="AH48" s="106"/>
      <c r="AI48" s="106"/>
      <c r="AJ48" s="106"/>
      <c r="AK48" s="105"/>
      <c r="AL48" s="105"/>
      <c r="AN48" s="105"/>
      <c r="AO48" s="105"/>
      <c r="AP48" s="61"/>
    </row>
    <row r="49" spans="1:42" s="196" customFormat="1" ht="15" customHeight="1">
      <c r="A49" s="166"/>
      <c r="B49" s="234"/>
      <c r="C49" s="234"/>
      <c r="D49" s="166"/>
      <c r="E49" s="167" t="s">
        <v>213</v>
      </c>
      <c r="F49" s="167"/>
      <c r="G49" s="172" t="s">
        <v>214</v>
      </c>
      <c r="H49" s="173">
        <v>1</v>
      </c>
      <c r="I49" s="192" t="s">
        <v>181</v>
      </c>
      <c r="J49" s="175" t="s">
        <v>182</v>
      </c>
      <c r="K49" s="176" t="s">
        <v>215</v>
      </c>
      <c r="L49" s="177"/>
      <c r="M49" s="193"/>
      <c r="N49" s="179"/>
      <c r="O49" s="180"/>
      <c r="P49" s="181"/>
      <c r="Q49" s="181"/>
      <c r="R49" s="182"/>
      <c r="S49" s="120"/>
      <c r="T49" s="183"/>
      <c r="U49" s="184"/>
      <c r="V49" s="121"/>
      <c r="W49" s="185"/>
      <c r="X49" s="186"/>
      <c r="Y49" s="187"/>
      <c r="Z49" s="131"/>
      <c r="AA49" s="188"/>
      <c r="AB49" s="121"/>
      <c r="AC49" s="189">
        <v>3.4000000000000002E-2</v>
      </c>
      <c r="AD49" s="190"/>
      <c r="AE49" s="191"/>
      <c r="AF49" s="105"/>
      <c r="AG49" s="61"/>
      <c r="AH49" s="106"/>
      <c r="AI49" s="106"/>
      <c r="AJ49" s="106"/>
      <c r="AK49" s="105"/>
      <c r="AL49" s="105"/>
    </row>
    <row r="50" spans="1:42" s="196" customFormat="1" ht="15" customHeight="1">
      <c r="A50" s="256"/>
      <c r="B50" s="234"/>
      <c r="C50" s="234"/>
      <c r="D50" s="166"/>
      <c r="E50" s="167"/>
      <c r="F50" s="167"/>
      <c r="G50" s="172" t="s">
        <v>214</v>
      </c>
      <c r="H50" s="173">
        <v>2</v>
      </c>
      <c r="I50" s="174" t="s">
        <v>181</v>
      </c>
      <c r="J50" s="232" t="s">
        <v>185</v>
      </c>
      <c r="K50" s="176" t="s">
        <v>215</v>
      </c>
      <c r="L50" s="177"/>
      <c r="M50" s="193"/>
      <c r="N50" s="179"/>
      <c r="O50" s="180"/>
      <c r="P50" s="181"/>
      <c r="Q50" s="181"/>
      <c r="R50" s="182"/>
      <c r="S50" s="120"/>
      <c r="T50" s="183"/>
      <c r="U50" s="184"/>
      <c r="V50" s="121"/>
      <c r="W50" s="185"/>
      <c r="X50" s="186"/>
      <c r="Y50" s="187"/>
      <c r="Z50" s="131"/>
      <c r="AA50" s="188"/>
      <c r="AB50" s="121"/>
      <c r="AC50" s="189">
        <v>3.4000000000000002E-2</v>
      </c>
      <c r="AD50" s="190"/>
      <c r="AE50" s="191"/>
      <c r="AF50" s="105"/>
      <c r="AG50" s="61"/>
      <c r="AH50" s="106"/>
      <c r="AI50" s="106"/>
      <c r="AJ50" s="106"/>
      <c r="AK50" s="105"/>
      <c r="AL50" s="105"/>
    </row>
    <row r="51" spans="1:42" s="196" customFormat="1" ht="15" customHeight="1">
      <c r="A51" s="256"/>
      <c r="B51" s="234"/>
      <c r="C51" s="234"/>
      <c r="D51" s="166"/>
      <c r="E51" s="167"/>
      <c r="F51" s="167"/>
      <c r="G51" s="172" t="s">
        <v>214</v>
      </c>
      <c r="H51" s="173">
        <v>3</v>
      </c>
      <c r="I51" s="174" t="s">
        <v>186</v>
      </c>
      <c r="J51" s="232" t="s">
        <v>187</v>
      </c>
      <c r="K51" s="176" t="s">
        <v>215</v>
      </c>
      <c r="L51" s="177"/>
      <c r="M51" s="193"/>
      <c r="N51" s="179"/>
      <c r="O51" s="180"/>
      <c r="P51" s="181"/>
      <c r="Q51" s="181"/>
      <c r="R51" s="182"/>
      <c r="S51" s="120"/>
      <c r="T51" s="183"/>
      <c r="U51" s="184"/>
      <c r="V51" s="121"/>
      <c r="W51" s="185"/>
      <c r="X51" s="186"/>
      <c r="Y51" s="187"/>
      <c r="Z51" s="131"/>
      <c r="AA51" s="188"/>
      <c r="AB51" s="121"/>
      <c r="AC51" s="189"/>
      <c r="AD51" s="190"/>
      <c r="AE51" s="191"/>
      <c r="AF51" s="105"/>
      <c r="AG51" s="61"/>
      <c r="AH51" s="106"/>
      <c r="AI51" s="106"/>
      <c r="AJ51" s="106"/>
      <c r="AK51" s="105"/>
      <c r="AL51" s="105"/>
    </row>
    <row r="52" spans="1:42" s="196" customFormat="1" ht="15" customHeight="1">
      <c r="A52" s="256"/>
      <c r="B52" s="234"/>
      <c r="C52" s="234"/>
      <c r="D52" s="166"/>
      <c r="E52" s="167"/>
      <c r="F52" s="167"/>
      <c r="G52" s="172" t="s">
        <v>214</v>
      </c>
      <c r="H52" s="173">
        <v>4</v>
      </c>
      <c r="I52" s="174" t="s">
        <v>186</v>
      </c>
      <c r="J52" s="232" t="s">
        <v>188</v>
      </c>
      <c r="K52" s="176" t="s">
        <v>215</v>
      </c>
      <c r="L52" s="177"/>
      <c r="M52" s="193"/>
      <c r="N52" s="179"/>
      <c r="O52" s="180"/>
      <c r="P52" s="181"/>
      <c r="Q52" s="181"/>
      <c r="R52" s="182"/>
      <c r="S52" s="120"/>
      <c r="T52" s="183"/>
      <c r="U52" s="184"/>
      <c r="V52" s="121"/>
      <c r="W52" s="185"/>
      <c r="X52" s="186"/>
      <c r="Y52" s="187"/>
      <c r="Z52" s="131"/>
      <c r="AA52" s="188"/>
      <c r="AB52" s="121"/>
      <c r="AC52" s="189"/>
      <c r="AD52" s="190"/>
      <c r="AE52" s="191"/>
      <c r="AF52" s="105"/>
      <c r="AG52" s="61"/>
      <c r="AH52" s="106"/>
      <c r="AI52" s="106"/>
      <c r="AJ52" s="106"/>
      <c r="AK52" s="105"/>
      <c r="AL52" s="105"/>
    </row>
    <row r="53" spans="1:42" s="196" customFormat="1" ht="14.25" customHeight="1">
      <c r="A53" s="194"/>
      <c r="B53" s="199"/>
      <c r="C53" s="199"/>
      <c r="D53" s="173"/>
      <c r="E53" s="167"/>
      <c r="F53" s="167"/>
      <c r="G53" s="172"/>
      <c r="H53" s="173"/>
      <c r="I53" s="174"/>
      <c r="J53" s="232"/>
      <c r="K53" s="176"/>
      <c r="L53" s="177"/>
      <c r="M53" s="193"/>
      <c r="N53" s="179"/>
      <c r="O53" s="201"/>
      <c r="P53" s="202"/>
      <c r="Q53" s="202"/>
      <c r="R53" s="182"/>
      <c r="S53" s="120"/>
      <c r="T53" s="183"/>
      <c r="U53" s="184"/>
      <c r="V53" s="121"/>
      <c r="W53" s="131"/>
      <c r="X53" s="188"/>
      <c r="Y53" s="183"/>
      <c r="Z53" s="131"/>
      <c r="AA53" s="188"/>
      <c r="AB53" s="121"/>
      <c r="AC53" s="189"/>
      <c r="AD53" s="198"/>
      <c r="AE53" s="191"/>
      <c r="AF53" s="105"/>
      <c r="AG53" s="61"/>
      <c r="AH53" s="106"/>
      <c r="AI53" s="106"/>
      <c r="AJ53" s="106"/>
      <c r="AK53" s="105"/>
      <c r="AL53" s="105"/>
    </row>
    <row r="54" spans="1:42" s="196" customFormat="1" ht="15" customHeight="1">
      <c r="A54" s="194"/>
      <c r="B54" s="199"/>
      <c r="C54" s="199"/>
      <c r="D54" s="173"/>
      <c r="E54" s="167" t="s">
        <v>216</v>
      </c>
      <c r="F54" s="167"/>
      <c r="G54" s="257" t="s">
        <v>217</v>
      </c>
      <c r="H54" s="258">
        <v>1</v>
      </c>
      <c r="I54" s="259" t="s">
        <v>181</v>
      </c>
      <c r="J54" s="260" t="s">
        <v>182</v>
      </c>
      <c r="K54" s="261" t="s">
        <v>218</v>
      </c>
      <c r="L54" s="262"/>
      <c r="M54" s="263"/>
      <c r="N54" s="264"/>
      <c r="O54" s="265"/>
      <c r="P54" s="266"/>
      <c r="Q54" s="266"/>
      <c r="R54" s="267"/>
      <c r="S54" s="268"/>
      <c r="T54" s="269"/>
      <c r="U54" s="270"/>
      <c r="V54" s="271"/>
      <c r="W54" s="272"/>
      <c r="X54" s="273"/>
      <c r="Y54" s="274"/>
      <c r="Z54" s="275"/>
      <c r="AA54" s="276"/>
      <c r="AB54" s="271"/>
      <c r="AC54" s="277">
        <v>3.4000000000000002E-2</v>
      </c>
      <c r="AD54" s="278"/>
      <c r="AE54" s="279">
        <v>0.01</v>
      </c>
      <c r="AF54" s="105"/>
      <c r="AG54" s="61"/>
      <c r="AH54" s="106"/>
      <c r="AI54" s="106"/>
      <c r="AJ54" s="106"/>
      <c r="AK54" s="105"/>
      <c r="AL54" s="105"/>
    </row>
    <row r="55" spans="1:42" s="196" customFormat="1" ht="15" customHeight="1">
      <c r="A55" s="194"/>
      <c r="B55" s="199"/>
      <c r="C55" s="199"/>
      <c r="D55" s="173"/>
      <c r="E55" s="167"/>
      <c r="F55" s="167"/>
      <c r="G55" s="257" t="s">
        <v>217</v>
      </c>
      <c r="H55" s="258">
        <v>2</v>
      </c>
      <c r="I55" s="259" t="s">
        <v>181</v>
      </c>
      <c r="J55" s="260" t="s">
        <v>185</v>
      </c>
      <c r="K55" s="261" t="s">
        <v>218</v>
      </c>
      <c r="L55" s="262"/>
      <c r="M55" s="263"/>
      <c r="N55" s="264"/>
      <c r="O55" s="265"/>
      <c r="P55" s="266"/>
      <c r="Q55" s="266"/>
      <c r="R55" s="267"/>
      <c r="S55" s="268"/>
      <c r="T55" s="269"/>
      <c r="U55" s="270"/>
      <c r="V55" s="271"/>
      <c r="W55" s="272"/>
      <c r="X55" s="273"/>
      <c r="Y55" s="274"/>
      <c r="Z55" s="275"/>
      <c r="AA55" s="276"/>
      <c r="AB55" s="271"/>
      <c r="AC55" s="277">
        <v>3.4000000000000002E-2</v>
      </c>
      <c r="AD55" s="278"/>
      <c r="AE55" s="279">
        <v>0.01</v>
      </c>
      <c r="AF55" s="105"/>
      <c r="AG55" s="61"/>
      <c r="AH55" s="106"/>
      <c r="AI55" s="106"/>
      <c r="AJ55" s="106"/>
      <c r="AK55" s="105"/>
      <c r="AL55" s="105"/>
    </row>
    <row r="56" spans="1:42" s="196" customFormat="1" ht="15" customHeight="1">
      <c r="A56" s="194"/>
      <c r="B56" s="199"/>
      <c r="C56" s="199"/>
      <c r="D56" s="173"/>
      <c r="E56" s="167"/>
      <c r="F56" s="167"/>
      <c r="G56" s="280" t="s">
        <v>217</v>
      </c>
      <c r="H56" s="281">
        <v>1</v>
      </c>
      <c r="I56" s="282" t="s">
        <v>181</v>
      </c>
      <c r="J56" s="283" t="s">
        <v>182</v>
      </c>
      <c r="K56" s="284" t="s">
        <v>219</v>
      </c>
      <c r="L56" s="285"/>
      <c r="M56" s="286"/>
      <c r="N56" s="287"/>
      <c r="O56" s="288"/>
      <c r="P56" s="289"/>
      <c r="Q56" s="289"/>
      <c r="R56" s="290"/>
      <c r="S56" s="291"/>
      <c r="T56" s="292"/>
      <c r="U56" s="293"/>
      <c r="V56" s="294"/>
      <c r="W56" s="295"/>
      <c r="X56" s="296"/>
      <c r="Y56" s="297"/>
      <c r="Z56" s="298"/>
      <c r="AA56" s="299"/>
      <c r="AB56" s="294"/>
      <c r="AC56" s="300">
        <v>3.4000000000000002E-2</v>
      </c>
      <c r="AD56" s="301"/>
      <c r="AE56" s="302">
        <v>0.01</v>
      </c>
      <c r="AF56" s="105"/>
      <c r="AG56" s="61"/>
      <c r="AH56" s="106"/>
      <c r="AI56" s="106"/>
      <c r="AJ56" s="106"/>
      <c r="AK56" s="105"/>
      <c r="AL56" s="105"/>
    </row>
    <row r="57" spans="1:42" s="196" customFormat="1" ht="15" customHeight="1">
      <c r="A57" s="194"/>
      <c r="B57" s="199"/>
      <c r="C57" s="199"/>
      <c r="D57" s="173"/>
      <c r="E57" s="167"/>
      <c r="F57" s="167"/>
      <c r="G57" s="280" t="s">
        <v>217</v>
      </c>
      <c r="H57" s="281">
        <v>2</v>
      </c>
      <c r="I57" s="282" t="s">
        <v>181</v>
      </c>
      <c r="J57" s="283" t="s">
        <v>185</v>
      </c>
      <c r="K57" s="284" t="s">
        <v>219</v>
      </c>
      <c r="L57" s="285"/>
      <c r="M57" s="286"/>
      <c r="N57" s="287"/>
      <c r="O57" s="288"/>
      <c r="P57" s="289"/>
      <c r="Q57" s="289"/>
      <c r="R57" s="290"/>
      <c r="S57" s="291"/>
      <c r="T57" s="292"/>
      <c r="U57" s="293"/>
      <c r="V57" s="294"/>
      <c r="W57" s="295"/>
      <c r="X57" s="296"/>
      <c r="Y57" s="297"/>
      <c r="Z57" s="298"/>
      <c r="AA57" s="299"/>
      <c r="AB57" s="294"/>
      <c r="AC57" s="300">
        <v>3.4000000000000002E-2</v>
      </c>
      <c r="AD57" s="301"/>
      <c r="AE57" s="302">
        <v>0.01</v>
      </c>
      <c r="AF57" s="105"/>
      <c r="AG57" s="61"/>
      <c r="AH57" s="106"/>
      <c r="AI57" s="106"/>
      <c r="AJ57" s="106"/>
      <c r="AK57" s="105"/>
      <c r="AL57" s="105"/>
    </row>
    <row r="58" spans="1:42" s="130" customFormat="1" ht="21.75" customHeight="1">
      <c r="A58" s="303" t="s">
        <v>220</v>
      </c>
      <c r="B58" s="143"/>
      <c r="C58" s="143"/>
      <c r="D58" s="144"/>
      <c r="E58" s="145"/>
      <c r="F58" s="146"/>
      <c r="G58" s="145"/>
      <c r="H58" s="146"/>
      <c r="I58" s="147"/>
      <c r="J58" s="148"/>
      <c r="K58" s="149"/>
      <c r="L58" s="150"/>
      <c r="M58" s="151"/>
      <c r="N58" s="152"/>
      <c r="O58" s="153"/>
      <c r="P58" s="154"/>
      <c r="Q58" s="154"/>
      <c r="R58" s="155"/>
      <c r="S58" s="156"/>
      <c r="T58" s="143"/>
      <c r="U58" s="158"/>
      <c r="V58" s="159"/>
      <c r="W58" s="160"/>
      <c r="X58" s="143"/>
      <c r="Y58" s="157"/>
      <c r="Z58" s="143"/>
      <c r="AA58" s="160"/>
      <c r="AB58" s="159"/>
      <c r="AC58" s="228"/>
      <c r="AD58" s="304"/>
      <c r="AE58" s="230"/>
      <c r="AF58" s="105"/>
      <c r="AG58" s="61"/>
      <c r="AH58" s="106"/>
      <c r="AI58" s="106"/>
      <c r="AJ58" s="106"/>
      <c r="AK58" s="105"/>
      <c r="AL58" s="105"/>
    </row>
    <row r="59" spans="1:42" s="196" customFormat="1" ht="21" customHeight="1">
      <c r="A59" s="803" t="s">
        <v>221</v>
      </c>
      <c r="B59" s="804"/>
      <c r="C59" s="804"/>
      <c r="D59" s="804"/>
      <c r="E59" s="804"/>
      <c r="F59" s="804"/>
      <c r="G59" s="804"/>
      <c r="H59" s="804"/>
      <c r="I59" s="804"/>
      <c r="J59" s="804"/>
      <c r="K59" s="805"/>
      <c r="L59" s="177"/>
      <c r="M59" s="193"/>
      <c r="N59" s="179"/>
      <c r="O59" s="180"/>
      <c r="P59" s="181"/>
      <c r="Q59" s="181"/>
      <c r="R59" s="182"/>
      <c r="S59" s="120"/>
      <c r="T59" s="131"/>
      <c r="U59" s="184"/>
      <c r="V59" s="121"/>
      <c r="W59" s="185"/>
      <c r="X59" s="186"/>
      <c r="Y59" s="187"/>
      <c r="Z59" s="131"/>
      <c r="AA59" s="188"/>
      <c r="AB59" s="121"/>
      <c r="AC59" s="189"/>
      <c r="AD59" s="198"/>
      <c r="AE59" s="191"/>
      <c r="AF59" s="105"/>
      <c r="AG59" s="61"/>
      <c r="AH59" s="106"/>
      <c r="AI59" s="106"/>
      <c r="AJ59" s="106"/>
      <c r="AK59" s="105"/>
      <c r="AL59" s="105"/>
      <c r="AO59" s="105"/>
      <c r="AP59" s="61"/>
    </row>
    <row r="60" spans="1:42" s="196" customFormat="1" ht="18.75" customHeight="1">
      <c r="A60" s="238"/>
      <c r="B60" s="179">
        <v>200092189575</v>
      </c>
      <c r="C60" s="131">
        <v>10982662</v>
      </c>
      <c r="D60" s="203" t="s">
        <v>211</v>
      </c>
      <c r="E60" s="167"/>
      <c r="F60" s="167" t="s">
        <v>222</v>
      </c>
      <c r="G60" s="239"/>
      <c r="H60" s="111"/>
      <c r="I60" s="111"/>
      <c r="J60" s="240"/>
      <c r="K60" s="206"/>
      <c r="L60" s="241"/>
      <c r="M60" s="242"/>
      <c r="N60" s="243"/>
      <c r="O60" s="244"/>
      <c r="P60" s="245"/>
      <c r="Q60" s="245"/>
      <c r="R60" s="246"/>
      <c r="S60" s="247"/>
      <c r="T60" s="254"/>
      <c r="U60" s="249"/>
      <c r="V60" s="250"/>
      <c r="W60" s="251"/>
      <c r="X60" s="252"/>
      <c r="Y60" s="253"/>
      <c r="Z60" s="254"/>
      <c r="AA60" s="255"/>
      <c r="AB60" s="250"/>
      <c r="AC60" s="189"/>
      <c r="AD60" s="198"/>
      <c r="AE60" s="191"/>
      <c r="AF60" s="105"/>
      <c r="AG60" s="61"/>
      <c r="AH60" s="106"/>
      <c r="AI60" s="106"/>
      <c r="AJ60" s="106"/>
      <c r="AK60" s="105"/>
      <c r="AL60" s="105"/>
      <c r="AN60" s="105"/>
      <c r="AO60" s="105"/>
      <c r="AP60" s="61"/>
    </row>
    <row r="61" spans="1:42" s="196" customFormat="1" ht="15" customHeight="1">
      <c r="A61" s="256"/>
      <c r="B61" s="234"/>
      <c r="C61" s="234"/>
      <c r="D61" s="166"/>
      <c r="E61" s="167" t="s">
        <v>223</v>
      </c>
      <c r="F61" s="167"/>
      <c r="G61" s="172" t="s">
        <v>214</v>
      </c>
      <c r="H61" s="173">
        <v>1</v>
      </c>
      <c r="I61" s="192" t="s">
        <v>181</v>
      </c>
      <c r="J61" s="175" t="s">
        <v>182</v>
      </c>
      <c r="K61" s="176" t="s">
        <v>215</v>
      </c>
      <c r="L61" s="177"/>
      <c r="M61" s="193"/>
      <c r="N61" s="179"/>
      <c r="O61" s="180"/>
      <c r="P61" s="181"/>
      <c r="Q61" s="181"/>
      <c r="R61" s="182"/>
      <c r="S61" s="120"/>
      <c r="T61" s="183"/>
      <c r="U61" s="184"/>
      <c r="V61" s="121"/>
      <c r="W61" s="185"/>
      <c r="X61" s="186"/>
      <c r="Y61" s="187"/>
      <c r="Z61" s="131"/>
      <c r="AA61" s="188"/>
      <c r="AB61" s="121"/>
      <c r="AC61" s="189">
        <v>3.4000000000000002E-2</v>
      </c>
      <c r="AD61" s="190"/>
      <c r="AE61" s="191"/>
      <c r="AF61" s="105"/>
      <c r="AG61" s="61"/>
      <c r="AH61" s="106"/>
      <c r="AI61" s="106"/>
      <c r="AJ61" s="106"/>
      <c r="AK61" s="105"/>
      <c r="AL61" s="105"/>
    </row>
    <row r="62" spans="1:42" s="196" customFormat="1">
      <c r="A62" s="256"/>
      <c r="B62" s="234"/>
      <c r="C62" s="234"/>
      <c r="D62" s="166"/>
      <c r="E62" s="167"/>
      <c r="F62" s="167"/>
      <c r="G62" s="172" t="s">
        <v>214</v>
      </c>
      <c r="H62" s="173">
        <v>2</v>
      </c>
      <c r="I62" s="174" t="s">
        <v>181</v>
      </c>
      <c r="J62" s="232" t="s">
        <v>185</v>
      </c>
      <c r="K62" s="176" t="s">
        <v>215</v>
      </c>
      <c r="L62" s="177"/>
      <c r="M62" s="193"/>
      <c r="N62" s="179"/>
      <c r="O62" s="180"/>
      <c r="P62" s="181"/>
      <c r="Q62" s="181"/>
      <c r="R62" s="182"/>
      <c r="S62" s="120"/>
      <c r="T62" s="183"/>
      <c r="U62" s="184"/>
      <c r="V62" s="121"/>
      <c r="W62" s="185"/>
      <c r="X62" s="186"/>
      <c r="Y62" s="187"/>
      <c r="Z62" s="131"/>
      <c r="AA62" s="188"/>
      <c r="AB62" s="121"/>
      <c r="AC62" s="189">
        <v>3.4000000000000002E-2</v>
      </c>
      <c r="AD62" s="190"/>
      <c r="AE62" s="191"/>
      <c r="AF62" s="105"/>
      <c r="AG62" s="61"/>
      <c r="AH62" s="106"/>
      <c r="AI62" s="106"/>
      <c r="AJ62" s="106"/>
      <c r="AK62" s="105"/>
      <c r="AL62" s="105"/>
    </row>
    <row r="63" spans="1:42" s="196" customFormat="1" ht="15" customHeight="1">
      <c r="A63" s="256"/>
      <c r="B63" s="234"/>
      <c r="C63" s="234"/>
      <c r="D63" s="166"/>
      <c r="E63" s="167"/>
      <c r="F63" s="167"/>
      <c r="G63" s="172" t="s">
        <v>214</v>
      </c>
      <c r="H63" s="173">
        <v>3</v>
      </c>
      <c r="I63" s="174" t="s">
        <v>186</v>
      </c>
      <c r="J63" s="232" t="s">
        <v>187</v>
      </c>
      <c r="K63" s="176" t="s">
        <v>215</v>
      </c>
      <c r="L63" s="177"/>
      <c r="M63" s="193"/>
      <c r="N63" s="179"/>
      <c r="O63" s="180"/>
      <c r="P63" s="181"/>
      <c r="Q63" s="181"/>
      <c r="R63" s="182"/>
      <c r="S63" s="120"/>
      <c r="T63" s="183"/>
      <c r="U63" s="184"/>
      <c r="V63" s="121"/>
      <c r="W63" s="185"/>
      <c r="X63" s="186"/>
      <c r="Y63" s="187"/>
      <c r="Z63" s="131"/>
      <c r="AA63" s="188"/>
      <c r="AB63" s="121"/>
      <c r="AC63" s="189"/>
      <c r="AD63" s="190"/>
      <c r="AE63" s="191"/>
      <c r="AF63" s="105"/>
      <c r="AG63" s="61"/>
      <c r="AH63" s="106"/>
      <c r="AI63" s="106"/>
      <c r="AJ63" s="106"/>
      <c r="AK63" s="105"/>
      <c r="AL63" s="105"/>
    </row>
    <row r="64" spans="1:42" s="196" customFormat="1" ht="15" customHeight="1">
      <c r="A64" s="256"/>
      <c r="B64" s="234"/>
      <c r="C64" s="234"/>
      <c r="D64" s="166"/>
      <c r="E64" s="167"/>
      <c r="F64" s="167"/>
      <c r="G64" s="172" t="s">
        <v>214</v>
      </c>
      <c r="H64" s="173">
        <v>4</v>
      </c>
      <c r="I64" s="174" t="s">
        <v>186</v>
      </c>
      <c r="J64" s="232" t="s">
        <v>188</v>
      </c>
      <c r="K64" s="176" t="s">
        <v>215</v>
      </c>
      <c r="L64" s="177"/>
      <c r="M64" s="193"/>
      <c r="N64" s="179"/>
      <c r="O64" s="180"/>
      <c r="P64" s="181"/>
      <c r="Q64" s="181"/>
      <c r="R64" s="182"/>
      <c r="S64" s="120"/>
      <c r="T64" s="183"/>
      <c r="U64" s="184"/>
      <c r="V64" s="121"/>
      <c r="W64" s="185"/>
      <c r="X64" s="186"/>
      <c r="Y64" s="187"/>
      <c r="Z64" s="131"/>
      <c r="AA64" s="188"/>
      <c r="AB64" s="121"/>
      <c r="AC64" s="189"/>
      <c r="AD64" s="190"/>
      <c r="AE64" s="191"/>
      <c r="AF64" s="105"/>
      <c r="AG64" s="61"/>
      <c r="AH64" s="106"/>
      <c r="AI64" s="106"/>
      <c r="AJ64" s="106"/>
      <c r="AK64" s="105"/>
      <c r="AL64" s="105"/>
    </row>
    <row r="65" spans="1:38" s="196" customFormat="1" ht="15" customHeight="1">
      <c r="A65" s="256"/>
      <c r="B65" s="234"/>
      <c r="C65" s="234"/>
      <c r="D65" s="166"/>
      <c r="E65" s="167"/>
      <c r="F65" s="167"/>
      <c r="G65" s="172"/>
      <c r="H65" s="173"/>
      <c r="I65" s="174"/>
      <c r="J65" s="232"/>
      <c r="K65" s="176"/>
      <c r="L65" s="177"/>
      <c r="M65" s="193"/>
      <c r="N65" s="179"/>
      <c r="O65" s="180"/>
      <c r="P65" s="181"/>
      <c r="Q65" s="181"/>
      <c r="R65" s="182"/>
      <c r="S65" s="120"/>
      <c r="T65" s="131"/>
      <c r="U65" s="184"/>
      <c r="V65" s="121"/>
      <c r="W65" s="185"/>
      <c r="X65" s="186"/>
      <c r="Y65" s="187"/>
      <c r="Z65" s="131"/>
      <c r="AA65" s="188"/>
      <c r="AB65" s="121"/>
      <c r="AC65" s="189"/>
      <c r="AD65" s="190"/>
      <c r="AE65" s="191"/>
      <c r="AF65" s="105"/>
      <c r="AG65" s="61"/>
      <c r="AH65" s="106"/>
      <c r="AI65" s="106"/>
      <c r="AJ65" s="106"/>
      <c r="AK65" s="105"/>
      <c r="AL65" s="105"/>
    </row>
    <row r="66" spans="1:38" s="196" customFormat="1" ht="22.5" customHeight="1">
      <c r="A66" s="256"/>
      <c r="B66" s="234"/>
      <c r="C66" s="234"/>
      <c r="D66" s="166"/>
      <c r="E66" s="167"/>
      <c r="F66" s="167"/>
      <c r="G66" s="791" t="s">
        <v>224</v>
      </c>
      <c r="H66" s="791"/>
      <c r="I66" s="791"/>
      <c r="J66" s="791"/>
      <c r="K66" s="791"/>
      <c r="L66" s="791"/>
      <c r="M66" s="193"/>
      <c r="N66" s="179"/>
      <c r="O66" s="180"/>
      <c r="P66" s="305"/>
      <c r="Q66" s="305"/>
      <c r="R66" s="306"/>
      <c r="S66" s="307"/>
      <c r="T66" s="308"/>
      <c r="U66" s="309"/>
      <c r="V66" s="310"/>
      <c r="W66" s="311"/>
      <c r="X66" s="312"/>
      <c r="Y66" s="313"/>
      <c r="Z66" s="308"/>
      <c r="AA66" s="314"/>
      <c r="AB66" s="310"/>
      <c r="AC66" s="315"/>
      <c r="AD66" s="316"/>
      <c r="AE66" s="317"/>
      <c r="AF66" s="105"/>
      <c r="AG66" s="61"/>
      <c r="AH66" s="106"/>
      <c r="AI66" s="106"/>
      <c r="AJ66" s="106"/>
      <c r="AK66" s="105"/>
      <c r="AL66" s="105"/>
    </row>
    <row r="67" spans="1:38" s="196" customFormat="1" ht="15" customHeight="1">
      <c r="A67" s="194"/>
      <c r="B67" s="199"/>
      <c r="C67" s="199"/>
      <c r="D67" s="173"/>
      <c r="E67" s="167"/>
      <c r="F67" s="167" t="s">
        <v>225</v>
      </c>
      <c r="G67" s="203" t="s">
        <v>226</v>
      </c>
      <c r="H67" s="318">
        <v>1</v>
      </c>
      <c r="I67" s="319" t="s">
        <v>181</v>
      </c>
      <c r="J67" s="320" t="s">
        <v>187</v>
      </c>
      <c r="K67" s="321" t="s">
        <v>227</v>
      </c>
      <c r="L67" s="322"/>
      <c r="M67" s="323"/>
      <c r="N67" s="324"/>
      <c r="O67" s="325"/>
      <c r="P67" s="305"/>
      <c r="Q67" s="326"/>
      <c r="R67" s="306"/>
      <c r="S67" s="307"/>
      <c r="T67" s="308"/>
      <c r="U67" s="309"/>
      <c r="V67" s="310"/>
      <c r="W67" s="311"/>
      <c r="X67" s="312"/>
      <c r="Y67" s="313"/>
      <c r="Z67" s="308"/>
      <c r="AA67" s="314"/>
      <c r="AB67" s="310"/>
      <c r="AC67" s="327"/>
      <c r="AD67" s="328"/>
      <c r="AE67" s="329">
        <v>-0.01</v>
      </c>
      <c r="AF67" s="105"/>
      <c r="AG67" s="61"/>
      <c r="AH67" s="106"/>
      <c r="AI67" s="106"/>
      <c r="AJ67" s="106"/>
      <c r="AK67" s="105"/>
      <c r="AL67" s="105"/>
    </row>
    <row r="68" spans="1:38" s="196" customFormat="1" ht="15" customHeight="1">
      <c r="A68" s="194"/>
      <c r="B68" s="199"/>
      <c r="C68" s="199"/>
      <c r="D68" s="173"/>
      <c r="E68" s="167"/>
      <c r="F68" s="167"/>
      <c r="G68" s="203" t="s">
        <v>226</v>
      </c>
      <c r="H68" s="318">
        <v>2</v>
      </c>
      <c r="I68" s="319" t="s">
        <v>181</v>
      </c>
      <c r="J68" s="320" t="s">
        <v>188</v>
      </c>
      <c r="K68" s="321" t="s">
        <v>227</v>
      </c>
      <c r="L68" s="322"/>
      <c r="M68" s="323"/>
      <c r="N68" s="324"/>
      <c r="O68" s="325"/>
      <c r="P68" s="305"/>
      <c r="Q68" s="326"/>
      <c r="R68" s="306"/>
      <c r="S68" s="307"/>
      <c r="T68" s="308"/>
      <c r="U68" s="309"/>
      <c r="V68" s="310"/>
      <c r="W68" s="311"/>
      <c r="X68" s="312"/>
      <c r="Y68" s="313"/>
      <c r="Z68" s="308"/>
      <c r="AA68" s="314"/>
      <c r="AB68" s="310"/>
      <c r="AC68" s="327"/>
      <c r="AD68" s="328"/>
      <c r="AE68" s="317"/>
      <c r="AF68" s="105"/>
      <c r="AG68" s="61"/>
      <c r="AH68" s="106"/>
      <c r="AI68" s="106"/>
      <c r="AJ68" s="106"/>
      <c r="AK68" s="105"/>
      <c r="AL68" s="105"/>
    </row>
    <row r="69" spans="1:38" s="196" customFormat="1" ht="15" customHeight="1">
      <c r="A69" s="194"/>
      <c r="B69" s="199"/>
      <c r="C69" s="199"/>
      <c r="D69" s="173"/>
      <c r="E69" s="167"/>
      <c r="F69" s="167"/>
      <c r="G69" s="203">
        <v>20</v>
      </c>
      <c r="H69" s="318">
        <v>1</v>
      </c>
      <c r="I69" s="319" t="s">
        <v>186</v>
      </c>
      <c r="J69" s="320" t="s">
        <v>182</v>
      </c>
      <c r="K69" s="321" t="s">
        <v>228</v>
      </c>
      <c r="L69" s="322"/>
      <c r="M69" s="323"/>
      <c r="N69" s="324"/>
      <c r="O69" s="325"/>
      <c r="P69" s="305"/>
      <c r="Q69" s="326"/>
      <c r="R69" s="306"/>
      <c r="S69" s="307"/>
      <c r="T69" s="308"/>
      <c r="U69" s="309"/>
      <c r="V69" s="310"/>
      <c r="W69" s="311"/>
      <c r="X69" s="312"/>
      <c r="Y69" s="313"/>
      <c r="Z69" s="308"/>
      <c r="AA69" s="314"/>
      <c r="AB69" s="310"/>
      <c r="AC69" s="327"/>
      <c r="AD69" s="328"/>
      <c r="AE69" s="317"/>
      <c r="AF69" s="105"/>
      <c r="AG69" s="61"/>
      <c r="AH69" s="106"/>
      <c r="AI69" s="106"/>
      <c r="AJ69" s="106"/>
      <c r="AK69" s="105"/>
      <c r="AL69" s="105"/>
    </row>
    <row r="70" spans="1:38" s="196" customFormat="1" ht="14.25" customHeight="1">
      <c r="A70" s="194"/>
      <c r="B70" s="199"/>
      <c r="C70" s="199"/>
      <c r="D70" s="173"/>
      <c r="E70" s="167"/>
      <c r="F70" s="167"/>
      <c r="G70" s="330"/>
      <c r="H70" s="331"/>
      <c r="I70" s="332"/>
      <c r="J70" s="333"/>
      <c r="K70" s="334"/>
      <c r="L70" s="335"/>
      <c r="M70" s="323"/>
      <c r="N70" s="324"/>
      <c r="O70" s="336"/>
      <c r="P70" s="337"/>
      <c r="Q70" s="338"/>
      <c r="R70" s="306"/>
      <c r="S70" s="307"/>
      <c r="T70" s="308"/>
      <c r="U70" s="309"/>
      <c r="V70" s="310"/>
      <c r="W70" s="308"/>
      <c r="X70" s="314"/>
      <c r="Y70" s="339"/>
      <c r="Z70" s="308"/>
      <c r="AA70" s="314"/>
      <c r="AB70" s="310"/>
      <c r="AC70" s="315"/>
      <c r="AD70" s="328"/>
      <c r="AE70" s="317"/>
      <c r="AF70" s="105"/>
      <c r="AG70" s="61"/>
      <c r="AH70" s="106"/>
      <c r="AI70" s="106"/>
      <c r="AJ70" s="106"/>
      <c r="AK70" s="105"/>
      <c r="AL70" s="105"/>
    </row>
    <row r="71" spans="1:38" s="196" customFormat="1" ht="15" customHeight="1">
      <c r="A71" s="194"/>
      <c r="B71" s="199"/>
      <c r="C71" s="199"/>
      <c r="D71" s="173"/>
      <c r="E71" s="167" t="s">
        <v>216</v>
      </c>
      <c r="F71" s="167"/>
      <c r="G71" s="340" t="s">
        <v>217</v>
      </c>
      <c r="H71" s="341">
        <v>1</v>
      </c>
      <c r="I71" s="342" t="s">
        <v>181</v>
      </c>
      <c r="J71" s="343" t="s">
        <v>182</v>
      </c>
      <c r="K71" s="344" t="s">
        <v>218</v>
      </c>
      <c r="L71" s="345"/>
      <c r="M71" s="346"/>
      <c r="N71" s="347"/>
      <c r="O71" s="348"/>
      <c r="P71" s="349"/>
      <c r="Q71" s="350"/>
      <c r="R71" s="351"/>
      <c r="S71" s="352"/>
      <c r="T71" s="353"/>
      <c r="U71" s="354"/>
      <c r="V71" s="355"/>
      <c r="W71" s="356"/>
      <c r="X71" s="357"/>
      <c r="Y71" s="358"/>
      <c r="Z71" s="353"/>
      <c r="AA71" s="359"/>
      <c r="AB71" s="355"/>
      <c r="AC71" s="360">
        <v>3.4000000000000002E-2</v>
      </c>
      <c r="AD71" s="361"/>
      <c r="AE71" s="362">
        <v>0.01</v>
      </c>
      <c r="AF71" s="105"/>
      <c r="AG71" s="61"/>
      <c r="AH71" s="106"/>
      <c r="AI71" s="106"/>
      <c r="AJ71" s="106"/>
      <c r="AK71" s="105"/>
      <c r="AL71" s="105"/>
    </row>
    <row r="72" spans="1:38" s="196" customFormat="1" ht="15" customHeight="1">
      <c r="A72" s="194"/>
      <c r="B72" s="199"/>
      <c r="C72" s="199"/>
      <c r="D72" s="173"/>
      <c r="E72" s="167"/>
      <c r="F72" s="167"/>
      <c r="G72" s="363" t="s">
        <v>217</v>
      </c>
      <c r="H72" s="364">
        <v>2</v>
      </c>
      <c r="I72" s="365" t="s">
        <v>181</v>
      </c>
      <c r="J72" s="366" t="s">
        <v>185</v>
      </c>
      <c r="K72" s="367" t="s">
        <v>218</v>
      </c>
      <c r="L72" s="345"/>
      <c r="M72" s="346"/>
      <c r="N72" s="347"/>
      <c r="O72" s="348"/>
      <c r="P72" s="349"/>
      <c r="Q72" s="350"/>
      <c r="R72" s="351"/>
      <c r="S72" s="352"/>
      <c r="T72" s="353"/>
      <c r="U72" s="354"/>
      <c r="V72" s="355"/>
      <c r="W72" s="356"/>
      <c r="X72" s="357"/>
      <c r="Y72" s="358"/>
      <c r="Z72" s="353"/>
      <c r="AA72" s="359"/>
      <c r="AB72" s="355"/>
      <c r="AC72" s="360">
        <v>3.4000000000000002E-2</v>
      </c>
      <c r="AD72" s="361"/>
      <c r="AE72" s="362">
        <v>0.01</v>
      </c>
      <c r="AF72" s="105"/>
      <c r="AG72" s="61"/>
      <c r="AH72" s="106"/>
      <c r="AI72" s="106"/>
      <c r="AJ72" s="106"/>
      <c r="AK72" s="105"/>
      <c r="AL72" s="105"/>
    </row>
    <row r="73" spans="1:38" s="196" customFormat="1" ht="15" customHeight="1">
      <c r="A73" s="194"/>
      <c r="B73" s="199"/>
      <c r="C73" s="199"/>
      <c r="D73" s="173"/>
      <c r="E73" s="167"/>
      <c r="F73" s="167"/>
      <c r="G73" s="280" t="s">
        <v>217</v>
      </c>
      <c r="H73" s="281">
        <v>1</v>
      </c>
      <c r="I73" s="282" t="s">
        <v>181</v>
      </c>
      <c r="J73" s="283" t="s">
        <v>182</v>
      </c>
      <c r="K73" s="284" t="s">
        <v>219</v>
      </c>
      <c r="L73" s="285"/>
      <c r="M73" s="286"/>
      <c r="N73" s="287"/>
      <c r="O73" s="288"/>
      <c r="P73" s="289"/>
      <c r="Q73" s="289"/>
      <c r="R73" s="290"/>
      <c r="S73" s="291"/>
      <c r="T73" s="292"/>
      <c r="U73" s="293"/>
      <c r="V73" s="294"/>
      <c r="W73" s="295"/>
      <c r="X73" s="296"/>
      <c r="Y73" s="297"/>
      <c r="Z73" s="298"/>
      <c r="AA73" s="299"/>
      <c r="AB73" s="294"/>
      <c r="AC73" s="300">
        <v>3.4000000000000002E-2</v>
      </c>
      <c r="AD73" s="301"/>
      <c r="AE73" s="302">
        <v>0.01</v>
      </c>
      <c r="AF73" s="105"/>
      <c r="AG73" s="61"/>
      <c r="AH73" s="106"/>
      <c r="AI73" s="106"/>
      <c r="AJ73" s="106"/>
      <c r="AK73" s="105"/>
      <c r="AL73" s="105"/>
    </row>
    <row r="74" spans="1:38" s="196" customFormat="1" ht="15" customHeight="1">
      <c r="A74" s="194"/>
      <c r="B74" s="199"/>
      <c r="C74" s="199"/>
      <c r="D74" s="173"/>
      <c r="E74" s="167"/>
      <c r="F74" s="167"/>
      <c r="G74" s="280" t="s">
        <v>217</v>
      </c>
      <c r="H74" s="281">
        <v>2</v>
      </c>
      <c r="I74" s="282" t="s">
        <v>181</v>
      </c>
      <c r="J74" s="283" t="s">
        <v>185</v>
      </c>
      <c r="K74" s="284" t="s">
        <v>219</v>
      </c>
      <c r="L74" s="285"/>
      <c r="M74" s="286"/>
      <c r="N74" s="287"/>
      <c r="O74" s="288"/>
      <c r="P74" s="289"/>
      <c r="Q74" s="289"/>
      <c r="R74" s="290"/>
      <c r="S74" s="291"/>
      <c r="T74" s="292"/>
      <c r="U74" s="293"/>
      <c r="V74" s="294"/>
      <c r="W74" s="295"/>
      <c r="X74" s="296"/>
      <c r="Y74" s="297"/>
      <c r="Z74" s="298"/>
      <c r="AA74" s="299"/>
      <c r="AB74" s="294"/>
      <c r="AC74" s="300">
        <v>3.4000000000000002E-2</v>
      </c>
      <c r="AD74" s="301"/>
      <c r="AE74" s="302">
        <v>0.01</v>
      </c>
      <c r="AF74" s="105"/>
      <c r="AG74" s="61"/>
      <c r="AH74" s="106"/>
      <c r="AI74" s="106"/>
      <c r="AJ74" s="106"/>
      <c r="AK74" s="105"/>
      <c r="AL74" s="105"/>
    </row>
    <row r="75" spans="1:38" s="106" customFormat="1" ht="24.75" customHeight="1">
      <c r="A75" s="368" t="s">
        <v>229</v>
      </c>
      <c r="B75" s="369"/>
      <c r="C75" s="369"/>
      <c r="D75" s="370"/>
      <c r="E75" s="370"/>
      <c r="F75" s="370"/>
      <c r="G75" s="371"/>
      <c r="H75" s="371"/>
      <c r="I75" s="371"/>
      <c r="J75" s="372"/>
      <c r="K75" s="373"/>
      <c r="L75" s="374"/>
      <c r="M75" s="375"/>
      <c r="N75" s="376"/>
      <c r="O75" s="377"/>
      <c r="P75" s="378"/>
      <c r="Q75" s="379"/>
      <c r="R75" s="380"/>
      <c r="S75" s="381"/>
      <c r="T75" s="376"/>
      <c r="U75" s="382"/>
      <c r="V75" s="380"/>
      <c r="W75" s="376"/>
      <c r="X75" s="377"/>
      <c r="Y75" s="383"/>
      <c r="Z75" s="376"/>
      <c r="AA75" s="377"/>
      <c r="AB75" s="380"/>
      <c r="AC75" s="384"/>
      <c r="AD75" s="385"/>
      <c r="AE75" s="191"/>
      <c r="AF75" s="62"/>
      <c r="AG75" s="62"/>
      <c r="AH75" s="61"/>
    </row>
    <row r="76" spans="1:38" s="130" customFormat="1" ht="21.75" customHeight="1">
      <c r="A76" s="303" t="s">
        <v>117</v>
      </c>
      <c r="B76" s="143"/>
      <c r="C76" s="143"/>
      <c r="D76" s="144"/>
      <c r="E76" s="145"/>
      <c r="F76" s="146"/>
      <c r="G76" s="145"/>
      <c r="H76" s="146"/>
      <c r="I76" s="147"/>
      <c r="J76" s="148"/>
      <c r="K76" s="149"/>
      <c r="L76" s="150"/>
      <c r="M76" s="151"/>
      <c r="N76" s="152"/>
      <c r="O76" s="153"/>
      <c r="P76" s="154"/>
      <c r="Q76" s="154"/>
      <c r="R76" s="155"/>
      <c r="S76" s="156"/>
      <c r="T76" s="143"/>
      <c r="U76" s="158"/>
      <c r="V76" s="159"/>
      <c r="W76" s="160"/>
      <c r="X76" s="143"/>
      <c r="Y76" s="157"/>
      <c r="Z76" s="143"/>
      <c r="AA76" s="160"/>
      <c r="AB76" s="159"/>
      <c r="AC76" s="228"/>
      <c r="AD76" s="304"/>
      <c r="AE76" s="230"/>
      <c r="AF76" s="105"/>
      <c r="AG76" s="61"/>
      <c r="AH76" s="106"/>
      <c r="AI76" s="106"/>
      <c r="AJ76" s="106"/>
      <c r="AK76" s="105"/>
      <c r="AL76" s="105"/>
    </row>
    <row r="77" spans="1:38" s="130" customFormat="1" ht="14.25" customHeight="1">
      <c r="A77" s="164"/>
      <c r="B77" s="165">
        <v>200092189575</v>
      </c>
      <c r="C77" s="165">
        <v>10516527</v>
      </c>
      <c r="D77" s="386" t="s">
        <v>177</v>
      </c>
      <c r="E77" s="167"/>
      <c r="F77" s="110" t="s">
        <v>230</v>
      </c>
      <c r="G77" s="110"/>
      <c r="H77" s="109"/>
      <c r="I77" s="111"/>
      <c r="J77" s="132"/>
      <c r="K77" s="113"/>
      <c r="L77" s="114"/>
      <c r="M77" s="115"/>
      <c r="N77" s="133"/>
      <c r="O77" s="117"/>
      <c r="P77" s="118"/>
      <c r="Q77" s="118"/>
      <c r="R77" s="119"/>
      <c r="S77" s="168"/>
      <c r="T77" s="76"/>
      <c r="U77" s="170"/>
      <c r="V77" s="123"/>
      <c r="W77" s="171"/>
      <c r="X77" s="76"/>
      <c r="Y77" s="169"/>
      <c r="Z77" s="76"/>
      <c r="AA77" s="171"/>
      <c r="AB77" s="123"/>
      <c r="AC77" s="189"/>
      <c r="AD77" s="387"/>
      <c r="AE77" s="191"/>
      <c r="AF77" s="105"/>
      <c r="AG77" s="61"/>
      <c r="AH77" s="106"/>
      <c r="AI77" s="106"/>
      <c r="AJ77" s="106"/>
      <c r="AK77" s="105"/>
      <c r="AL77" s="105"/>
    </row>
    <row r="78" spans="1:38" s="196" customFormat="1" ht="15" customHeight="1">
      <c r="A78" s="194"/>
      <c r="B78" s="195"/>
      <c r="C78" s="195"/>
      <c r="D78" s="173"/>
      <c r="E78" s="167"/>
      <c r="F78" s="167"/>
      <c r="G78" s="172" t="s">
        <v>179</v>
      </c>
      <c r="H78" s="173" t="s">
        <v>180</v>
      </c>
      <c r="I78" s="174" t="s">
        <v>181</v>
      </c>
      <c r="J78" s="175" t="s">
        <v>182</v>
      </c>
      <c r="K78" s="176" t="s">
        <v>183</v>
      </c>
      <c r="L78" s="177"/>
      <c r="M78" s="178"/>
      <c r="N78" s="179"/>
      <c r="O78" s="180"/>
      <c r="P78" s="181"/>
      <c r="Q78" s="181"/>
      <c r="R78" s="182"/>
      <c r="S78" s="120"/>
      <c r="T78" s="131"/>
      <c r="U78" s="184"/>
      <c r="V78" s="121"/>
      <c r="W78" s="185"/>
      <c r="X78" s="186"/>
      <c r="Y78" s="187"/>
      <c r="Z78" s="131"/>
      <c r="AA78" s="188"/>
      <c r="AB78" s="121"/>
      <c r="AC78" s="189" t="s">
        <v>184</v>
      </c>
      <c r="AD78" s="190">
        <v>6.0000000000000001E-3</v>
      </c>
      <c r="AE78" s="191"/>
      <c r="AF78" s="105"/>
      <c r="AG78" s="61"/>
      <c r="AH78" s="106"/>
      <c r="AI78" s="106"/>
      <c r="AJ78" s="106"/>
      <c r="AK78" s="105"/>
      <c r="AL78" s="105"/>
    </row>
    <row r="79" spans="1:38" s="196" customFormat="1" ht="15" customHeight="1">
      <c r="A79" s="194"/>
      <c r="B79" s="195"/>
      <c r="C79" s="195"/>
      <c r="D79" s="173"/>
      <c r="E79" s="167"/>
      <c r="F79" s="167"/>
      <c r="G79" s="172" t="s">
        <v>179</v>
      </c>
      <c r="H79" s="173">
        <v>2</v>
      </c>
      <c r="I79" s="192" t="s">
        <v>181</v>
      </c>
      <c r="J79" s="175" t="s">
        <v>185</v>
      </c>
      <c r="K79" s="176" t="s">
        <v>183</v>
      </c>
      <c r="L79" s="177"/>
      <c r="M79" s="193"/>
      <c r="N79" s="179"/>
      <c r="O79" s="180"/>
      <c r="P79" s="181"/>
      <c r="Q79" s="181"/>
      <c r="R79" s="182"/>
      <c r="S79" s="120"/>
      <c r="T79" s="131"/>
      <c r="U79" s="184"/>
      <c r="V79" s="121"/>
      <c r="W79" s="185"/>
      <c r="X79" s="186"/>
      <c r="Y79" s="187"/>
      <c r="Z79" s="131"/>
      <c r="AA79" s="188"/>
      <c r="AB79" s="121"/>
      <c r="AC79" s="189" t="s">
        <v>184</v>
      </c>
      <c r="AD79" s="190">
        <v>6.0000000000000001E-3</v>
      </c>
      <c r="AE79" s="191"/>
      <c r="AF79" s="105"/>
      <c r="AG79" s="61"/>
      <c r="AH79" s="106"/>
      <c r="AI79" s="106"/>
      <c r="AJ79" s="106"/>
      <c r="AK79" s="105"/>
      <c r="AL79" s="105"/>
    </row>
    <row r="80" spans="1:38" s="196" customFormat="1" ht="15" customHeight="1">
      <c r="A80" s="194"/>
      <c r="B80" s="195"/>
      <c r="C80" s="195"/>
      <c r="D80" s="173"/>
      <c r="E80" s="167"/>
      <c r="F80" s="167"/>
      <c r="G80" s="172" t="s">
        <v>179</v>
      </c>
      <c r="H80" s="173">
        <v>3</v>
      </c>
      <c r="I80" s="192" t="s">
        <v>186</v>
      </c>
      <c r="J80" s="175" t="s">
        <v>187</v>
      </c>
      <c r="K80" s="176" t="s">
        <v>183</v>
      </c>
      <c r="L80" s="177"/>
      <c r="M80" s="193"/>
      <c r="N80" s="179"/>
      <c r="O80" s="180"/>
      <c r="P80" s="181"/>
      <c r="Q80" s="181"/>
      <c r="R80" s="182"/>
      <c r="S80" s="120"/>
      <c r="T80" s="131"/>
      <c r="U80" s="184"/>
      <c r="V80" s="121"/>
      <c r="W80" s="185"/>
      <c r="X80" s="186"/>
      <c r="Y80" s="187"/>
      <c r="Z80" s="131"/>
      <c r="AA80" s="188"/>
      <c r="AB80" s="121"/>
      <c r="AC80" s="189" t="s">
        <v>184</v>
      </c>
      <c r="AD80" s="190">
        <v>6.0000000000000001E-3</v>
      </c>
      <c r="AE80" s="191"/>
      <c r="AF80" s="105"/>
      <c r="AG80" s="61"/>
      <c r="AH80" s="106"/>
      <c r="AI80" s="106"/>
      <c r="AJ80" s="106"/>
      <c r="AK80" s="105"/>
      <c r="AL80" s="105"/>
    </row>
    <row r="81" spans="1:38" s="196" customFormat="1" ht="15" customHeight="1">
      <c r="A81" s="194"/>
      <c r="B81" s="195"/>
      <c r="C81" s="195"/>
      <c r="D81" s="173"/>
      <c r="E81" s="167"/>
      <c r="F81" s="167"/>
      <c r="G81" s="172" t="s">
        <v>179</v>
      </c>
      <c r="H81" s="173">
        <v>4</v>
      </c>
      <c r="I81" s="192" t="s">
        <v>186</v>
      </c>
      <c r="J81" s="175" t="s">
        <v>188</v>
      </c>
      <c r="K81" s="176" t="s">
        <v>183</v>
      </c>
      <c r="L81" s="177"/>
      <c r="M81" s="193"/>
      <c r="N81" s="179"/>
      <c r="O81" s="180"/>
      <c r="P81" s="181"/>
      <c r="Q81" s="181"/>
      <c r="R81" s="182"/>
      <c r="S81" s="120"/>
      <c r="T81" s="131"/>
      <c r="U81" s="184"/>
      <c r="V81" s="121"/>
      <c r="W81" s="185"/>
      <c r="X81" s="186"/>
      <c r="Y81" s="187"/>
      <c r="Z81" s="131"/>
      <c r="AA81" s="188"/>
      <c r="AB81" s="121"/>
      <c r="AC81" s="189" t="s">
        <v>184</v>
      </c>
      <c r="AD81" s="190">
        <v>6.0000000000000001E-3</v>
      </c>
      <c r="AE81" s="191"/>
      <c r="AF81" s="105"/>
      <c r="AG81" s="61"/>
      <c r="AH81" s="106"/>
      <c r="AI81" s="106"/>
      <c r="AJ81" s="106"/>
      <c r="AK81" s="105"/>
      <c r="AL81" s="105"/>
    </row>
    <row r="82" spans="1:38" s="196" customFormat="1" ht="15" customHeight="1">
      <c r="A82" s="194"/>
      <c r="B82" s="195"/>
      <c r="C82" s="195"/>
      <c r="D82" s="173"/>
      <c r="E82" s="167"/>
      <c r="F82" s="167"/>
      <c r="G82" s="172"/>
      <c r="H82" s="173"/>
      <c r="I82" s="192"/>
      <c r="J82" s="175"/>
      <c r="K82" s="176"/>
      <c r="L82" s="177"/>
      <c r="M82" s="193"/>
      <c r="N82" s="179"/>
      <c r="O82" s="180"/>
      <c r="P82" s="181"/>
      <c r="Q82" s="181"/>
      <c r="R82" s="182"/>
      <c r="S82" s="120"/>
      <c r="T82" s="131"/>
      <c r="U82" s="184"/>
      <c r="V82" s="121"/>
      <c r="W82" s="185"/>
      <c r="X82" s="186"/>
      <c r="Y82" s="187"/>
      <c r="Z82" s="131"/>
      <c r="AA82" s="188"/>
      <c r="AB82" s="121"/>
      <c r="AC82" s="189"/>
      <c r="AD82" s="190"/>
      <c r="AE82" s="191"/>
      <c r="AF82" s="105"/>
      <c r="AG82" s="61"/>
      <c r="AH82" s="106"/>
      <c r="AI82" s="106"/>
      <c r="AJ82" s="106"/>
      <c r="AK82" s="105"/>
      <c r="AL82" s="105"/>
    </row>
    <row r="83" spans="1:38" s="196" customFormat="1" ht="15" customHeight="1">
      <c r="A83" s="194"/>
      <c r="B83" s="195"/>
      <c r="C83" s="195"/>
      <c r="D83" s="173"/>
      <c r="E83" s="167"/>
      <c r="F83" s="167"/>
      <c r="G83" s="172" t="s">
        <v>189</v>
      </c>
      <c r="H83" s="173" t="s">
        <v>180</v>
      </c>
      <c r="I83" s="174" t="s">
        <v>181</v>
      </c>
      <c r="J83" s="175" t="s">
        <v>182</v>
      </c>
      <c r="K83" s="176" t="s">
        <v>190</v>
      </c>
      <c r="L83" s="177"/>
      <c r="M83" s="193"/>
      <c r="N83" s="179"/>
      <c r="O83" s="180"/>
      <c r="P83" s="181"/>
      <c r="Q83" s="181"/>
      <c r="R83" s="182"/>
      <c r="S83" s="120"/>
      <c r="T83" s="131"/>
      <c r="U83" s="184"/>
      <c r="V83" s="121"/>
      <c r="W83" s="185"/>
      <c r="X83" s="186"/>
      <c r="Y83" s="187"/>
      <c r="Z83" s="131"/>
      <c r="AA83" s="188"/>
      <c r="AB83" s="121"/>
      <c r="AC83" s="189" t="s">
        <v>184</v>
      </c>
      <c r="AD83" s="190">
        <v>6.0000000000000001E-3</v>
      </c>
      <c r="AE83" s="191"/>
      <c r="AF83" s="105"/>
      <c r="AG83" s="61"/>
      <c r="AH83" s="106"/>
      <c r="AI83" s="106"/>
      <c r="AJ83" s="106"/>
      <c r="AK83" s="105"/>
      <c r="AL83" s="105"/>
    </row>
    <row r="84" spans="1:38" s="196" customFormat="1" ht="15" customHeight="1">
      <c r="A84" s="194"/>
      <c r="B84" s="195"/>
      <c r="C84" s="195"/>
      <c r="D84" s="173"/>
      <c r="E84" s="167"/>
      <c r="F84" s="167"/>
      <c r="G84" s="172" t="s">
        <v>189</v>
      </c>
      <c r="H84" s="173">
        <v>2</v>
      </c>
      <c r="I84" s="192" t="s">
        <v>181</v>
      </c>
      <c r="J84" s="175" t="s">
        <v>185</v>
      </c>
      <c r="K84" s="176" t="s">
        <v>190</v>
      </c>
      <c r="L84" s="177"/>
      <c r="M84" s="193"/>
      <c r="N84" s="179"/>
      <c r="O84" s="180"/>
      <c r="P84" s="181"/>
      <c r="Q84" s="181"/>
      <c r="R84" s="182"/>
      <c r="S84" s="120"/>
      <c r="T84" s="131"/>
      <c r="U84" s="184"/>
      <c r="V84" s="121"/>
      <c r="W84" s="185"/>
      <c r="X84" s="186"/>
      <c r="Y84" s="187"/>
      <c r="Z84" s="131"/>
      <c r="AA84" s="188"/>
      <c r="AB84" s="121"/>
      <c r="AC84" s="189" t="s">
        <v>184</v>
      </c>
      <c r="AD84" s="190">
        <v>6.0000000000000001E-3</v>
      </c>
      <c r="AE84" s="191"/>
      <c r="AF84" s="105"/>
      <c r="AG84" s="61"/>
      <c r="AH84" s="106"/>
      <c r="AI84" s="106"/>
      <c r="AJ84" s="106"/>
      <c r="AK84" s="105"/>
      <c r="AL84" s="105"/>
    </row>
    <row r="85" spans="1:38" s="196" customFormat="1" ht="15" customHeight="1">
      <c r="A85" s="194"/>
      <c r="B85" s="195"/>
      <c r="C85" s="195"/>
      <c r="D85" s="173"/>
      <c r="E85" s="167"/>
      <c r="F85" s="167"/>
      <c r="G85" s="172" t="s">
        <v>189</v>
      </c>
      <c r="H85" s="173">
        <v>3</v>
      </c>
      <c r="I85" s="192" t="s">
        <v>186</v>
      </c>
      <c r="J85" s="175" t="s">
        <v>187</v>
      </c>
      <c r="K85" s="176" t="s">
        <v>190</v>
      </c>
      <c r="L85" s="177"/>
      <c r="M85" s="193"/>
      <c r="N85" s="179"/>
      <c r="O85" s="180"/>
      <c r="P85" s="181"/>
      <c r="Q85" s="181"/>
      <c r="R85" s="182"/>
      <c r="S85" s="120"/>
      <c r="T85" s="131"/>
      <c r="U85" s="184"/>
      <c r="V85" s="121"/>
      <c r="W85" s="185"/>
      <c r="X85" s="186"/>
      <c r="Y85" s="187"/>
      <c r="Z85" s="131"/>
      <c r="AA85" s="188"/>
      <c r="AB85" s="121"/>
      <c r="AC85" s="189" t="s">
        <v>184</v>
      </c>
      <c r="AD85" s="190">
        <v>6.0000000000000001E-3</v>
      </c>
      <c r="AE85" s="191"/>
      <c r="AF85" s="105"/>
      <c r="AG85" s="61"/>
      <c r="AH85" s="106"/>
      <c r="AI85" s="106"/>
      <c r="AJ85" s="106"/>
      <c r="AK85" s="105"/>
      <c r="AL85" s="105"/>
    </row>
    <row r="86" spans="1:38" s="196" customFormat="1" ht="15" customHeight="1">
      <c r="A86" s="194"/>
      <c r="B86" s="195"/>
      <c r="C86" s="195"/>
      <c r="D86" s="173"/>
      <c r="E86" s="167"/>
      <c r="F86" s="167"/>
      <c r="G86" s="172" t="s">
        <v>189</v>
      </c>
      <c r="H86" s="173">
        <v>4</v>
      </c>
      <c r="I86" s="192" t="s">
        <v>186</v>
      </c>
      <c r="J86" s="175" t="s">
        <v>188</v>
      </c>
      <c r="K86" s="176" t="s">
        <v>190</v>
      </c>
      <c r="L86" s="177"/>
      <c r="M86" s="193"/>
      <c r="N86" s="179"/>
      <c r="O86" s="180"/>
      <c r="P86" s="181"/>
      <c r="Q86" s="181"/>
      <c r="R86" s="182"/>
      <c r="S86" s="120"/>
      <c r="T86" s="131"/>
      <c r="U86" s="184"/>
      <c r="V86" s="121"/>
      <c r="W86" s="185"/>
      <c r="X86" s="186"/>
      <c r="Y86" s="187"/>
      <c r="Z86" s="131"/>
      <c r="AA86" s="188"/>
      <c r="AB86" s="121"/>
      <c r="AC86" s="189" t="s">
        <v>184</v>
      </c>
      <c r="AD86" s="190">
        <v>6.0000000000000001E-3</v>
      </c>
      <c r="AE86" s="191"/>
      <c r="AF86" s="105"/>
      <c r="AG86" s="61"/>
      <c r="AH86" s="106"/>
      <c r="AI86" s="106"/>
      <c r="AJ86" s="106"/>
      <c r="AK86" s="105"/>
      <c r="AL86" s="105"/>
    </row>
    <row r="87" spans="1:38" s="196" customFormat="1" ht="15" customHeight="1">
      <c r="A87" s="194"/>
      <c r="B87" s="195"/>
      <c r="C87" s="195"/>
      <c r="D87" s="173"/>
      <c r="E87" s="167"/>
      <c r="F87" s="167"/>
      <c r="G87" s="172"/>
      <c r="H87" s="173"/>
      <c r="I87" s="192"/>
      <c r="J87" s="175"/>
      <c r="K87" s="176"/>
      <c r="L87" s="177"/>
      <c r="M87" s="193"/>
      <c r="N87" s="179"/>
      <c r="O87" s="180"/>
      <c r="P87" s="181"/>
      <c r="Q87" s="181"/>
      <c r="R87" s="182"/>
      <c r="S87" s="120"/>
      <c r="T87" s="131"/>
      <c r="U87" s="184"/>
      <c r="V87" s="121"/>
      <c r="W87" s="185"/>
      <c r="X87" s="186"/>
      <c r="Y87" s="187"/>
      <c r="Z87" s="131"/>
      <c r="AA87" s="188"/>
      <c r="AB87" s="121"/>
      <c r="AC87" s="189"/>
      <c r="AD87" s="190"/>
      <c r="AE87" s="191"/>
      <c r="AF87" s="105"/>
      <c r="AG87" s="61"/>
      <c r="AH87" s="106"/>
      <c r="AI87" s="106"/>
      <c r="AJ87" s="106"/>
      <c r="AK87" s="105"/>
      <c r="AL87" s="105"/>
    </row>
    <row r="88" spans="1:38" s="196" customFormat="1" ht="15" customHeight="1">
      <c r="A88" s="194"/>
      <c r="B88" s="195"/>
      <c r="C88" s="195"/>
      <c r="D88" s="173"/>
      <c r="E88" s="167"/>
      <c r="F88" s="167"/>
      <c r="G88" s="172" t="s">
        <v>191</v>
      </c>
      <c r="H88" s="173">
        <v>1</v>
      </c>
      <c r="I88" s="192" t="s">
        <v>186</v>
      </c>
      <c r="J88" s="175" t="s">
        <v>182</v>
      </c>
      <c r="K88" s="176" t="s">
        <v>192</v>
      </c>
      <c r="L88" s="177"/>
      <c r="M88" s="193"/>
      <c r="N88" s="179"/>
      <c r="O88" s="180"/>
      <c r="P88" s="181"/>
      <c r="Q88" s="181"/>
      <c r="R88" s="182"/>
      <c r="S88" s="120"/>
      <c r="T88" s="131"/>
      <c r="U88" s="184"/>
      <c r="V88" s="121"/>
      <c r="W88" s="185"/>
      <c r="X88" s="186"/>
      <c r="Y88" s="187"/>
      <c r="Z88" s="131"/>
      <c r="AA88" s="188"/>
      <c r="AB88" s="121"/>
      <c r="AC88" s="197">
        <v>3.4000000000000002E-2</v>
      </c>
      <c r="AD88" s="198"/>
      <c r="AE88" s="191">
        <v>0.01</v>
      </c>
      <c r="AF88" s="105"/>
      <c r="AG88" s="61"/>
      <c r="AH88" s="106"/>
      <c r="AI88" s="106"/>
      <c r="AJ88" s="106"/>
      <c r="AK88" s="105"/>
      <c r="AL88" s="105"/>
    </row>
    <row r="89" spans="1:38" s="196" customFormat="1" ht="15" customHeight="1">
      <c r="A89" s="194"/>
      <c r="B89" s="195"/>
      <c r="C89" s="195"/>
      <c r="D89" s="173"/>
      <c r="E89" s="167"/>
      <c r="F89" s="167"/>
      <c r="G89" s="172" t="s">
        <v>191</v>
      </c>
      <c r="H89" s="173">
        <v>2</v>
      </c>
      <c r="I89" s="192" t="s">
        <v>186</v>
      </c>
      <c r="J89" s="175" t="s">
        <v>185</v>
      </c>
      <c r="K89" s="176" t="s">
        <v>192</v>
      </c>
      <c r="L89" s="177"/>
      <c r="M89" s="193"/>
      <c r="N89" s="179"/>
      <c r="O89" s="180"/>
      <c r="P89" s="181"/>
      <c r="Q89" s="181"/>
      <c r="R89" s="182"/>
      <c r="S89" s="120"/>
      <c r="T89" s="131"/>
      <c r="U89" s="184"/>
      <c r="V89" s="121"/>
      <c r="W89" s="185"/>
      <c r="X89" s="186"/>
      <c r="Y89" s="187"/>
      <c r="Z89" s="131"/>
      <c r="AA89" s="188"/>
      <c r="AB89" s="121"/>
      <c r="AC89" s="197">
        <v>3.4000000000000002E-2</v>
      </c>
      <c r="AD89" s="198"/>
      <c r="AE89" s="191">
        <v>0.01</v>
      </c>
      <c r="AF89" s="105"/>
      <c r="AG89" s="61"/>
      <c r="AH89" s="106"/>
      <c r="AI89" s="106"/>
      <c r="AJ89" s="106"/>
      <c r="AK89" s="105"/>
      <c r="AL89" s="105"/>
    </row>
    <row r="90" spans="1:38" s="196" customFormat="1" ht="15" customHeight="1">
      <c r="A90" s="194"/>
      <c r="B90" s="195"/>
      <c r="C90" s="195"/>
      <c r="D90" s="173"/>
      <c r="E90" s="167"/>
      <c r="F90" s="167"/>
      <c r="G90" s="172"/>
      <c r="H90" s="173"/>
      <c r="I90" s="192"/>
      <c r="J90" s="175"/>
      <c r="K90" s="176"/>
      <c r="L90" s="177"/>
      <c r="M90" s="193"/>
      <c r="N90" s="179"/>
      <c r="O90" s="180"/>
      <c r="P90" s="181"/>
      <c r="Q90" s="181"/>
      <c r="R90" s="182"/>
      <c r="S90" s="120"/>
      <c r="T90" s="131"/>
      <c r="U90" s="184"/>
      <c r="V90" s="121"/>
      <c r="W90" s="185"/>
      <c r="X90" s="186"/>
      <c r="Y90" s="187"/>
      <c r="Z90" s="131"/>
      <c r="AA90" s="188"/>
      <c r="AB90" s="121"/>
      <c r="AC90" s="189"/>
      <c r="AD90" s="198"/>
      <c r="AE90" s="191"/>
      <c r="AF90" s="105"/>
      <c r="AG90" s="61"/>
      <c r="AH90" s="106"/>
      <c r="AI90" s="106"/>
      <c r="AJ90" s="106"/>
      <c r="AK90" s="105"/>
      <c r="AL90" s="105"/>
    </row>
    <row r="91" spans="1:38" s="196" customFormat="1" ht="15" customHeight="1">
      <c r="A91" s="194"/>
      <c r="B91" s="199"/>
      <c r="C91" s="199"/>
      <c r="D91" s="173"/>
      <c r="E91" s="167"/>
      <c r="F91" s="167"/>
      <c r="G91" s="172" t="s">
        <v>193</v>
      </c>
      <c r="H91" s="173">
        <v>1</v>
      </c>
      <c r="I91" s="174" t="s">
        <v>186</v>
      </c>
      <c r="J91" s="175" t="s">
        <v>182</v>
      </c>
      <c r="K91" s="176" t="s">
        <v>194</v>
      </c>
      <c r="L91" s="177"/>
      <c r="M91" s="193"/>
      <c r="N91" s="179"/>
      <c r="O91" s="180"/>
      <c r="P91" s="181"/>
      <c r="Q91" s="181"/>
      <c r="R91" s="182"/>
      <c r="S91" s="120"/>
      <c r="T91" s="183"/>
      <c r="U91" s="184"/>
      <c r="V91" s="121"/>
      <c r="W91" s="185"/>
      <c r="X91" s="186"/>
      <c r="Y91" s="187"/>
      <c r="Z91" s="131"/>
      <c r="AA91" s="188"/>
      <c r="AB91" s="121"/>
      <c r="AC91" s="197">
        <v>3.4000000000000002E-2</v>
      </c>
      <c r="AD91" s="198"/>
      <c r="AE91" s="191">
        <v>0.01</v>
      </c>
      <c r="AF91" s="105"/>
      <c r="AG91" s="61"/>
      <c r="AH91" s="106"/>
      <c r="AI91" s="106"/>
      <c r="AJ91" s="106"/>
      <c r="AK91" s="105"/>
      <c r="AL91" s="105"/>
    </row>
    <row r="92" spans="1:38" s="196" customFormat="1" ht="15" customHeight="1">
      <c r="A92" s="194"/>
      <c r="B92" s="199"/>
      <c r="C92" s="199"/>
      <c r="D92" s="173"/>
      <c r="E92" s="167"/>
      <c r="F92" s="167"/>
      <c r="G92" s="172" t="s">
        <v>193</v>
      </c>
      <c r="H92" s="173">
        <v>2</v>
      </c>
      <c r="I92" s="192" t="s">
        <v>186</v>
      </c>
      <c r="J92" s="175" t="s">
        <v>185</v>
      </c>
      <c r="K92" s="176" t="s">
        <v>194</v>
      </c>
      <c r="L92" s="177"/>
      <c r="M92" s="193"/>
      <c r="N92" s="179"/>
      <c r="O92" s="180"/>
      <c r="P92" s="181"/>
      <c r="Q92" s="181"/>
      <c r="R92" s="182"/>
      <c r="S92" s="120"/>
      <c r="T92" s="183"/>
      <c r="U92" s="184"/>
      <c r="V92" s="121"/>
      <c r="W92" s="185"/>
      <c r="X92" s="186"/>
      <c r="Y92" s="187"/>
      <c r="Z92" s="131"/>
      <c r="AA92" s="188"/>
      <c r="AB92" s="121"/>
      <c r="AC92" s="197">
        <v>3.4000000000000002E-2</v>
      </c>
      <c r="AD92" s="198"/>
      <c r="AE92" s="191">
        <v>0.01</v>
      </c>
      <c r="AF92" s="105"/>
      <c r="AG92" s="61"/>
      <c r="AH92" s="106"/>
      <c r="AI92" s="106"/>
      <c r="AJ92" s="106"/>
      <c r="AK92" s="105"/>
      <c r="AL92" s="105"/>
    </row>
    <row r="93" spans="1:38" s="196" customFormat="1" ht="15" customHeight="1">
      <c r="A93" s="194"/>
      <c r="B93" s="199"/>
      <c r="C93" s="199"/>
      <c r="D93" s="173"/>
      <c r="E93" s="167"/>
      <c r="F93" s="167"/>
      <c r="G93" s="172"/>
      <c r="H93" s="173"/>
      <c r="I93" s="174"/>
      <c r="J93" s="175"/>
      <c r="K93" s="176"/>
      <c r="L93" s="177"/>
      <c r="M93" s="193"/>
      <c r="N93" s="179"/>
      <c r="O93" s="180"/>
      <c r="P93" s="181"/>
      <c r="Q93" s="181"/>
      <c r="R93" s="182"/>
      <c r="S93" s="120"/>
      <c r="T93" s="131"/>
      <c r="U93" s="184"/>
      <c r="V93" s="121"/>
      <c r="W93" s="185"/>
      <c r="X93" s="186"/>
      <c r="Y93" s="187"/>
      <c r="Z93" s="131"/>
      <c r="AA93" s="188"/>
      <c r="AB93" s="121"/>
      <c r="AC93" s="197"/>
      <c r="AD93" s="198"/>
      <c r="AE93" s="191"/>
      <c r="AF93" s="105"/>
      <c r="AG93" s="61"/>
      <c r="AH93" s="106"/>
      <c r="AI93" s="106"/>
      <c r="AJ93" s="106"/>
      <c r="AK93" s="105"/>
      <c r="AL93" s="105"/>
    </row>
    <row r="94" spans="1:38" s="196" customFormat="1" ht="15" customHeight="1">
      <c r="A94" s="194"/>
      <c r="B94" s="199"/>
      <c r="C94" s="199"/>
      <c r="D94" s="173"/>
      <c r="E94" s="167"/>
      <c r="F94" s="167"/>
      <c r="G94" s="172" t="s">
        <v>195</v>
      </c>
      <c r="H94" s="173">
        <v>1</v>
      </c>
      <c r="I94" s="174" t="s">
        <v>186</v>
      </c>
      <c r="J94" s="175" t="s">
        <v>182</v>
      </c>
      <c r="K94" s="176" t="s">
        <v>196</v>
      </c>
      <c r="L94" s="177"/>
      <c r="M94" s="193"/>
      <c r="N94" s="179"/>
      <c r="O94" s="180"/>
      <c r="P94" s="181"/>
      <c r="Q94" s="181"/>
      <c r="R94" s="182"/>
      <c r="S94" s="120"/>
      <c r="T94" s="183"/>
      <c r="U94" s="184"/>
      <c r="V94" s="121"/>
      <c r="W94" s="185"/>
      <c r="X94" s="186" t="s">
        <v>0</v>
      </c>
      <c r="Y94" s="187"/>
      <c r="Z94" s="131"/>
      <c r="AA94" s="188"/>
      <c r="AB94" s="121"/>
      <c r="AC94" s="197">
        <v>3.4000000000000002E-2</v>
      </c>
      <c r="AD94" s="198"/>
      <c r="AE94" s="191">
        <v>0.01</v>
      </c>
      <c r="AF94" s="105"/>
      <c r="AG94" s="61"/>
      <c r="AH94" s="106"/>
      <c r="AI94" s="106"/>
      <c r="AJ94" s="106"/>
      <c r="AK94" s="105"/>
      <c r="AL94" s="105"/>
    </row>
    <row r="95" spans="1:38" s="196" customFormat="1" ht="15" customHeight="1">
      <c r="A95" s="194"/>
      <c r="B95" s="199"/>
      <c r="C95" s="199"/>
      <c r="D95" s="173"/>
      <c r="E95" s="167"/>
      <c r="F95" s="167"/>
      <c r="G95" s="172" t="s">
        <v>195</v>
      </c>
      <c r="H95" s="173">
        <v>2</v>
      </c>
      <c r="I95" s="174" t="s">
        <v>186</v>
      </c>
      <c r="J95" s="175" t="s">
        <v>185</v>
      </c>
      <c r="K95" s="176" t="s">
        <v>196</v>
      </c>
      <c r="L95" s="177"/>
      <c r="M95" s="193"/>
      <c r="N95" s="179"/>
      <c r="O95" s="180"/>
      <c r="P95" s="181"/>
      <c r="Q95" s="181"/>
      <c r="R95" s="182"/>
      <c r="S95" s="120"/>
      <c r="T95" s="183"/>
      <c r="U95" s="184"/>
      <c r="V95" s="121"/>
      <c r="W95" s="185"/>
      <c r="X95" s="186" t="s">
        <v>0</v>
      </c>
      <c r="Y95" s="187"/>
      <c r="Z95" s="131"/>
      <c r="AA95" s="188"/>
      <c r="AB95" s="121"/>
      <c r="AC95" s="197">
        <v>3.4000000000000002E-2</v>
      </c>
      <c r="AD95" s="198"/>
      <c r="AE95" s="191">
        <v>0.01</v>
      </c>
      <c r="AF95" s="105"/>
      <c r="AG95" s="61"/>
      <c r="AH95" s="106"/>
      <c r="AI95" s="106"/>
      <c r="AJ95" s="106"/>
      <c r="AK95" s="105"/>
      <c r="AL95" s="105"/>
    </row>
    <row r="96" spans="1:38" s="196" customFormat="1" ht="15" customHeight="1">
      <c r="A96" s="194"/>
      <c r="B96" s="199"/>
      <c r="C96" s="199"/>
      <c r="D96" s="173"/>
      <c r="E96" s="167"/>
      <c r="F96" s="167"/>
      <c r="G96" s="172"/>
      <c r="H96" s="173"/>
      <c r="I96" s="174"/>
      <c r="J96" s="175"/>
      <c r="K96" s="176"/>
      <c r="L96" s="177"/>
      <c r="M96" s="193"/>
      <c r="N96" s="179"/>
      <c r="O96" s="180"/>
      <c r="P96" s="181"/>
      <c r="Q96" s="181"/>
      <c r="R96" s="182"/>
      <c r="S96" s="120"/>
      <c r="T96" s="131"/>
      <c r="U96" s="184"/>
      <c r="V96" s="121"/>
      <c r="W96" s="185"/>
      <c r="X96" s="186"/>
      <c r="Y96" s="187"/>
      <c r="Z96" s="131"/>
      <c r="AA96" s="188"/>
      <c r="AB96" s="121"/>
      <c r="AC96" s="197"/>
      <c r="AD96" s="198"/>
      <c r="AE96" s="191"/>
      <c r="AF96" s="105"/>
      <c r="AG96" s="61"/>
      <c r="AH96" s="106"/>
      <c r="AI96" s="106"/>
      <c r="AJ96" s="106"/>
      <c r="AK96" s="105"/>
      <c r="AL96" s="105"/>
    </row>
    <row r="97" spans="1:42" s="196" customFormat="1" ht="15" customHeight="1">
      <c r="A97" s="194"/>
      <c r="B97" s="195"/>
      <c r="C97" s="195"/>
      <c r="D97" s="173"/>
      <c r="E97" s="167"/>
      <c r="F97" s="167"/>
      <c r="G97" s="172" t="s">
        <v>197</v>
      </c>
      <c r="H97" s="173">
        <v>1</v>
      </c>
      <c r="I97" s="192" t="s">
        <v>186</v>
      </c>
      <c r="J97" s="175" t="s">
        <v>182</v>
      </c>
      <c r="K97" s="176" t="s">
        <v>198</v>
      </c>
      <c r="L97" s="177"/>
      <c r="M97" s="193"/>
      <c r="N97" s="179"/>
      <c r="O97" s="201"/>
      <c r="P97" s="202"/>
      <c r="Q97" s="202"/>
      <c r="R97" s="182"/>
      <c r="S97" s="120"/>
      <c r="T97" s="131"/>
      <c r="U97" s="184"/>
      <c r="V97" s="121"/>
      <c r="W97" s="131"/>
      <c r="X97" s="188"/>
      <c r="Y97" s="183"/>
      <c r="Z97" s="131"/>
      <c r="AA97" s="188"/>
      <c r="AB97" s="121"/>
      <c r="AC97" s="189">
        <v>3.4000000000000002E-2</v>
      </c>
      <c r="AD97" s="198"/>
      <c r="AE97" s="191">
        <v>0.01</v>
      </c>
      <c r="AF97" s="105"/>
      <c r="AG97" s="61"/>
      <c r="AH97" s="106"/>
      <c r="AI97" s="106"/>
      <c r="AJ97" s="106"/>
      <c r="AK97" s="105"/>
      <c r="AL97" s="105"/>
    </row>
    <row r="98" spans="1:42" s="196" customFormat="1" ht="15" customHeight="1">
      <c r="A98" s="194"/>
      <c r="B98" s="195"/>
      <c r="C98" s="195"/>
      <c r="D98" s="173"/>
      <c r="E98" s="167"/>
      <c r="F98" s="167"/>
      <c r="G98" s="172" t="s">
        <v>197</v>
      </c>
      <c r="H98" s="173">
        <v>2</v>
      </c>
      <c r="I98" s="192" t="s">
        <v>186</v>
      </c>
      <c r="J98" s="175" t="s">
        <v>185</v>
      </c>
      <c r="K98" s="176" t="s">
        <v>198</v>
      </c>
      <c r="L98" s="177"/>
      <c r="M98" s="193"/>
      <c r="N98" s="179"/>
      <c r="O98" s="201"/>
      <c r="P98" s="202"/>
      <c r="Q98" s="202"/>
      <c r="R98" s="182"/>
      <c r="S98" s="120"/>
      <c r="T98" s="131"/>
      <c r="U98" s="184"/>
      <c r="V98" s="121"/>
      <c r="W98" s="131"/>
      <c r="X98" s="188"/>
      <c r="Y98" s="183"/>
      <c r="Z98" s="131"/>
      <c r="AA98" s="188"/>
      <c r="AB98" s="121"/>
      <c r="AC98" s="189">
        <v>3.4000000000000002E-2</v>
      </c>
      <c r="AD98" s="198"/>
      <c r="AE98" s="191">
        <v>0.01</v>
      </c>
      <c r="AF98" s="105"/>
      <c r="AG98" s="61"/>
      <c r="AH98" s="106"/>
      <c r="AI98" s="106"/>
      <c r="AJ98" s="106"/>
      <c r="AK98" s="105"/>
      <c r="AL98" s="105"/>
    </row>
    <row r="99" spans="1:42" s="196" customFormat="1" ht="15" customHeight="1">
      <c r="A99" s="194"/>
      <c r="B99" s="195"/>
      <c r="C99" s="195"/>
      <c r="D99" s="173"/>
      <c r="E99" s="167"/>
      <c r="F99" s="167"/>
      <c r="G99" s="172"/>
      <c r="H99" s="173"/>
      <c r="I99" s="192"/>
      <c r="J99" s="175"/>
      <c r="L99" s="177"/>
      <c r="M99" s="193"/>
      <c r="N99" s="179"/>
      <c r="O99" s="201"/>
      <c r="P99" s="202"/>
      <c r="Q99" s="202"/>
      <c r="R99" s="182"/>
      <c r="S99" s="120"/>
      <c r="T99" s="131"/>
      <c r="U99" s="184"/>
      <c r="V99" s="121"/>
      <c r="W99" s="131"/>
      <c r="X99" s="188"/>
      <c r="Y99" s="183"/>
      <c r="Z99" s="131"/>
      <c r="AA99" s="188"/>
      <c r="AB99" s="121"/>
      <c r="AC99" s="189"/>
      <c r="AD99" s="198"/>
      <c r="AE99" s="191"/>
      <c r="AF99" s="105"/>
      <c r="AG99" s="61"/>
      <c r="AH99" s="106"/>
      <c r="AI99" s="106"/>
      <c r="AJ99" s="106"/>
      <c r="AK99" s="105"/>
      <c r="AL99" s="105"/>
    </row>
    <row r="100" spans="1:42" s="196" customFormat="1" ht="15" customHeight="1">
      <c r="A100" s="194"/>
      <c r="B100" s="195"/>
      <c r="C100" s="195"/>
      <c r="D100" s="173"/>
      <c r="E100" s="167"/>
      <c r="F100" s="167"/>
      <c r="G100" s="172" t="s">
        <v>199</v>
      </c>
      <c r="H100" s="173">
        <v>1</v>
      </c>
      <c r="I100" s="192" t="s">
        <v>186</v>
      </c>
      <c r="J100" s="175" t="s">
        <v>182</v>
      </c>
      <c r="K100" s="176" t="s">
        <v>200</v>
      </c>
      <c r="L100" s="177"/>
      <c r="M100" s="193"/>
      <c r="N100" s="179"/>
      <c r="O100" s="201"/>
      <c r="P100" s="202"/>
      <c r="Q100" s="202"/>
      <c r="R100" s="182"/>
      <c r="S100" s="120"/>
      <c r="T100" s="131"/>
      <c r="U100" s="184"/>
      <c r="V100" s="121"/>
      <c r="W100" s="131"/>
      <c r="X100" s="188"/>
      <c r="Y100" s="183"/>
      <c r="Z100" s="131"/>
      <c r="AA100" s="188"/>
      <c r="AB100" s="121"/>
      <c r="AC100" s="189">
        <v>3.4000000000000002E-2</v>
      </c>
      <c r="AD100" s="198"/>
      <c r="AE100" s="191"/>
      <c r="AF100" s="105"/>
      <c r="AG100" s="61"/>
      <c r="AH100" s="106"/>
      <c r="AI100" s="106"/>
      <c r="AJ100" s="106"/>
      <c r="AK100" s="105"/>
      <c r="AL100" s="105"/>
    </row>
    <row r="101" spans="1:42" s="196" customFormat="1" ht="15" customHeight="1">
      <c r="A101" s="194"/>
      <c r="B101" s="195"/>
      <c r="C101" s="195"/>
      <c r="D101" s="173"/>
      <c r="E101" s="167"/>
      <c r="F101" s="167"/>
      <c r="G101" s="172" t="s">
        <v>199</v>
      </c>
      <c r="H101" s="173">
        <v>2</v>
      </c>
      <c r="I101" s="192" t="s">
        <v>186</v>
      </c>
      <c r="J101" s="175" t="s">
        <v>185</v>
      </c>
      <c r="K101" s="176" t="s">
        <v>200</v>
      </c>
      <c r="L101" s="177"/>
      <c r="M101" s="193"/>
      <c r="N101" s="179"/>
      <c r="O101" s="201"/>
      <c r="P101" s="202"/>
      <c r="Q101" s="202"/>
      <c r="R101" s="182"/>
      <c r="S101" s="120"/>
      <c r="T101" s="131"/>
      <c r="U101" s="184"/>
      <c r="V101" s="121"/>
      <c r="W101" s="131"/>
      <c r="X101" s="188"/>
      <c r="Y101" s="183"/>
      <c r="Z101" s="131"/>
      <c r="AA101" s="188"/>
      <c r="AB101" s="121"/>
      <c r="AC101" s="189">
        <v>3.4000000000000002E-2</v>
      </c>
      <c r="AD101" s="198"/>
      <c r="AE101" s="191"/>
      <c r="AF101" s="105"/>
      <c r="AG101" s="61"/>
      <c r="AH101" s="106"/>
      <c r="AI101" s="106"/>
      <c r="AJ101" s="106"/>
      <c r="AK101" s="105"/>
      <c r="AL101" s="105"/>
    </row>
    <row r="102" spans="1:42" s="196" customFormat="1" ht="15" customHeight="1">
      <c r="A102" s="194"/>
      <c r="B102" s="131"/>
      <c r="C102" s="131"/>
      <c r="D102" s="203"/>
      <c r="E102" s="167"/>
      <c r="F102" s="167"/>
      <c r="G102" s="204"/>
      <c r="H102" s="203"/>
      <c r="I102" s="111"/>
      <c r="J102" s="205"/>
      <c r="K102" s="206"/>
      <c r="L102" s="177"/>
      <c r="M102" s="193"/>
      <c r="N102" s="179"/>
      <c r="O102" s="180"/>
      <c r="P102" s="181"/>
      <c r="Q102" s="181"/>
      <c r="R102" s="182"/>
      <c r="S102" s="120"/>
      <c r="T102" s="131"/>
      <c r="U102" s="184"/>
      <c r="V102" s="121"/>
      <c r="W102" s="185"/>
      <c r="X102" s="186"/>
      <c r="Y102" s="187"/>
      <c r="Z102" s="131"/>
      <c r="AA102" s="188"/>
      <c r="AB102" s="121"/>
      <c r="AC102" s="189"/>
      <c r="AD102" s="198"/>
      <c r="AE102" s="191"/>
      <c r="AF102" s="105"/>
      <c r="AG102" s="61"/>
      <c r="AH102" s="106"/>
      <c r="AI102" s="106"/>
      <c r="AJ102" s="105"/>
      <c r="AK102" s="105"/>
      <c r="AL102" s="61"/>
    </row>
    <row r="103" spans="1:42" s="130" customFormat="1" ht="15" customHeight="1">
      <c r="A103" s="207" t="s">
        <v>114</v>
      </c>
      <c r="B103" s="208"/>
      <c r="C103" s="208"/>
      <c r="D103" s="209"/>
      <c r="E103" s="209"/>
      <c r="F103" s="209"/>
      <c r="G103" s="210"/>
      <c r="H103" s="209"/>
      <c r="I103" s="147"/>
      <c r="J103" s="211"/>
      <c r="K103" s="212"/>
      <c r="L103" s="213"/>
      <c r="M103" s="214"/>
      <c r="N103" s="215"/>
      <c r="O103" s="216"/>
      <c r="P103" s="217"/>
      <c r="Q103" s="217"/>
      <c r="R103" s="218"/>
      <c r="S103" s="219"/>
      <c r="T103" s="226"/>
      <c r="U103" s="221"/>
      <c r="V103" s="222"/>
      <c r="W103" s="223"/>
      <c r="X103" s="224"/>
      <c r="Y103" s="225"/>
      <c r="Z103" s="226"/>
      <c r="AA103" s="227"/>
      <c r="AB103" s="222"/>
      <c r="AC103" s="228"/>
      <c r="AD103" s="229"/>
      <c r="AE103" s="230"/>
      <c r="AF103" s="105"/>
      <c r="AG103" s="61"/>
      <c r="AH103" s="106"/>
      <c r="AI103" s="106"/>
      <c r="AJ103" s="105"/>
      <c r="AK103" s="105"/>
      <c r="AL103" s="61"/>
    </row>
    <row r="104" spans="1:42" s="196" customFormat="1" ht="15" customHeight="1">
      <c r="A104" s="166"/>
      <c r="B104" s="165">
        <v>200092189575</v>
      </c>
      <c r="C104" s="165">
        <v>10777291</v>
      </c>
      <c r="D104" s="166" t="s">
        <v>201</v>
      </c>
      <c r="E104" s="167"/>
      <c r="F104" s="167" t="s">
        <v>231</v>
      </c>
      <c r="G104" s="173"/>
      <c r="H104" s="231"/>
      <c r="I104" s="174"/>
      <c r="J104" s="232"/>
      <c r="K104" s="233"/>
      <c r="L104" s="177"/>
      <c r="M104" s="193"/>
      <c r="N104" s="179"/>
      <c r="O104" s="180"/>
      <c r="P104" s="181"/>
      <c r="Q104" s="181"/>
      <c r="R104" s="182"/>
      <c r="S104" s="120"/>
      <c r="T104" s="131"/>
      <c r="U104" s="184"/>
      <c r="V104" s="121"/>
      <c r="W104" s="185"/>
      <c r="X104" s="186"/>
      <c r="Y104" s="187"/>
      <c r="Z104" s="131"/>
      <c r="AA104" s="188"/>
      <c r="AB104" s="121"/>
      <c r="AC104" s="189"/>
      <c r="AD104" s="198"/>
      <c r="AE104" s="191"/>
      <c r="AF104" s="105"/>
      <c r="AG104" s="61"/>
      <c r="AH104" s="106"/>
      <c r="AI104" s="106"/>
      <c r="AJ104" s="105"/>
      <c r="AK104" s="105"/>
      <c r="AL104" s="61"/>
    </row>
    <row r="105" spans="1:42" s="196" customFormat="1" ht="15" customHeight="1">
      <c r="A105" s="194"/>
      <c r="B105" s="234"/>
      <c r="C105" s="234"/>
      <c r="D105" s="166"/>
      <c r="E105" s="167" t="s">
        <v>203</v>
      </c>
      <c r="F105" s="167"/>
      <c r="G105" s="173" t="s">
        <v>204</v>
      </c>
      <c r="H105" s="173" t="s">
        <v>180</v>
      </c>
      <c r="I105" s="174" t="s">
        <v>181</v>
      </c>
      <c r="J105" s="175" t="s">
        <v>182</v>
      </c>
      <c r="K105" s="233" t="s">
        <v>205</v>
      </c>
      <c r="L105" s="177"/>
      <c r="M105" s="193"/>
      <c r="N105" s="179"/>
      <c r="O105" s="180"/>
      <c r="P105" s="181"/>
      <c r="Q105" s="181"/>
      <c r="R105" s="182"/>
      <c r="S105" s="120"/>
      <c r="T105" s="183"/>
      <c r="U105" s="184"/>
      <c r="V105" s="121"/>
      <c r="W105" s="185"/>
      <c r="X105" s="186"/>
      <c r="Y105" s="187"/>
      <c r="Z105" s="131"/>
      <c r="AA105" s="188"/>
      <c r="AB105" s="121"/>
      <c r="AC105" s="189">
        <v>3.4000000000000002E-2</v>
      </c>
      <c r="AD105" s="198"/>
      <c r="AE105" s="191">
        <v>0.01</v>
      </c>
      <c r="AF105" s="105"/>
      <c r="AG105" s="61"/>
      <c r="AH105" s="106"/>
      <c r="AI105" s="106"/>
      <c r="AJ105" s="105"/>
      <c r="AK105" s="105"/>
      <c r="AL105" s="61"/>
    </row>
    <row r="106" spans="1:42" s="196" customFormat="1" ht="15" customHeight="1">
      <c r="A106" s="194"/>
      <c r="B106" s="234"/>
      <c r="C106" s="234"/>
      <c r="D106" s="166"/>
      <c r="E106" s="167"/>
      <c r="F106" s="167"/>
      <c r="G106" s="173" t="s">
        <v>204</v>
      </c>
      <c r="H106" s="173">
        <v>2</v>
      </c>
      <c r="I106" s="192" t="s">
        <v>181</v>
      </c>
      <c r="J106" s="175" t="s">
        <v>185</v>
      </c>
      <c r="K106" s="233" t="s">
        <v>205</v>
      </c>
      <c r="L106" s="177"/>
      <c r="M106" s="193"/>
      <c r="N106" s="179"/>
      <c r="O106" s="180"/>
      <c r="P106" s="181"/>
      <c r="Q106" s="181"/>
      <c r="R106" s="182"/>
      <c r="S106" s="120"/>
      <c r="T106" s="183"/>
      <c r="U106" s="184"/>
      <c r="V106" s="121"/>
      <c r="W106" s="185"/>
      <c r="X106" s="186"/>
      <c r="Y106" s="187"/>
      <c r="Z106" s="131"/>
      <c r="AA106" s="188"/>
      <c r="AB106" s="121"/>
      <c r="AC106" s="189">
        <v>3.4000000000000002E-2</v>
      </c>
      <c r="AD106" s="198"/>
      <c r="AE106" s="191">
        <v>0.01</v>
      </c>
      <c r="AF106" s="105"/>
      <c r="AG106" s="61"/>
      <c r="AH106" s="106"/>
      <c r="AI106" s="106"/>
      <c r="AJ106" s="105"/>
      <c r="AK106" s="105"/>
      <c r="AL106" s="61"/>
    </row>
    <row r="107" spans="1:42" s="196" customFormat="1" ht="15" customHeight="1">
      <c r="A107" s="194"/>
      <c r="B107" s="234"/>
      <c r="C107" s="234"/>
      <c r="D107" s="166"/>
      <c r="E107" s="167"/>
      <c r="F107" s="167"/>
      <c r="G107" s="173"/>
      <c r="H107" s="231"/>
      <c r="I107" s="174"/>
      <c r="J107" s="232"/>
      <c r="K107" s="233"/>
      <c r="L107" s="177"/>
      <c r="M107" s="193"/>
      <c r="N107" s="179"/>
      <c r="O107" s="180"/>
      <c r="P107" s="181"/>
      <c r="Q107" s="181"/>
      <c r="R107" s="182"/>
      <c r="S107" s="120"/>
      <c r="T107" s="131"/>
      <c r="U107" s="184"/>
      <c r="V107" s="121"/>
      <c r="W107" s="185"/>
      <c r="X107" s="186"/>
      <c r="Y107" s="187"/>
      <c r="Z107" s="131"/>
      <c r="AA107" s="188"/>
      <c r="AB107" s="121"/>
      <c r="AC107" s="189"/>
      <c r="AD107" s="198"/>
      <c r="AE107" s="191"/>
      <c r="AF107" s="105"/>
      <c r="AG107" s="61"/>
      <c r="AH107" s="106"/>
      <c r="AI107" s="106"/>
      <c r="AJ107" s="105"/>
      <c r="AK107" s="105"/>
      <c r="AL107" s="61"/>
    </row>
    <row r="108" spans="1:42" s="196" customFormat="1" ht="15" customHeight="1">
      <c r="A108" s="194"/>
      <c r="B108" s="234"/>
      <c r="C108" s="234"/>
      <c r="D108" s="166"/>
      <c r="E108" s="167" t="s">
        <v>206</v>
      </c>
      <c r="F108" s="167"/>
      <c r="G108" s="172" t="s">
        <v>207</v>
      </c>
      <c r="H108" s="173" t="s">
        <v>180</v>
      </c>
      <c r="I108" s="174" t="s">
        <v>181</v>
      </c>
      <c r="J108" s="175" t="s">
        <v>182</v>
      </c>
      <c r="K108" s="176" t="s">
        <v>208</v>
      </c>
      <c r="L108" s="177"/>
      <c r="M108" s="193"/>
      <c r="N108" s="179"/>
      <c r="O108" s="180"/>
      <c r="P108" s="181"/>
      <c r="Q108" s="181"/>
      <c r="R108" s="182"/>
      <c r="S108" s="120"/>
      <c r="T108" s="183"/>
      <c r="U108" s="184"/>
      <c r="V108" s="121"/>
      <c r="W108" s="185"/>
      <c r="X108" s="186"/>
      <c r="Y108" s="187"/>
      <c r="Z108" s="131"/>
      <c r="AA108" s="188"/>
      <c r="AB108" s="121"/>
      <c r="AC108" s="189">
        <v>3.4000000000000002E-2</v>
      </c>
      <c r="AD108" s="198"/>
      <c r="AE108" s="191">
        <v>0.01</v>
      </c>
      <c r="AF108" s="105"/>
      <c r="AG108" s="61"/>
      <c r="AH108" s="106"/>
      <c r="AI108" s="106"/>
      <c r="AJ108" s="105"/>
      <c r="AK108" s="105"/>
      <c r="AL108" s="61"/>
    </row>
    <row r="109" spans="1:42" s="196" customFormat="1" ht="15" customHeight="1">
      <c r="A109" s="194"/>
      <c r="B109" s="234"/>
      <c r="C109" s="234"/>
      <c r="D109" s="166"/>
      <c r="E109" s="167"/>
      <c r="F109" s="167"/>
      <c r="G109" s="172" t="s">
        <v>207</v>
      </c>
      <c r="H109" s="173">
        <v>2</v>
      </c>
      <c r="I109" s="192" t="s">
        <v>181</v>
      </c>
      <c r="J109" s="175" t="s">
        <v>185</v>
      </c>
      <c r="K109" s="176" t="s">
        <v>208</v>
      </c>
      <c r="L109" s="177"/>
      <c r="M109" s="193"/>
      <c r="N109" s="179"/>
      <c r="O109" s="180"/>
      <c r="P109" s="181"/>
      <c r="Q109" s="181"/>
      <c r="R109" s="182"/>
      <c r="S109" s="120"/>
      <c r="T109" s="183"/>
      <c r="U109" s="184"/>
      <c r="V109" s="121"/>
      <c r="W109" s="185"/>
      <c r="X109" s="186"/>
      <c r="Y109" s="187"/>
      <c r="Z109" s="131"/>
      <c r="AA109" s="188"/>
      <c r="AB109" s="121"/>
      <c r="AC109" s="189">
        <v>3.4000000000000002E-2</v>
      </c>
      <c r="AD109" s="198"/>
      <c r="AE109" s="191">
        <v>0.01</v>
      </c>
      <c r="AF109" s="105"/>
      <c r="AG109" s="61"/>
      <c r="AH109" s="106"/>
      <c r="AI109" s="106"/>
      <c r="AJ109" s="105"/>
      <c r="AK109" s="105"/>
      <c r="AL109" s="61"/>
    </row>
    <row r="110" spans="1:42" s="196" customFormat="1" ht="15" customHeight="1">
      <c r="A110" s="194"/>
      <c r="B110" s="202"/>
      <c r="C110" s="202"/>
      <c r="D110" s="203"/>
      <c r="E110" s="167"/>
      <c r="F110" s="167"/>
      <c r="G110" s="204"/>
      <c r="H110" s="203"/>
      <c r="I110" s="111"/>
      <c r="J110" s="205"/>
      <c r="K110" s="206"/>
      <c r="L110" s="177"/>
      <c r="M110" s="193"/>
      <c r="N110" s="179"/>
      <c r="O110" s="180"/>
      <c r="P110" s="181"/>
      <c r="Q110" s="181"/>
      <c r="R110" s="182"/>
      <c r="S110" s="120"/>
      <c r="T110" s="131"/>
      <c r="U110" s="184"/>
      <c r="V110" s="121"/>
      <c r="W110" s="185"/>
      <c r="X110" s="186"/>
      <c r="Y110" s="187"/>
      <c r="Z110" s="131"/>
      <c r="AA110" s="188"/>
      <c r="AB110" s="121"/>
      <c r="AC110" s="189"/>
      <c r="AD110" s="198"/>
      <c r="AE110" s="191"/>
      <c r="AF110" s="105"/>
      <c r="AG110" s="61"/>
      <c r="AH110" s="106"/>
      <c r="AI110" s="106"/>
      <c r="AJ110" s="105"/>
      <c r="AK110" s="105"/>
      <c r="AL110" s="61"/>
    </row>
    <row r="111" spans="1:42" s="196" customFormat="1" ht="20.25" customHeight="1">
      <c r="A111" s="207" t="s">
        <v>232</v>
      </c>
      <c r="B111" s="208"/>
      <c r="C111" s="208"/>
      <c r="D111" s="209"/>
      <c r="E111" s="209"/>
      <c r="F111" s="209"/>
      <c r="G111" s="210"/>
      <c r="H111" s="209"/>
      <c r="I111" s="147"/>
      <c r="J111" s="388"/>
      <c r="K111" s="212"/>
      <c r="L111" s="213"/>
      <c r="M111" s="214"/>
      <c r="N111" s="215"/>
      <c r="O111" s="216"/>
      <c r="P111" s="217"/>
      <c r="Q111" s="217"/>
      <c r="R111" s="218"/>
      <c r="S111" s="219"/>
      <c r="T111" s="226"/>
      <c r="U111" s="221"/>
      <c r="V111" s="222"/>
      <c r="W111" s="223"/>
      <c r="X111" s="224"/>
      <c r="Y111" s="225"/>
      <c r="Z111" s="226"/>
      <c r="AA111" s="227"/>
      <c r="AB111" s="222"/>
      <c r="AC111" s="228"/>
      <c r="AD111" s="229"/>
      <c r="AE111" s="230"/>
      <c r="AF111" s="105"/>
      <c r="AG111" s="61"/>
      <c r="AH111" s="106"/>
      <c r="AI111" s="106"/>
      <c r="AJ111" s="105"/>
      <c r="AK111" s="105"/>
      <c r="AL111" s="61"/>
    </row>
    <row r="112" spans="1:42" s="196" customFormat="1" ht="21.75" customHeight="1">
      <c r="A112" s="800" t="s">
        <v>233</v>
      </c>
      <c r="B112" s="801"/>
      <c r="C112" s="801"/>
      <c r="D112" s="801"/>
      <c r="E112" s="801"/>
      <c r="F112" s="801"/>
      <c r="G112" s="801"/>
      <c r="H112" s="801"/>
      <c r="I112" s="801"/>
      <c r="J112" s="801"/>
      <c r="K112" s="802"/>
      <c r="L112" s="177"/>
      <c r="M112" s="193"/>
      <c r="N112" s="179"/>
      <c r="O112" s="180"/>
      <c r="P112" s="181"/>
      <c r="Q112" s="181"/>
      <c r="R112" s="182"/>
      <c r="S112" s="120"/>
      <c r="T112" s="131"/>
      <c r="U112" s="184"/>
      <c r="V112" s="121"/>
      <c r="W112" s="185"/>
      <c r="X112" s="186"/>
      <c r="Y112" s="187"/>
      <c r="Z112" s="131"/>
      <c r="AA112" s="188"/>
      <c r="AB112" s="121"/>
      <c r="AC112" s="189"/>
      <c r="AD112" s="198"/>
      <c r="AE112" s="191"/>
      <c r="AF112" s="105"/>
      <c r="AG112" s="61"/>
      <c r="AH112" s="106"/>
      <c r="AI112" s="106"/>
      <c r="AJ112" s="106"/>
      <c r="AK112" s="105"/>
      <c r="AL112" s="105"/>
      <c r="AO112" s="105"/>
      <c r="AP112" s="61"/>
    </row>
    <row r="113" spans="1:38" s="196" customFormat="1" ht="15" customHeight="1">
      <c r="A113" s="238"/>
      <c r="B113" s="179">
        <v>200092189575</v>
      </c>
      <c r="C113" s="131">
        <v>10982662</v>
      </c>
      <c r="D113" s="203" t="s">
        <v>211</v>
      </c>
      <c r="E113" s="167"/>
      <c r="F113" s="167" t="s">
        <v>234</v>
      </c>
      <c r="G113" s="239"/>
      <c r="H113" s="111"/>
      <c r="I113" s="111"/>
      <c r="J113" s="240"/>
      <c r="K113" s="176"/>
      <c r="L113" s="241"/>
      <c r="M113" s="242"/>
      <c r="N113" s="243"/>
      <c r="O113" s="244"/>
      <c r="P113" s="245"/>
      <c r="Q113" s="245"/>
      <c r="R113" s="246"/>
      <c r="S113" s="247"/>
      <c r="T113" s="254"/>
      <c r="U113" s="249"/>
      <c r="V113" s="250"/>
      <c r="W113" s="251"/>
      <c r="X113" s="252"/>
      <c r="Y113" s="253"/>
      <c r="Z113" s="254"/>
      <c r="AA113" s="255"/>
      <c r="AB113" s="250"/>
      <c r="AC113" s="189"/>
      <c r="AD113" s="198"/>
      <c r="AE113" s="191"/>
      <c r="AF113" s="105"/>
      <c r="AG113" s="61"/>
      <c r="AH113" s="106"/>
      <c r="AI113" s="106"/>
      <c r="AJ113" s="105"/>
      <c r="AK113" s="105"/>
      <c r="AL113" s="61"/>
    </row>
    <row r="114" spans="1:38" s="196" customFormat="1" ht="15" customHeight="1">
      <c r="A114" s="194"/>
      <c r="B114" s="199"/>
      <c r="C114" s="199"/>
      <c r="D114" s="173"/>
      <c r="E114" s="167" t="s">
        <v>213</v>
      </c>
      <c r="F114" s="167"/>
      <c r="G114" s="172" t="s">
        <v>214</v>
      </c>
      <c r="H114" s="173">
        <v>1</v>
      </c>
      <c r="I114" s="192" t="s">
        <v>181</v>
      </c>
      <c r="J114" s="175" t="s">
        <v>182</v>
      </c>
      <c r="K114" s="176" t="s">
        <v>215</v>
      </c>
      <c r="L114" s="177"/>
      <c r="M114" s="193"/>
      <c r="N114" s="179"/>
      <c r="O114" s="180"/>
      <c r="P114" s="181"/>
      <c r="Q114" s="181"/>
      <c r="R114" s="182"/>
      <c r="S114" s="120"/>
      <c r="T114" s="183"/>
      <c r="U114" s="184"/>
      <c r="V114" s="121"/>
      <c r="W114" s="185"/>
      <c r="X114" s="186"/>
      <c r="Y114" s="187"/>
      <c r="Z114" s="131"/>
      <c r="AA114" s="188"/>
      <c r="AB114" s="121"/>
      <c r="AC114" s="189">
        <v>3.4000000000000002E-2</v>
      </c>
      <c r="AD114" s="190"/>
      <c r="AE114" s="191"/>
      <c r="AF114" s="105"/>
      <c r="AG114" s="61"/>
      <c r="AH114" s="106"/>
      <c r="AI114" s="106"/>
      <c r="AJ114" s="105"/>
      <c r="AK114" s="105"/>
      <c r="AL114" s="61"/>
    </row>
    <row r="115" spans="1:38" s="196" customFormat="1" ht="15" customHeight="1">
      <c r="A115" s="194"/>
      <c r="B115" s="199"/>
      <c r="C115" s="199"/>
      <c r="D115" s="173"/>
      <c r="E115" s="167"/>
      <c r="F115" s="167"/>
      <c r="G115" s="172" t="s">
        <v>214</v>
      </c>
      <c r="H115" s="173">
        <v>2</v>
      </c>
      <c r="I115" s="174" t="s">
        <v>181</v>
      </c>
      <c r="J115" s="232" t="s">
        <v>185</v>
      </c>
      <c r="K115" s="176" t="s">
        <v>215</v>
      </c>
      <c r="L115" s="177"/>
      <c r="M115" s="193"/>
      <c r="N115" s="179"/>
      <c r="O115" s="180"/>
      <c r="P115" s="181"/>
      <c r="Q115" s="181"/>
      <c r="R115" s="182"/>
      <c r="S115" s="120"/>
      <c r="T115" s="183"/>
      <c r="U115" s="184"/>
      <c r="V115" s="121"/>
      <c r="W115" s="185"/>
      <c r="X115" s="186"/>
      <c r="Y115" s="187"/>
      <c r="Z115" s="131"/>
      <c r="AA115" s="188"/>
      <c r="AB115" s="121"/>
      <c r="AC115" s="189">
        <v>3.4000000000000002E-2</v>
      </c>
      <c r="AD115" s="190"/>
      <c r="AE115" s="191"/>
      <c r="AF115" s="105"/>
      <c r="AG115" s="61"/>
      <c r="AH115" s="106"/>
      <c r="AI115" s="106"/>
      <c r="AJ115" s="105"/>
      <c r="AK115" s="105"/>
      <c r="AL115" s="61"/>
    </row>
    <row r="116" spans="1:38" s="196" customFormat="1" ht="15" customHeight="1">
      <c r="A116" s="256"/>
      <c r="B116" s="234"/>
      <c r="C116" s="234"/>
      <c r="D116" s="166"/>
      <c r="E116" s="167"/>
      <c r="F116" s="167"/>
      <c r="G116" s="172" t="s">
        <v>214</v>
      </c>
      <c r="H116" s="173">
        <v>3</v>
      </c>
      <c r="I116" s="174" t="s">
        <v>186</v>
      </c>
      <c r="J116" s="232" t="s">
        <v>187</v>
      </c>
      <c r="K116" s="176" t="s">
        <v>215</v>
      </c>
      <c r="L116" s="177"/>
      <c r="M116" s="193"/>
      <c r="N116" s="179"/>
      <c r="O116" s="180"/>
      <c r="P116" s="181"/>
      <c r="Q116" s="181"/>
      <c r="R116" s="182"/>
      <c r="S116" s="120"/>
      <c r="T116" s="183"/>
      <c r="U116" s="184"/>
      <c r="V116" s="121"/>
      <c r="W116" s="185"/>
      <c r="X116" s="186"/>
      <c r="Y116" s="187"/>
      <c r="Z116" s="131"/>
      <c r="AA116" s="188"/>
      <c r="AB116" s="121"/>
      <c r="AC116" s="189"/>
      <c r="AD116" s="190"/>
      <c r="AE116" s="191"/>
      <c r="AF116" s="105"/>
      <c r="AG116" s="61"/>
      <c r="AH116" s="106"/>
      <c r="AI116" s="106"/>
      <c r="AJ116" s="105"/>
      <c r="AK116" s="105"/>
      <c r="AL116" s="61"/>
    </row>
    <row r="117" spans="1:38" s="196" customFormat="1" ht="15" customHeight="1">
      <c r="A117" s="256"/>
      <c r="B117" s="234"/>
      <c r="C117" s="234"/>
      <c r="D117" s="166"/>
      <c r="E117" s="167"/>
      <c r="F117" s="167"/>
      <c r="G117" s="172" t="s">
        <v>214</v>
      </c>
      <c r="H117" s="173">
        <v>4</v>
      </c>
      <c r="I117" s="174" t="s">
        <v>186</v>
      </c>
      <c r="J117" s="232" t="s">
        <v>188</v>
      </c>
      <c r="K117" s="176" t="s">
        <v>215</v>
      </c>
      <c r="L117" s="177"/>
      <c r="M117" s="193"/>
      <c r="N117" s="179"/>
      <c r="O117" s="180"/>
      <c r="P117" s="181"/>
      <c r="Q117" s="181"/>
      <c r="R117" s="182"/>
      <c r="S117" s="120"/>
      <c r="T117" s="183"/>
      <c r="U117" s="184"/>
      <c r="V117" s="121"/>
      <c r="W117" s="185"/>
      <c r="X117" s="186"/>
      <c r="Y117" s="187"/>
      <c r="Z117" s="131"/>
      <c r="AA117" s="188"/>
      <c r="AB117" s="121"/>
      <c r="AC117" s="189"/>
      <c r="AD117" s="190"/>
      <c r="AE117" s="191"/>
      <c r="AF117" s="105"/>
      <c r="AG117" s="61"/>
      <c r="AH117" s="106"/>
      <c r="AI117" s="106"/>
      <c r="AJ117" s="105"/>
      <c r="AK117" s="105"/>
      <c r="AL117" s="61"/>
    </row>
    <row r="118" spans="1:38" s="196" customFormat="1" ht="15" customHeight="1">
      <c r="A118" s="256"/>
      <c r="B118" s="234"/>
      <c r="C118" s="234"/>
      <c r="D118" s="166"/>
      <c r="E118" s="167"/>
      <c r="F118" s="167"/>
      <c r="G118" s="172"/>
      <c r="H118" s="173"/>
      <c r="I118" s="174"/>
      <c r="J118" s="232"/>
      <c r="K118" s="176"/>
      <c r="L118" s="177"/>
      <c r="M118" s="193"/>
      <c r="N118" s="179"/>
      <c r="O118" s="180"/>
      <c r="P118" s="181"/>
      <c r="Q118" s="181"/>
      <c r="R118" s="182"/>
      <c r="S118" s="120"/>
      <c r="T118" s="131"/>
      <c r="U118" s="184"/>
      <c r="V118" s="121"/>
      <c r="W118" s="185"/>
      <c r="X118" s="186"/>
      <c r="Y118" s="187"/>
      <c r="Z118" s="131"/>
      <c r="AA118" s="188"/>
      <c r="AB118" s="121"/>
      <c r="AC118" s="189"/>
      <c r="AD118" s="190"/>
      <c r="AE118" s="191"/>
      <c r="AF118" s="105"/>
      <c r="AG118" s="61"/>
      <c r="AH118" s="106"/>
      <c r="AI118" s="106"/>
      <c r="AJ118" s="105"/>
      <c r="AK118" s="105"/>
      <c r="AL118" s="61"/>
    </row>
    <row r="119" spans="1:38" s="196" customFormat="1" ht="15" customHeight="1">
      <c r="A119" s="194"/>
      <c r="B119" s="199"/>
      <c r="C119" s="199"/>
      <c r="D119" s="173"/>
      <c r="E119" s="167" t="s">
        <v>216</v>
      </c>
      <c r="F119" s="167"/>
      <c r="G119" s="389" t="s">
        <v>217</v>
      </c>
      <c r="H119" s="390">
        <v>1</v>
      </c>
      <c r="I119" s="391" t="s">
        <v>181</v>
      </c>
      <c r="J119" s="392" t="s">
        <v>182</v>
      </c>
      <c r="K119" s="367" t="s">
        <v>218</v>
      </c>
      <c r="L119" s="393"/>
      <c r="M119" s="394"/>
      <c r="N119" s="395"/>
      <c r="O119" s="396"/>
      <c r="P119" s="397"/>
      <c r="Q119" s="397"/>
      <c r="R119" s="398"/>
      <c r="S119" s="399"/>
      <c r="T119" s="400"/>
      <c r="U119" s="401"/>
      <c r="V119" s="402"/>
      <c r="W119" s="403"/>
      <c r="X119" s="404"/>
      <c r="Y119" s="405"/>
      <c r="Z119" s="400"/>
      <c r="AA119" s="406"/>
      <c r="AB119" s="402"/>
      <c r="AC119" s="407">
        <v>3.4000000000000002E-2</v>
      </c>
      <c r="AD119" s="408"/>
      <c r="AE119" s="409">
        <v>0.01</v>
      </c>
      <c r="AF119" s="105"/>
      <c r="AG119" s="61"/>
      <c r="AH119" s="106"/>
      <c r="AI119" s="106"/>
      <c r="AJ119" s="106"/>
      <c r="AK119" s="105"/>
      <c r="AL119" s="105"/>
    </row>
    <row r="120" spans="1:38" s="196" customFormat="1" ht="15" customHeight="1">
      <c r="A120" s="194"/>
      <c r="B120" s="199"/>
      <c r="C120" s="199"/>
      <c r="D120" s="173"/>
      <c r="E120" s="167"/>
      <c r="F120" s="167"/>
      <c r="G120" s="389" t="s">
        <v>217</v>
      </c>
      <c r="H120" s="390">
        <v>2</v>
      </c>
      <c r="I120" s="391" t="s">
        <v>181</v>
      </c>
      <c r="J120" s="392" t="s">
        <v>185</v>
      </c>
      <c r="K120" s="367" t="s">
        <v>218</v>
      </c>
      <c r="L120" s="410"/>
      <c r="M120" s="411"/>
      <c r="N120" s="412"/>
      <c r="O120" s="413"/>
      <c r="P120" s="414"/>
      <c r="Q120" s="414"/>
      <c r="R120" s="415"/>
      <c r="S120" s="416"/>
      <c r="T120" s="417"/>
      <c r="U120" s="418"/>
      <c r="V120" s="419"/>
      <c r="W120" s="420"/>
      <c r="X120" s="421"/>
      <c r="Y120" s="422"/>
      <c r="Z120" s="417"/>
      <c r="AA120" s="423"/>
      <c r="AB120" s="419"/>
      <c r="AC120" s="424">
        <v>3.4000000000000002E-2</v>
      </c>
      <c r="AD120" s="425"/>
      <c r="AE120" s="426">
        <v>0.01</v>
      </c>
      <c r="AF120" s="105"/>
      <c r="AG120" s="61"/>
      <c r="AH120" s="106"/>
      <c r="AI120" s="106"/>
      <c r="AJ120" s="106"/>
      <c r="AK120" s="105"/>
      <c r="AL120" s="105"/>
    </row>
    <row r="121" spans="1:38" s="196" customFormat="1" ht="15" customHeight="1">
      <c r="A121" s="194"/>
      <c r="B121" s="199"/>
      <c r="C121" s="199"/>
      <c r="D121" s="173"/>
      <c r="E121" s="167"/>
      <c r="F121" s="167"/>
      <c r="G121" s="280" t="s">
        <v>217</v>
      </c>
      <c r="H121" s="281">
        <v>1</v>
      </c>
      <c r="I121" s="282" t="s">
        <v>181</v>
      </c>
      <c r="J121" s="283" t="s">
        <v>182</v>
      </c>
      <c r="K121" s="284" t="s">
        <v>219</v>
      </c>
      <c r="L121" s="285"/>
      <c r="M121" s="286"/>
      <c r="N121" s="287"/>
      <c r="O121" s="288"/>
      <c r="P121" s="289"/>
      <c r="Q121" s="289"/>
      <c r="R121" s="290"/>
      <c r="S121" s="291"/>
      <c r="T121" s="292"/>
      <c r="U121" s="293"/>
      <c r="V121" s="294"/>
      <c r="W121" s="295"/>
      <c r="X121" s="296"/>
      <c r="Y121" s="297"/>
      <c r="Z121" s="298"/>
      <c r="AA121" s="299"/>
      <c r="AB121" s="294"/>
      <c r="AC121" s="300">
        <v>3.4000000000000002E-2</v>
      </c>
      <c r="AD121" s="301"/>
      <c r="AE121" s="302">
        <v>0.01</v>
      </c>
      <c r="AF121" s="105"/>
      <c r="AG121" s="61"/>
      <c r="AH121" s="106"/>
      <c r="AI121" s="106"/>
      <c r="AJ121" s="106"/>
      <c r="AK121" s="105"/>
      <c r="AL121" s="105"/>
    </row>
    <row r="122" spans="1:38" s="196" customFormat="1" ht="15" customHeight="1">
      <c r="A122" s="194"/>
      <c r="B122" s="199"/>
      <c r="C122" s="199"/>
      <c r="D122" s="173"/>
      <c r="E122" s="167"/>
      <c r="F122" s="167"/>
      <c r="G122" s="280" t="s">
        <v>217</v>
      </c>
      <c r="H122" s="281">
        <v>2</v>
      </c>
      <c r="I122" s="282" t="s">
        <v>181</v>
      </c>
      <c r="J122" s="283" t="s">
        <v>185</v>
      </c>
      <c r="K122" s="284" t="s">
        <v>219</v>
      </c>
      <c r="L122" s="285"/>
      <c r="M122" s="286"/>
      <c r="N122" s="287"/>
      <c r="O122" s="288"/>
      <c r="P122" s="289"/>
      <c r="Q122" s="289"/>
      <c r="R122" s="290"/>
      <c r="S122" s="291"/>
      <c r="T122" s="292"/>
      <c r="U122" s="293"/>
      <c r="V122" s="294"/>
      <c r="W122" s="295"/>
      <c r="X122" s="296"/>
      <c r="Y122" s="297"/>
      <c r="Z122" s="298"/>
      <c r="AA122" s="299"/>
      <c r="AB122" s="294"/>
      <c r="AC122" s="300">
        <v>3.4000000000000002E-2</v>
      </c>
      <c r="AD122" s="301"/>
      <c r="AE122" s="302">
        <v>0.01</v>
      </c>
      <c r="AF122" s="105"/>
      <c r="AG122" s="61"/>
      <c r="AH122" s="106"/>
      <c r="AI122" s="106"/>
      <c r="AJ122" s="106"/>
      <c r="AK122" s="105"/>
      <c r="AL122" s="105"/>
    </row>
    <row r="123" spans="1:38" s="442" customFormat="1" ht="23.25" customHeight="1">
      <c r="A123" s="427" t="s">
        <v>235</v>
      </c>
      <c r="B123" s="428"/>
      <c r="C123" s="428"/>
      <c r="D123" s="429"/>
      <c r="E123" s="429"/>
      <c r="F123" s="429"/>
      <c r="G123" s="429"/>
      <c r="H123" s="429"/>
      <c r="I123" s="430"/>
      <c r="J123" s="431"/>
      <c r="K123" s="432"/>
      <c r="L123" s="433"/>
      <c r="M123" s="434"/>
      <c r="N123" s="435"/>
      <c r="O123" s="432"/>
      <c r="P123" s="181"/>
      <c r="Q123" s="181"/>
      <c r="R123" s="182"/>
      <c r="S123" s="436"/>
      <c r="T123" s="435"/>
      <c r="U123" s="437"/>
      <c r="V123" s="438"/>
      <c r="W123" s="439"/>
      <c r="X123" s="432"/>
      <c r="Y123" s="440"/>
      <c r="Z123" s="131"/>
      <c r="AA123" s="188"/>
      <c r="AB123" s="121"/>
      <c r="AC123" s="189"/>
      <c r="AD123" s="198"/>
      <c r="AE123" s="191"/>
      <c r="AF123" s="441"/>
    </row>
    <row r="124" spans="1:38" s="130" customFormat="1" ht="14.25" customHeight="1">
      <c r="A124" s="303" t="s">
        <v>117</v>
      </c>
      <c r="B124" s="143"/>
      <c r="C124" s="143"/>
      <c r="D124" s="144"/>
      <c r="E124" s="145"/>
      <c r="F124" s="146"/>
      <c r="G124" s="145"/>
      <c r="H124" s="146"/>
      <c r="I124" s="147"/>
      <c r="J124" s="148"/>
      <c r="K124" s="149"/>
      <c r="L124" s="150"/>
      <c r="M124" s="151"/>
      <c r="N124" s="152"/>
      <c r="O124" s="153"/>
      <c r="P124" s="154"/>
      <c r="Q124" s="154"/>
      <c r="R124" s="155"/>
      <c r="S124" s="156"/>
      <c r="T124" s="143"/>
      <c r="U124" s="158"/>
      <c r="V124" s="159"/>
      <c r="W124" s="160"/>
      <c r="X124" s="143"/>
      <c r="Y124" s="157"/>
      <c r="Z124" s="143"/>
      <c r="AA124" s="160"/>
      <c r="AB124" s="159"/>
      <c r="AC124" s="228"/>
      <c r="AD124" s="304"/>
      <c r="AE124" s="230"/>
      <c r="AF124" s="105"/>
      <c r="AG124" s="61"/>
      <c r="AH124" s="106"/>
      <c r="AI124" s="106"/>
      <c r="AJ124" s="106"/>
      <c r="AK124" s="105"/>
      <c r="AL124" s="105"/>
    </row>
    <row r="125" spans="1:38" s="196" customFormat="1" ht="15" customHeight="1">
      <c r="A125" s="443"/>
      <c r="B125" s="165">
        <v>200092189575</v>
      </c>
      <c r="C125" s="165">
        <v>10516527</v>
      </c>
      <c r="D125" s="256" t="s">
        <v>177</v>
      </c>
      <c r="E125" s="167"/>
      <c r="F125" s="167" t="s">
        <v>236</v>
      </c>
      <c r="G125" s="172" t="s">
        <v>179</v>
      </c>
      <c r="H125" s="173" t="s">
        <v>180</v>
      </c>
      <c r="I125" s="174" t="s">
        <v>181</v>
      </c>
      <c r="J125" s="175" t="s">
        <v>182</v>
      </c>
      <c r="K125" s="176" t="s">
        <v>183</v>
      </c>
      <c r="L125" s="177"/>
      <c r="M125" s="178"/>
      <c r="N125" s="179"/>
      <c r="O125" s="180"/>
      <c r="P125" s="181"/>
      <c r="Q125" s="181"/>
      <c r="R125" s="182"/>
      <c r="S125" s="120"/>
      <c r="T125" s="131"/>
      <c r="U125" s="184"/>
      <c r="V125" s="121"/>
      <c r="W125" s="185"/>
      <c r="X125" s="186"/>
      <c r="Y125" s="187"/>
      <c r="Z125" s="131"/>
      <c r="AA125" s="188"/>
      <c r="AB125" s="121"/>
      <c r="AC125" s="189"/>
      <c r="AD125" s="190"/>
      <c r="AE125" s="191"/>
      <c r="AF125" s="105"/>
      <c r="AG125" s="61"/>
      <c r="AH125" s="106"/>
      <c r="AI125" s="106"/>
      <c r="AJ125" s="106"/>
      <c r="AK125" s="105"/>
      <c r="AL125" s="105"/>
    </row>
    <row r="126" spans="1:38" s="196" customFormat="1" ht="15" customHeight="1">
      <c r="A126" s="194"/>
      <c r="B126" s="173"/>
      <c r="C126" s="173"/>
      <c r="D126" s="173"/>
      <c r="E126" s="167"/>
      <c r="F126" s="167"/>
      <c r="G126" s="172" t="s">
        <v>179</v>
      </c>
      <c r="H126" s="173">
        <v>2</v>
      </c>
      <c r="I126" s="192" t="s">
        <v>181</v>
      </c>
      <c r="J126" s="175" t="s">
        <v>185</v>
      </c>
      <c r="K126" s="176" t="s">
        <v>183</v>
      </c>
      <c r="L126" s="177"/>
      <c r="M126" s="193"/>
      <c r="N126" s="179"/>
      <c r="O126" s="180"/>
      <c r="P126" s="181"/>
      <c r="Q126" s="181"/>
      <c r="R126" s="182"/>
      <c r="S126" s="120"/>
      <c r="T126" s="131"/>
      <c r="U126" s="184"/>
      <c r="V126" s="121"/>
      <c r="W126" s="185"/>
      <c r="X126" s="186"/>
      <c r="Y126" s="187"/>
      <c r="Z126" s="131"/>
      <c r="AA126" s="188"/>
      <c r="AB126" s="121"/>
      <c r="AC126" s="189"/>
      <c r="AD126" s="190"/>
      <c r="AE126" s="191"/>
      <c r="AF126" s="105"/>
      <c r="AG126" s="61"/>
      <c r="AH126" s="106"/>
      <c r="AI126" s="106"/>
      <c r="AJ126" s="106"/>
      <c r="AK126" s="105"/>
      <c r="AL126" s="105"/>
    </row>
    <row r="127" spans="1:38" s="196" customFormat="1" ht="15" customHeight="1">
      <c r="A127" s="194"/>
      <c r="B127" s="173"/>
      <c r="C127" s="173"/>
      <c r="D127" s="173"/>
      <c r="E127" s="167"/>
      <c r="F127" s="167"/>
      <c r="G127" s="172" t="s">
        <v>179</v>
      </c>
      <c r="H127" s="173">
        <v>3</v>
      </c>
      <c r="I127" s="192" t="s">
        <v>186</v>
      </c>
      <c r="J127" s="175" t="s">
        <v>187</v>
      </c>
      <c r="K127" s="176" t="s">
        <v>183</v>
      </c>
      <c r="L127" s="177"/>
      <c r="M127" s="193"/>
      <c r="N127" s="179"/>
      <c r="O127" s="180"/>
      <c r="P127" s="181"/>
      <c r="Q127" s="181"/>
      <c r="R127" s="182"/>
      <c r="S127" s="120"/>
      <c r="T127" s="131"/>
      <c r="U127" s="184"/>
      <c r="V127" s="121"/>
      <c r="W127" s="185"/>
      <c r="X127" s="186"/>
      <c r="Y127" s="187"/>
      <c r="Z127" s="131"/>
      <c r="AA127" s="188"/>
      <c r="AB127" s="121"/>
      <c r="AC127" s="189"/>
      <c r="AD127" s="190"/>
      <c r="AE127" s="191"/>
      <c r="AF127" s="105"/>
      <c r="AG127" s="61"/>
      <c r="AH127" s="106"/>
      <c r="AI127" s="106"/>
      <c r="AJ127" s="106"/>
      <c r="AK127" s="105"/>
      <c r="AL127" s="105"/>
    </row>
    <row r="128" spans="1:38" s="196" customFormat="1" ht="15" customHeight="1">
      <c r="A128" s="194"/>
      <c r="B128" s="195"/>
      <c r="C128" s="195"/>
      <c r="D128" s="173"/>
      <c r="E128" s="167"/>
      <c r="F128" s="167"/>
      <c r="G128" s="172" t="s">
        <v>179</v>
      </c>
      <c r="H128" s="173">
        <v>4</v>
      </c>
      <c r="I128" s="192" t="s">
        <v>186</v>
      </c>
      <c r="J128" s="175" t="s">
        <v>188</v>
      </c>
      <c r="K128" s="176" t="s">
        <v>183</v>
      </c>
      <c r="L128" s="177"/>
      <c r="M128" s="193"/>
      <c r="N128" s="179"/>
      <c r="O128" s="180"/>
      <c r="P128" s="181"/>
      <c r="Q128" s="181"/>
      <c r="R128" s="182"/>
      <c r="S128" s="120"/>
      <c r="T128" s="131"/>
      <c r="U128" s="184"/>
      <c r="V128" s="121"/>
      <c r="W128" s="185"/>
      <c r="X128" s="186"/>
      <c r="Y128" s="187"/>
      <c r="Z128" s="131"/>
      <c r="AA128" s="188"/>
      <c r="AB128" s="121"/>
      <c r="AC128" s="189"/>
      <c r="AD128" s="190"/>
      <c r="AE128" s="191"/>
      <c r="AF128" s="105"/>
      <c r="AG128" s="61"/>
      <c r="AH128" s="106"/>
      <c r="AI128" s="106"/>
      <c r="AJ128" s="106"/>
      <c r="AK128" s="105"/>
      <c r="AL128" s="105"/>
    </row>
    <row r="129" spans="1:38" s="196" customFormat="1" ht="15" customHeight="1">
      <c r="A129" s="194"/>
      <c r="B129" s="195"/>
      <c r="C129" s="195"/>
      <c r="D129" s="173"/>
      <c r="E129" s="167"/>
      <c r="F129" s="167"/>
      <c r="G129" s="172"/>
      <c r="H129" s="173"/>
      <c r="I129" s="192"/>
      <c r="J129" s="175"/>
      <c r="K129" s="176"/>
      <c r="L129" s="177"/>
      <c r="M129" s="193"/>
      <c r="N129" s="179"/>
      <c r="O129" s="180"/>
      <c r="P129" s="181"/>
      <c r="Q129" s="181"/>
      <c r="R129" s="182"/>
      <c r="S129" s="120"/>
      <c r="T129" s="131"/>
      <c r="U129" s="184"/>
      <c r="V129" s="121"/>
      <c r="W129" s="185"/>
      <c r="X129" s="186"/>
      <c r="Y129" s="187"/>
      <c r="Z129" s="131"/>
      <c r="AA129" s="188"/>
      <c r="AB129" s="121"/>
      <c r="AC129" s="189"/>
      <c r="AD129" s="190"/>
      <c r="AE129" s="191"/>
      <c r="AF129" s="105"/>
      <c r="AG129" s="61"/>
      <c r="AH129" s="106"/>
      <c r="AI129" s="106"/>
      <c r="AJ129" s="106"/>
      <c r="AK129" s="105"/>
      <c r="AL129" s="105"/>
    </row>
    <row r="130" spans="1:38" s="196" customFormat="1" ht="15" customHeight="1">
      <c r="A130" s="194"/>
      <c r="B130" s="195"/>
      <c r="C130" s="195"/>
      <c r="D130" s="173"/>
      <c r="E130" s="167"/>
      <c r="F130" s="167"/>
      <c r="G130" s="172" t="s">
        <v>189</v>
      </c>
      <c r="H130" s="173" t="s">
        <v>180</v>
      </c>
      <c r="I130" s="174" t="s">
        <v>181</v>
      </c>
      <c r="J130" s="175" t="s">
        <v>182</v>
      </c>
      <c r="K130" s="176" t="s">
        <v>190</v>
      </c>
      <c r="L130" s="177"/>
      <c r="M130" s="193"/>
      <c r="N130" s="179"/>
      <c r="O130" s="180"/>
      <c r="P130" s="181"/>
      <c r="Q130" s="181"/>
      <c r="R130" s="182"/>
      <c r="S130" s="120"/>
      <c r="T130" s="131"/>
      <c r="U130" s="184"/>
      <c r="V130" s="121"/>
      <c r="W130" s="185"/>
      <c r="X130" s="186"/>
      <c r="Y130" s="187"/>
      <c r="Z130" s="131"/>
      <c r="AA130" s="188"/>
      <c r="AB130" s="121"/>
      <c r="AC130" s="189"/>
      <c r="AD130" s="190"/>
      <c r="AE130" s="191"/>
      <c r="AF130" s="105"/>
      <c r="AG130" s="61"/>
      <c r="AH130" s="106"/>
      <c r="AI130" s="106"/>
      <c r="AJ130" s="106"/>
      <c r="AK130" s="105"/>
      <c r="AL130" s="105"/>
    </row>
    <row r="131" spans="1:38" s="196" customFormat="1" ht="15" customHeight="1">
      <c r="A131" s="194"/>
      <c r="B131" s="195"/>
      <c r="C131" s="195"/>
      <c r="D131" s="173"/>
      <c r="E131" s="167"/>
      <c r="F131" s="167"/>
      <c r="G131" s="172" t="s">
        <v>189</v>
      </c>
      <c r="H131" s="173">
        <v>2</v>
      </c>
      <c r="I131" s="192" t="s">
        <v>181</v>
      </c>
      <c r="J131" s="175" t="s">
        <v>185</v>
      </c>
      <c r="K131" s="176" t="s">
        <v>190</v>
      </c>
      <c r="L131" s="177"/>
      <c r="M131" s="193"/>
      <c r="N131" s="179"/>
      <c r="O131" s="180"/>
      <c r="P131" s="181"/>
      <c r="Q131" s="181"/>
      <c r="R131" s="182"/>
      <c r="S131" s="120"/>
      <c r="T131" s="131"/>
      <c r="U131" s="184"/>
      <c r="V131" s="121"/>
      <c r="W131" s="185"/>
      <c r="X131" s="186"/>
      <c r="Y131" s="187"/>
      <c r="Z131" s="131"/>
      <c r="AA131" s="188"/>
      <c r="AB131" s="121"/>
      <c r="AC131" s="189"/>
      <c r="AD131" s="190"/>
      <c r="AE131" s="191"/>
      <c r="AF131" s="105"/>
      <c r="AG131" s="61"/>
      <c r="AH131" s="106"/>
      <c r="AI131" s="106"/>
      <c r="AJ131" s="106"/>
      <c r="AK131" s="105"/>
      <c r="AL131" s="105"/>
    </row>
    <row r="132" spans="1:38" s="196" customFormat="1" ht="15" customHeight="1">
      <c r="A132" s="194"/>
      <c r="B132" s="195"/>
      <c r="C132" s="195"/>
      <c r="D132" s="173"/>
      <c r="E132" s="167"/>
      <c r="F132" s="167"/>
      <c r="G132" s="172" t="s">
        <v>189</v>
      </c>
      <c r="H132" s="173">
        <v>3</v>
      </c>
      <c r="I132" s="192" t="s">
        <v>186</v>
      </c>
      <c r="J132" s="175" t="s">
        <v>187</v>
      </c>
      <c r="K132" s="176" t="s">
        <v>190</v>
      </c>
      <c r="L132" s="177"/>
      <c r="M132" s="193"/>
      <c r="N132" s="179"/>
      <c r="O132" s="180"/>
      <c r="P132" s="181"/>
      <c r="Q132" s="181"/>
      <c r="R132" s="182"/>
      <c r="S132" s="120"/>
      <c r="T132" s="131"/>
      <c r="U132" s="184"/>
      <c r="V132" s="121"/>
      <c r="W132" s="185"/>
      <c r="X132" s="186"/>
      <c r="Y132" s="187"/>
      <c r="Z132" s="131"/>
      <c r="AA132" s="188"/>
      <c r="AB132" s="121"/>
      <c r="AC132" s="189"/>
      <c r="AD132" s="190"/>
      <c r="AE132" s="191"/>
      <c r="AF132" s="105"/>
      <c r="AG132" s="61"/>
      <c r="AH132" s="106"/>
      <c r="AI132" s="106"/>
      <c r="AJ132" s="106"/>
      <c r="AK132" s="105"/>
      <c r="AL132" s="105"/>
    </row>
    <row r="133" spans="1:38" s="196" customFormat="1" ht="15" customHeight="1">
      <c r="A133" s="194"/>
      <c r="B133" s="195"/>
      <c r="C133" s="195"/>
      <c r="D133" s="173"/>
      <c r="E133" s="167"/>
      <c r="F133" s="167"/>
      <c r="G133" s="172" t="s">
        <v>189</v>
      </c>
      <c r="H133" s="173">
        <v>4</v>
      </c>
      <c r="I133" s="192" t="s">
        <v>186</v>
      </c>
      <c r="J133" s="175" t="s">
        <v>188</v>
      </c>
      <c r="K133" s="176" t="s">
        <v>190</v>
      </c>
      <c r="L133" s="177"/>
      <c r="M133" s="193"/>
      <c r="N133" s="179"/>
      <c r="O133" s="180"/>
      <c r="P133" s="181"/>
      <c r="Q133" s="181"/>
      <c r="R133" s="182"/>
      <c r="S133" s="120"/>
      <c r="T133" s="131"/>
      <c r="U133" s="184"/>
      <c r="V133" s="121"/>
      <c r="W133" s="185"/>
      <c r="X133" s="186"/>
      <c r="Y133" s="187"/>
      <c r="Z133" s="131"/>
      <c r="AA133" s="188"/>
      <c r="AB133" s="121"/>
      <c r="AC133" s="189"/>
      <c r="AD133" s="190"/>
      <c r="AE133" s="191"/>
      <c r="AF133" s="105"/>
      <c r="AG133" s="61"/>
      <c r="AH133" s="106"/>
      <c r="AI133" s="106"/>
      <c r="AJ133" s="106"/>
      <c r="AK133" s="105"/>
      <c r="AL133" s="105"/>
    </row>
    <row r="134" spans="1:38" s="196" customFormat="1" ht="15" customHeight="1">
      <c r="A134" s="194"/>
      <c r="B134" s="195"/>
      <c r="C134" s="195"/>
      <c r="D134" s="173"/>
      <c r="E134" s="167"/>
      <c r="F134" s="167"/>
      <c r="G134" s="172"/>
      <c r="H134" s="173"/>
      <c r="I134" s="192"/>
      <c r="J134" s="175"/>
      <c r="K134" s="176"/>
      <c r="L134" s="177"/>
      <c r="M134" s="193"/>
      <c r="N134" s="179"/>
      <c r="O134" s="180"/>
      <c r="P134" s="181"/>
      <c r="Q134" s="181"/>
      <c r="R134" s="182"/>
      <c r="S134" s="120"/>
      <c r="T134" s="131"/>
      <c r="U134" s="184"/>
      <c r="V134" s="121"/>
      <c r="W134" s="185"/>
      <c r="X134" s="186"/>
      <c r="Y134" s="187"/>
      <c r="Z134" s="131"/>
      <c r="AA134" s="188"/>
      <c r="AB134" s="121"/>
      <c r="AC134" s="189"/>
      <c r="AD134" s="198"/>
      <c r="AE134" s="191"/>
      <c r="AF134" s="105"/>
      <c r="AG134" s="61"/>
      <c r="AH134" s="106"/>
      <c r="AI134" s="106"/>
      <c r="AJ134" s="106"/>
      <c r="AK134" s="105"/>
      <c r="AL134" s="105"/>
    </row>
    <row r="135" spans="1:38" s="196" customFormat="1" ht="15" customHeight="1">
      <c r="A135" s="194"/>
      <c r="B135" s="195"/>
      <c r="C135" s="195"/>
      <c r="D135" s="173"/>
      <c r="E135" s="167"/>
      <c r="F135" s="167"/>
      <c r="G135" s="172" t="s">
        <v>191</v>
      </c>
      <c r="H135" s="173">
        <v>1</v>
      </c>
      <c r="I135" s="192" t="s">
        <v>186</v>
      </c>
      <c r="J135" s="175" t="s">
        <v>182</v>
      </c>
      <c r="K135" s="176" t="s">
        <v>192</v>
      </c>
      <c r="L135" s="177"/>
      <c r="M135" s="193"/>
      <c r="N135" s="179"/>
      <c r="O135" s="180"/>
      <c r="P135" s="181"/>
      <c r="Q135" s="181"/>
      <c r="R135" s="182"/>
      <c r="S135" s="120"/>
      <c r="T135" s="131"/>
      <c r="U135" s="184"/>
      <c r="V135" s="121"/>
      <c r="W135" s="185"/>
      <c r="X135" s="186"/>
      <c r="Y135" s="187"/>
      <c r="Z135" s="131"/>
      <c r="AA135" s="188"/>
      <c r="AB135" s="121"/>
      <c r="AC135" s="197"/>
      <c r="AD135" s="198"/>
      <c r="AE135" s="191">
        <v>0.01</v>
      </c>
      <c r="AF135" s="105"/>
      <c r="AG135" s="61"/>
      <c r="AH135" s="106"/>
      <c r="AI135" s="106"/>
      <c r="AJ135" s="106"/>
      <c r="AK135" s="105"/>
      <c r="AL135" s="105"/>
    </row>
    <row r="136" spans="1:38" s="196" customFormat="1" ht="15" customHeight="1">
      <c r="A136" s="194"/>
      <c r="B136" s="195"/>
      <c r="C136" s="195"/>
      <c r="D136" s="173"/>
      <c r="E136" s="167"/>
      <c r="F136" s="167"/>
      <c r="G136" s="172" t="s">
        <v>191</v>
      </c>
      <c r="H136" s="173">
        <v>2</v>
      </c>
      <c r="I136" s="192" t="s">
        <v>186</v>
      </c>
      <c r="J136" s="175" t="s">
        <v>185</v>
      </c>
      <c r="K136" s="176" t="s">
        <v>192</v>
      </c>
      <c r="L136" s="177"/>
      <c r="M136" s="193"/>
      <c r="N136" s="179"/>
      <c r="O136" s="180"/>
      <c r="P136" s="181"/>
      <c r="Q136" s="181"/>
      <c r="R136" s="182"/>
      <c r="S136" s="120"/>
      <c r="T136" s="131"/>
      <c r="U136" s="184"/>
      <c r="V136" s="121"/>
      <c r="W136" s="185"/>
      <c r="X136" s="186"/>
      <c r="Y136" s="187"/>
      <c r="Z136" s="131"/>
      <c r="AA136" s="188"/>
      <c r="AB136" s="121"/>
      <c r="AC136" s="197"/>
      <c r="AD136" s="198"/>
      <c r="AE136" s="191">
        <v>0.01</v>
      </c>
      <c r="AF136" s="105"/>
      <c r="AG136" s="61"/>
      <c r="AH136" s="106"/>
      <c r="AI136" s="106"/>
      <c r="AJ136" s="106"/>
      <c r="AK136" s="105"/>
      <c r="AL136" s="105"/>
    </row>
    <row r="137" spans="1:38" s="196" customFormat="1" ht="15" customHeight="1">
      <c r="A137" s="194"/>
      <c r="B137" s="195"/>
      <c r="C137" s="195"/>
      <c r="D137" s="173"/>
      <c r="E137" s="167"/>
      <c r="F137" s="167"/>
      <c r="G137" s="172"/>
      <c r="H137" s="173"/>
      <c r="I137" s="192"/>
      <c r="J137" s="175"/>
      <c r="K137" s="176"/>
      <c r="L137" s="177"/>
      <c r="M137" s="193"/>
      <c r="N137" s="179"/>
      <c r="O137" s="180"/>
      <c r="P137" s="181"/>
      <c r="Q137" s="181"/>
      <c r="R137" s="182"/>
      <c r="S137" s="120"/>
      <c r="T137" s="131"/>
      <c r="U137" s="184"/>
      <c r="V137" s="121"/>
      <c r="W137" s="185"/>
      <c r="X137" s="186"/>
      <c r="Y137" s="187"/>
      <c r="Z137" s="131"/>
      <c r="AA137" s="188"/>
      <c r="AB137" s="121"/>
      <c r="AC137" s="189"/>
      <c r="AD137" s="198"/>
      <c r="AE137" s="191"/>
      <c r="AF137" s="105"/>
      <c r="AG137" s="61"/>
      <c r="AH137" s="106"/>
      <c r="AI137" s="106"/>
      <c r="AJ137" s="106"/>
      <c r="AK137" s="105"/>
      <c r="AL137" s="105"/>
    </row>
    <row r="138" spans="1:38" s="196" customFormat="1" ht="15" customHeight="1">
      <c r="A138" s="194"/>
      <c r="B138" s="199"/>
      <c r="C138" s="199"/>
      <c r="D138" s="173"/>
      <c r="E138" s="167"/>
      <c r="F138" s="167"/>
      <c r="G138" s="172" t="s">
        <v>193</v>
      </c>
      <c r="H138" s="173">
        <v>1</v>
      </c>
      <c r="I138" s="174" t="s">
        <v>186</v>
      </c>
      <c r="J138" s="175" t="s">
        <v>182</v>
      </c>
      <c r="K138" s="176" t="s">
        <v>194</v>
      </c>
      <c r="L138" s="177"/>
      <c r="M138" s="193"/>
      <c r="N138" s="179"/>
      <c r="O138" s="180"/>
      <c r="P138" s="181"/>
      <c r="Q138" s="181"/>
      <c r="R138" s="182"/>
      <c r="S138" s="120"/>
      <c r="T138" s="183"/>
      <c r="U138" s="184"/>
      <c r="V138" s="121"/>
      <c r="W138" s="185"/>
      <c r="X138" s="186"/>
      <c r="Y138" s="187"/>
      <c r="Z138" s="131"/>
      <c r="AA138" s="188"/>
      <c r="AB138" s="121"/>
      <c r="AC138" s="197"/>
      <c r="AD138" s="198"/>
      <c r="AE138" s="191">
        <v>0.01</v>
      </c>
      <c r="AF138" s="105"/>
      <c r="AG138" s="61"/>
      <c r="AH138" s="106"/>
      <c r="AI138" s="106"/>
      <c r="AJ138" s="106"/>
      <c r="AK138" s="105"/>
      <c r="AL138" s="105"/>
    </row>
    <row r="139" spans="1:38" s="196" customFormat="1" ht="15" customHeight="1">
      <c r="A139" s="194"/>
      <c r="B139" s="199"/>
      <c r="C139" s="199"/>
      <c r="D139" s="173"/>
      <c r="E139" s="167"/>
      <c r="F139" s="167"/>
      <c r="G139" s="172" t="s">
        <v>193</v>
      </c>
      <c r="H139" s="173">
        <v>2</v>
      </c>
      <c r="I139" s="192" t="s">
        <v>186</v>
      </c>
      <c r="J139" s="175" t="s">
        <v>185</v>
      </c>
      <c r="K139" s="176" t="s">
        <v>194</v>
      </c>
      <c r="L139" s="177"/>
      <c r="M139" s="193"/>
      <c r="N139" s="179"/>
      <c r="O139" s="180"/>
      <c r="P139" s="181"/>
      <c r="Q139" s="181"/>
      <c r="R139" s="182"/>
      <c r="S139" s="120"/>
      <c r="T139" s="183"/>
      <c r="U139" s="184"/>
      <c r="V139" s="121"/>
      <c r="W139" s="185"/>
      <c r="X139" s="186"/>
      <c r="Y139" s="187"/>
      <c r="Z139" s="131"/>
      <c r="AA139" s="188"/>
      <c r="AB139" s="121"/>
      <c r="AC139" s="197"/>
      <c r="AD139" s="198"/>
      <c r="AE139" s="191">
        <v>0.01</v>
      </c>
      <c r="AF139" s="105"/>
      <c r="AG139" s="61"/>
      <c r="AH139" s="106"/>
      <c r="AI139" s="106"/>
      <c r="AJ139" s="106"/>
      <c r="AK139" s="105"/>
      <c r="AL139" s="105"/>
    </row>
    <row r="140" spans="1:38" s="196" customFormat="1" ht="15" customHeight="1">
      <c r="A140" s="194"/>
      <c r="B140" s="199"/>
      <c r="C140" s="199"/>
      <c r="D140" s="173"/>
      <c r="E140" s="167"/>
      <c r="F140" s="167"/>
      <c r="G140" s="172"/>
      <c r="H140" s="173"/>
      <c r="I140" s="174"/>
      <c r="J140" s="175"/>
      <c r="K140" s="176"/>
      <c r="L140" s="177"/>
      <c r="M140" s="193"/>
      <c r="N140" s="179"/>
      <c r="O140" s="180"/>
      <c r="P140" s="181"/>
      <c r="Q140" s="181"/>
      <c r="R140" s="182"/>
      <c r="S140" s="120"/>
      <c r="T140" s="131"/>
      <c r="U140" s="184"/>
      <c r="V140" s="121"/>
      <c r="W140" s="185"/>
      <c r="X140" s="186"/>
      <c r="Y140" s="187"/>
      <c r="Z140" s="131"/>
      <c r="AA140" s="188"/>
      <c r="AB140" s="121"/>
      <c r="AC140" s="197"/>
      <c r="AD140" s="198"/>
      <c r="AE140" s="191"/>
      <c r="AF140" s="105"/>
      <c r="AG140" s="61"/>
      <c r="AH140" s="106"/>
      <c r="AI140" s="106"/>
      <c r="AJ140" s="106"/>
      <c r="AK140" s="105"/>
      <c r="AL140" s="105"/>
    </row>
    <row r="141" spans="1:38" s="196" customFormat="1" ht="15" customHeight="1">
      <c r="A141" s="194"/>
      <c r="B141" s="199"/>
      <c r="C141" s="199"/>
      <c r="D141" s="173"/>
      <c r="E141" s="167"/>
      <c r="F141" s="167"/>
      <c r="G141" s="172" t="s">
        <v>195</v>
      </c>
      <c r="H141" s="173">
        <v>1</v>
      </c>
      <c r="I141" s="174" t="s">
        <v>186</v>
      </c>
      <c r="J141" s="175" t="s">
        <v>182</v>
      </c>
      <c r="K141" s="176" t="s">
        <v>196</v>
      </c>
      <c r="L141" s="177"/>
      <c r="M141" s="193"/>
      <c r="N141" s="179"/>
      <c r="O141" s="180"/>
      <c r="P141" s="181"/>
      <c r="Q141" s="181"/>
      <c r="R141" s="182"/>
      <c r="S141" s="120"/>
      <c r="T141" s="183"/>
      <c r="U141" s="184"/>
      <c r="V141" s="121"/>
      <c r="W141" s="185"/>
      <c r="X141" s="186" t="s">
        <v>0</v>
      </c>
      <c r="Y141" s="187"/>
      <c r="Z141" s="131"/>
      <c r="AA141" s="188"/>
      <c r="AB141" s="121"/>
      <c r="AC141" s="197"/>
      <c r="AD141" s="198"/>
      <c r="AE141" s="191">
        <v>0.01</v>
      </c>
      <c r="AF141" s="105"/>
      <c r="AG141" s="61"/>
      <c r="AH141" s="106"/>
      <c r="AI141" s="106"/>
      <c r="AJ141" s="106"/>
      <c r="AK141" s="105"/>
      <c r="AL141" s="105"/>
    </row>
    <row r="142" spans="1:38" s="196" customFormat="1" ht="15" customHeight="1">
      <c r="A142" s="194"/>
      <c r="B142" s="199"/>
      <c r="C142" s="199"/>
      <c r="D142" s="173"/>
      <c r="E142" s="167"/>
      <c r="F142" s="167"/>
      <c r="G142" s="172" t="s">
        <v>195</v>
      </c>
      <c r="H142" s="173">
        <v>2</v>
      </c>
      <c r="I142" s="174" t="s">
        <v>186</v>
      </c>
      <c r="J142" s="175" t="s">
        <v>185</v>
      </c>
      <c r="K142" s="176" t="s">
        <v>196</v>
      </c>
      <c r="L142" s="177"/>
      <c r="M142" s="193"/>
      <c r="N142" s="179"/>
      <c r="O142" s="180"/>
      <c r="P142" s="181"/>
      <c r="Q142" s="181"/>
      <c r="R142" s="182"/>
      <c r="S142" s="120"/>
      <c r="T142" s="183"/>
      <c r="U142" s="184"/>
      <c r="V142" s="121"/>
      <c r="W142" s="185"/>
      <c r="X142" s="186" t="s">
        <v>0</v>
      </c>
      <c r="Y142" s="187"/>
      <c r="Z142" s="131"/>
      <c r="AA142" s="188"/>
      <c r="AB142" s="121"/>
      <c r="AC142" s="197"/>
      <c r="AD142" s="198"/>
      <c r="AE142" s="191">
        <v>0.01</v>
      </c>
      <c r="AF142" s="105"/>
      <c r="AG142" s="61"/>
      <c r="AH142" s="106"/>
      <c r="AI142" s="106"/>
      <c r="AJ142" s="106"/>
      <c r="AK142" s="105"/>
      <c r="AL142" s="105"/>
    </row>
    <row r="143" spans="1:38" s="196" customFormat="1" ht="15" customHeight="1">
      <c r="A143" s="194"/>
      <c r="B143" s="199"/>
      <c r="C143" s="199"/>
      <c r="D143" s="173"/>
      <c r="E143" s="167"/>
      <c r="F143" s="167"/>
      <c r="G143" s="172"/>
      <c r="H143" s="173"/>
      <c r="I143" s="174"/>
      <c r="J143" s="175"/>
      <c r="K143" s="176"/>
      <c r="L143" s="177"/>
      <c r="M143" s="193"/>
      <c r="N143" s="179"/>
      <c r="O143" s="180"/>
      <c r="P143" s="181"/>
      <c r="Q143" s="181"/>
      <c r="R143" s="182"/>
      <c r="S143" s="120"/>
      <c r="T143" s="131"/>
      <c r="U143" s="184"/>
      <c r="V143" s="121"/>
      <c r="W143" s="185"/>
      <c r="X143" s="186"/>
      <c r="Y143" s="187"/>
      <c r="Z143" s="131"/>
      <c r="AA143" s="188"/>
      <c r="AB143" s="121"/>
      <c r="AC143" s="197"/>
      <c r="AD143" s="198"/>
      <c r="AE143" s="191"/>
      <c r="AF143" s="105"/>
      <c r="AG143" s="61"/>
      <c r="AH143" s="106"/>
      <c r="AI143" s="106"/>
      <c r="AJ143" s="106"/>
      <c r="AK143" s="105"/>
      <c r="AL143" s="105"/>
    </row>
    <row r="144" spans="1:38" s="196" customFormat="1" ht="15" customHeight="1">
      <c r="A144" s="194"/>
      <c r="B144" s="195"/>
      <c r="C144" s="195"/>
      <c r="D144" s="173"/>
      <c r="E144" s="167"/>
      <c r="F144" s="167"/>
      <c r="G144" s="172" t="s">
        <v>197</v>
      </c>
      <c r="H144" s="173">
        <v>1</v>
      </c>
      <c r="I144" s="192" t="s">
        <v>186</v>
      </c>
      <c r="J144" s="175" t="s">
        <v>182</v>
      </c>
      <c r="K144" s="176" t="s">
        <v>198</v>
      </c>
      <c r="L144" s="177"/>
      <c r="M144" s="193"/>
      <c r="N144" s="179"/>
      <c r="O144" s="201"/>
      <c r="P144" s="202"/>
      <c r="Q144" s="202"/>
      <c r="R144" s="182"/>
      <c r="S144" s="120"/>
      <c r="T144" s="131"/>
      <c r="U144" s="184"/>
      <c r="V144" s="121"/>
      <c r="W144" s="131"/>
      <c r="X144" s="188"/>
      <c r="Y144" s="183"/>
      <c r="Z144" s="131"/>
      <c r="AA144" s="188"/>
      <c r="AB144" s="121"/>
      <c r="AC144" s="189"/>
      <c r="AD144" s="198"/>
      <c r="AE144" s="191">
        <v>0.01</v>
      </c>
      <c r="AF144" s="105"/>
      <c r="AG144" s="61"/>
      <c r="AH144" s="106"/>
      <c r="AI144" s="106"/>
      <c r="AJ144" s="106"/>
      <c r="AK144" s="105"/>
      <c r="AL144" s="105"/>
    </row>
    <row r="145" spans="1:42" s="196" customFormat="1" ht="15" customHeight="1">
      <c r="A145" s="194"/>
      <c r="B145" s="195"/>
      <c r="C145" s="195"/>
      <c r="D145" s="173"/>
      <c r="E145" s="167"/>
      <c r="F145" s="167"/>
      <c r="G145" s="172" t="s">
        <v>197</v>
      </c>
      <c r="H145" s="173">
        <v>2</v>
      </c>
      <c r="I145" s="192" t="s">
        <v>186</v>
      </c>
      <c r="J145" s="175" t="s">
        <v>185</v>
      </c>
      <c r="K145" s="176" t="s">
        <v>198</v>
      </c>
      <c r="L145" s="177"/>
      <c r="M145" s="193"/>
      <c r="N145" s="179"/>
      <c r="O145" s="201"/>
      <c r="P145" s="202"/>
      <c r="Q145" s="202"/>
      <c r="R145" s="182"/>
      <c r="S145" s="120"/>
      <c r="T145" s="131"/>
      <c r="U145" s="184"/>
      <c r="V145" s="121"/>
      <c r="W145" s="131"/>
      <c r="X145" s="188"/>
      <c r="Y145" s="183"/>
      <c r="Z145" s="131"/>
      <c r="AA145" s="188"/>
      <c r="AB145" s="121"/>
      <c r="AC145" s="189"/>
      <c r="AD145" s="198"/>
      <c r="AE145" s="191">
        <v>0.01</v>
      </c>
      <c r="AF145" s="105"/>
      <c r="AG145" s="61"/>
      <c r="AH145" s="106"/>
      <c r="AI145" s="106"/>
      <c r="AJ145" s="106"/>
      <c r="AK145" s="105"/>
      <c r="AL145" s="105"/>
    </row>
    <row r="146" spans="1:42" s="196" customFormat="1" ht="15" customHeight="1">
      <c r="A146" s="194"/>
      <c r="B146" s="195"/>
      <c r="C146" s="195"/>
      <c r="D146" s="173"/>
      <c r="E146" s="167"/>
      <c r="F146" s="167"/>
      <c r="G146" s="172"/>
      <c r="H146" s="173"/>
      <c r="I146" s="192"/>
      <c r="J146" s="175"/>
      <c r="L146" s="177"/>
      <c r="M146" s="193"/>
      <c r="N146" s="179"/>
      <c r="O146" s="201"/>
      <c r="P146" s="202"/>
      <c r="Q146" s="202"/>
      <c r="R146" s="182"/>
      <c r="S146" s="120"/>
      <c r="T146" s="131"/>
      <c r="U146" s="184"/>
      <c r="V146" s="121"/>
      <c r="W146" s="131"/>
      <c r="X146" s="188"/>
      <c r="Y146" s="183"/>
      <c r="Z146" s="131"/>
      <c r="AA146" s="188"/>
      <c r="AB146" s="121"/>
      <c r="AC146" s="189"/>
      <c r="AD146" s="198"/>
      <c r="AE146" s="191"/>
      <c r="AF146" s="105"/>
      <c r="AG146" s="61"/>
      <c r="AH146" s="106"/>
      <c r="AI146" s="106"/>
      <c r="AJ146" s="106"/>
      <c r="AK146" s="105"/>
      <c r="AL146" s="105"/>
    </row>
    <row r="147" spans="1:42" s="196" customFormat="1" ht="15" customHeight="1">
      <c r="A147" s="194"/>
      <c r="B147" s="199"/>
      <c r="C147" s="199"/>
      <c r="D147" s="173"/>
      <c r="E147" s="167"/>
      <c r="F147" s="167"/>
      <c r="G147" s="172" t="s">
        <v>199</v>
      </c>
      <c r="H147" s="173">
        <v>1</v>
      </c>
      <c r="I147" s="192" t="s">
        <v>186</v>
      </c>
      <c r="J147" s="175" t="s">
        <v>182</v>
      </c>
      <c r="K147" s="176" t="s">
        <v>200</v>
      </c>
      <c r="L147" s="177"/>
      <c r="M147" s="193"/>
      <c r="N147" s="179"/>
      <c r="O147" s="180"/>
      <c r="P147" s="181"/>
      <c r="Q147" s="181"/>
      <c r="R147" s="182"/>
      <c r="S147" s="120"/>
      <c r="T147" s="131"/>
      <c r="U147" s="184"/>
      <c r="V147" s="121"/>
      <c r="W147" s="185"/>
      <c r="X147" s="186"/>
      <c r="Y147" s="187"/>
      <c r="Z147" s="131"/>
      <c r="AA147" s="188"/>
      <c r="AB147" s="121"/>
      <c r="AC147" s="197"/>
      <c r="AD147" s="198"/>
      <c r="AE147" s="191"/>
      <c r="AF147" s="105"/>
      <c r="AG147" s="61"/>
      <c r="AH147" s="106"/>
      <c r="AI147" s="106"/>
      <c r="AJ147" s="106"/>
      <c r="AK147" s="105"/>
      <c r="AL147" s="105"/>
    </row>
    <row r="148" spans="1:42" s="196" customFormat="1" ht="15" customHeight="1">
      <c r="A148" s="194"/>
      <c r="B148" s="199"/>
      <c r="C148" s="199"/>
      <c r="D148" s="173"/>
      <c r="E148" s="167"/>
      <c r="F148" s="167"/>
      <c r="G148" s="172" t="s">
        <v>199</v>
      </c>
      <c r="H148" s="173">
        <v>2</v>
      </c>
      <c r="I148" s="192" t="s">
        <v>186</v>
      </c>
      <c r="J148" s="175" t="s">
        <v>185</v>
      </c>
      <c r="K148" s="176" t="s">
        <v>200</v>
      </c>
      <c r="L148" s="177"/>
      <c r="M148" s="193"/>
      <c r="N148" s="179"/>
      <c r="O148" s="180"/>
      <c r="P148" s="181"/>
      <c r="Q148" s="181"/>
      <c r="R148" s="182"/>
      <c r="S148" s="120"/>
      <c r="T148" s="131"/>
      <c r="U148" s="184"/>
      <c r="V148" s="121"/>
      <c r="W148" s="185"/>
      <c r="X148" s="186"/>
      <c r="Y148" s="187"/>
      <c r="Z148" s="131"/>
      <c r="AA148" s="188"/>
      <c r="AB148" s="121"/>
      <c r="AC148" s="197"/>
      <c r="AD148" s="198"/>
      <c r="AE148" s="191"/>
      <c r="AF148" s="105"/>
      <c r="AG148" s="61"/>
      <c r="AH148" s="106"/>
      <c r="AI148" s="106"/>
      <c r="AJ148" s="106"/>
      <c r="AK148" s="105"/>
      <c r="AL148" s="105"/>
    </row>
    <row r="149" spans="1:42" s="196" customFormat="1" ht="15" customHeight="1">
      <c r="A149" s="194"/>
      <c r="B149" s="131"/>
      <c r="C149" s="131"/>
      <c r="D149" s="203"/>
      <c r="E149" s="167"/>
      <c r="F149" s="167"/>
      <c r="G149" s="204"/>
      <c r="H149" s="203"/>
      <c r="I149" s="111"/>
      <c r="J149" s="205"/>
      <c r="K149" s="206"/>
      <c r="L149" s="177"/>
      <c r="M149" s="193"/>
      <c r="N149" s="179"/>
      <c r="O149" s="180"/>
      <c r="P149" s="181"/>
      <c r="Q149" s="181"/>
      <c r="R149" s="182"/>
      <c r="S149" s="120"/>
      <c r="T149" s="131"/>
      <c r="U149" s="184"/>
      <c r="V149" s="121"/>
      <c r="W149" s="185"/>
      <c r="X149" s="186"/>
      <c r="Y149" s="187"/>
      <c r="Z149" s="131"/>
      <c r="AA149" s="188"/>
      <c r="AB149" s="121"/>
      <c r="AC149" s="189"/>
      <c r="AD149" s="198"/>
      <c r="AE149" s="191"/>
      <c r="AF149" s="105"/>
      <c r="AG149" s="61"/>
      <c r="AH149" s="106"/>
      <c r="AI149" s="106"/>
      <c r="AJ149" s="106"/>
      <c r="AK149" s="105"/>
      <c r="AL149" s="105"/>
    </row>
    <row r="150" spans="1:42" s="130" customFormat="1" ht="21" customHeight="1">
      <c r="A150" s="207" t="s">
        <v>114</v>
      </c>
      <c r="B150" s="208"/>
      <c r="C150" s="208"/>
      <c r="D150" s="209"/>
      <c r="E150" s="209"/>
      <c r="F150" s="209"/>
      <c r="G150" s="210"/>
      <c r="H150" s="209"/>
      <c r="I150" s="147"/>
      <c r="J150" s="211"/>
      <c r="K150" s="212"/>
      <c r="L150" s="213"/>
      <c r="M150" s="214"/>
      <c r="N150" s="215"/>
      <c r="O150" s="216"/>
      <c r="P150" s="217"/>
      <c r="Q150" s="217"/>
      <c r="R150" s="218"/>
      <c r="S150" s="219"/>
      <c r="T150" s="226"/>
      <c r="U150" s="221"/>
      <c r="V150" s="222"/>
      <c r="W150" s="223"/>
      <c r="X150" s="224"/>
      <c r="Y150" s="225"/>
      <c r="Z150" s="226"/>
      <c r="AA150" s="227"/>
      <c r="AB150" s="222"/>
      <c r="AC150" s="228"/>
      <c r="AD150" s="229"/>
      <c r="AE150" s="230"/>
      <c r="AF150" s="105"/>
      <c r="AG150" s="61"/>
      <c r="AH150" s="106"/>
      <c r="AI150" s="106"/>
      <c r="AJ150" s="106"/>
      <c r="AK150" s="105"/>
      <c r="AL150" s="105"/>
    </row>
    <row r="151" spans="1:42" s="196" customFormat="1" ht="15" customHeight="1">
      <c r="A151" s="166"/>
      <c r="B151" s="165">
        <v>200092189575</v>
      </c>
      <c r="C151" s="165">
        <v>10777291</v>
      </c>
      <c r="D151" s="166" t="s">
        <v>201</v>
      </c>
      <c r="E151" s="167"/>
      <c r="F151" s="167" t="s">
        <v>237</v>
      </c>
      <c r="G151" s="173"/>
      <c r="H151" s="231"/>
      <c r="I151" s="174"/>
      <c r="J151" s="232"/>
      <c r="K151" s="233"/>
      <c r="L151" s="177"/>
      <c r="M151" s="193"/>
      <c r="N151" s="179"/>
      <c r="O151" s="180"/>
      <c r="P151" s="181"/>
      <c r="Q151" s="181"/>
      <c r="R151" s="182"/>
      <c r="S151" s="120"/>
      <c r="T151" s="131"/>
      <c r="U151" s="184"/>
      <c r="V151" s="121"/>
      <c r="W151" s="185"/>
      <c r="X151" s="186"/>
      <c r="Y151" s="187"/>
      <c r="Z151" s="131"/>
      <c r="AA151" s="188"/>
      <c r="AB151" s="121"/>
      <c r="AC151" s="189"/>
      <c r="AD151" s="198"/>
      <c r="AE151" s="191"/>
      <c r="AF151" s="105"/>
      <c r="AG151" s="61"/>
      <c r="AH151" s="106"/>
      <c r="AI151" s="106"/>
      <c r="AJ151" s="106"/>
      <c r="AK151" s="105"/>
      <c r="AL151" s="105"/>
      <c r="AO151" s="105"/>
      <c r="AP151" s="61"/>
    </row>
    <row r="152" spans="1:42" s="196" customFormat="1" ht="15" customHeight="1">
      <c r="A152" s="194"/>
      <c r="B152" s="234"/>
      <c r="C152" s="234"/>
      <c r="D152" s="166"/>
      <c r="E152" s="167" t="s">
        <v>203</v>
      </c>
      <c r="F152" s="167"/>
      <c r="G152" s="173" t="s">
        <v>204</v>
      </c>
      <c r="H152" s="173" t="s">
        <v>180</v>
      </c>
      <c r="I152" s="174" t="s">
        <v>181</v>
      </c>
      <c r="J152" s="175" t="s">
        <v>182</v>
      </c>
      <c r="K152" s="233" t="s">
        <v>205</v>
      </c>
      <c r="L152" s="177"/>
      <c r="M152" s="193"/>
      <c r="N152" s="179"/>
      <c r="O152" s="180"/>
      <c r="P152" s="181"/>
      <c r="Q152" s="181"/>
      <c r="R152" s="182"/>
      <c r="S152" s="120"/>
      <c r="T152" s="183"/>
      <c r="U152" s="184"/>
      <c r="V152" s="121"/>
      <c r="W152" s="185"/>
      <c r="X152" s="186"/>
      <c r="Y152" s="187"/>
      <c r="Z152" s="131"/>
      <c r="AA152" s="188"/>
      <c r="AB152" s="121"/>
      <c r="AC152" s="189"/>
      <c r="AD152" s="198"/>
      <c r="AE152" s="191">
        <v>0.01</v>
      </c>
      <c r="AF152" s="105"/>
      <c r="AG152" s="61"/>
      <c r="AH152" s="106"/>
      <c r="AI152" s="106"/>
      <c r="AJ152" s="105"/>
      <c r="AK152" s="105"/>
      <c r="AL152" s="61"/>
    </row>
    <row r="153" spans="1:42" s="196" customFormat="1" ht="15" customHeight="1">
      <c r="A153" s="194"/>
      <c r="B153" s="234"/>
      <c r="C153" s="234"/>
      <c r="D153" s="166"/>
      <c r="E153" s="167"/>
      <c r="F153" s="167"/>
      <c r="G153" s="173" t="s">
        <v>204</v>
      </c>
      <c r="H153" s="173">
        <v>2</v>
      </c>
      <c r="I153" s="192" t="s">
        <v>181</v>
      </c>
      <c r="J153" s="175" t="s">
        <v>185</v>
      </c>
      <c r="K153" s="233" t="s">
        <v>205</v>
      </c>
      <c r="L153" s="177"/>
      <c r="M153" s="193"/>
      <c r="N153" s="179"/>
      <c r="O153" s="180"/>
      <c r="P153" s="181"/>
      <c r="Q153" s="181"/>
      <c r="R153" s="182"/>
      <c r="S153" s="120"/>
      <c r="T153" s="183"/>
      <c r="U153" s="184"/>
      <c r="V153" s="121"/>
      <c r="W153" s="185"/>
      <c r="X153" s="186"/>
      <c r="Y153" s="187"/>
      <c r="Z153" s="131"/>
      <c r="AA153" s="188"/>
      <c r="AB153" s="121"/>
      <c r="AC153" s="189"/>
      <c r="AD153" s="198"/>
      <c r="AE153" s="191">
        <v>0.01</v>
      </c>
      <c r="AF153" s="105"/>
      <c r="AG153" s="61"/>
      <c r="AH153" s="106"/>
      <c r="AI153" s="106"/>
      <c r="AJ153" s="105"/>
      <c r="AK153" s="105"/>
      <c r="AL153" s="61"/>
    </row>
    <row r="154" spans="1:42" s="196" customFormat="1" ht="15" customHeight="1">
      <c r="A154" s="194"/>
      <c r="B154" s="234"/>
      <c r="C154" s="234"/>
      <c r="D154" s="166"/>
      <c r="E154" s="167"/>
      <c r="F154" s="167"/>
      <c r="G154" s="173"/>
      <c r="H154" s="231"/>
      <c r="I154" s="174"/>
      <c r="J154" s="232"/>
      <c r="K154" s="233"/>
      <c r="L154" s="177"/>
      <c r="M154" s="193"/>
      <c r="N154" s="179"/>
      <c r="O154" s="180"/>
      <c r="P154" s="181"/>
      <c r="Q154" s="181"/>
      <c r="R154" s="182"/>
      <c r="S154" s="120"/>
      <c r="T154" s="131"/>
      <c r="U154" s="184"/>
      <c r="V154" s="121"/>
      <c r="W154" s="185"/>
      <c r="X154" s="186"/>
      <c r="Y154" s="187"/>
      <c r="Z154" s="131"/>
      <c r="AA154" s="188"/>
      <c r="AB154" s="121"/>
      <c r="AC154" s="189"/>
      <c r="AD154" s="198"/>
      <c r="AE154" s="191"/>
      <c r="AF154" s="105"/>
      <c r="AG154" s="61"/>
      <c r="AH154" s="106"/>
      <c r="AI154" s="106"/>
      <c r="AJ154" s="105"/>
      <c r="AK154" s="105"/>
      <c r="AL154" s="61"/>
    </row>
    <row r="155" spans="1:42" s="196" customFormat="1" ht="15" customHeight="1">
      <c r="A155" s="194"/>
      <c r="B155" s="234"/>
      <c r="C155" s="234"/>
      <c r="D155" s="166"/>
      <c r="E155" s="167" t="s">
        <v>206</v>
      </c>
      <c r="F155" s="167"/>
      <c r="G155" s="172" t="s">
        <v>207</v>
      </c>
      <c r="H155" s="173" t="s">
        <v>180</v>
      </c>
      <c r="I155" s="174" t="s">
        <v>181</v>
      </c>
      <c r="J155" s="175" t="s">
        <v>182</v>
      </c>
      <c r="K155" s="176" t="s">
        <v>208</v>
      </c>
      <c r="L155" s="177"/>
      <c r="M155" s="193"/>
      <c r="N155" s="179"/>
      <c r="O155" s="180"/>
      <c r="P155" s="181"/>
      <c r="Q155" s="181"/>
      <c r="R155" s="182"/>
      <c r="S155" s="120"/>
      <c r="T155" s="183"/>
      <c r="U155" s="184"/>
      <c r="V155" s="121"/>
      <c r="W155" s="185"/>
      <c r="X155" s="186"/>
      <c r="Y155" s="187"/>
      <c r="Z155" s="131"/>
      <c r="AA155" s="188"/>
      <c r="AB155" s="121"/>
      <c r="AC155" s="189"/>
      <c r="AD155" s="198"/>
      <c r="AE155" s="191">
        <v>0.01</v>
      </c>
      <c r="AF155" s="105"/>
      <c r="AG155" s="61"/>
      <c r="AH155" s="106"/>
      <c r="AI155" s="106"/>
      <c r="AJ155" s="105"/>
      <c r="AK155" s="105"/>
      <c r="AL155" s="61"/>
    </row>
    <row r="156" spans="1:42" s="196" customFormat="1" ht="15" customHeight="1">
      <c r="A156" s="194"/>
      <c r="B156" s="234"/>
      <c r="C156" s="234"/>
      <c r="D156" s="166"/>
      <c r="E156" s="167"/>
      <c r="F156" s="167"/>
      <c r="G156" s="172" t="s">
        <v>207</v>
      </c>
      <c r="H156" s="173">
        <v>2</v>
      </c>
      <c r="I156" s="192" t="s">
        <v>181</v>
      </c>
      <c r="J156" s="175" t="s">
        <v>185</v>
      </c>
      <c r="K156" s="176" t="s">
        <v>208</v>
      </c>
      <c r="L156" s="177"/>
      <c r="M156" s="193"/>
      <c r="N156" s="179"/>
      <c r="O156" s="180"/>
      <c r="P156" s="181"/>
      <c r="Q156" s="181"/>
      <c r="R156" s="182"/>
      <c r="S156" s="120"/>
      <c r="T156" s="183"/>
      <c r="U156" s="184"/>
      <c r="V156" s="121"/>
      <c r="W156" s="185"/>
      <c r="X156" s="186"/>
      <c r="Y156" s="187"/>
      <c r="Z156" s="131"/>
      <c r="AA156" s="188"/>
      <c r="AB156" s="121"/>
      <c r="AC156" s="189"/>
      <c r="AD156" s="198"/>
      <c r="AE156" s="191">
        <v>0.01</v>
      </c>
      <c r="AF156" s="105"/>
      <c r="AG156" s="61"/>
      <c r="AH156" s="106"/>
      <c r="AI156" s="106"/>
      <c r="AJ156" s="105"/>
      <c r="AK156" s="105"/>
      <c r="AL156" s="61"/>
    </row>
    <row r="157" spans="1:42" s="196" customFormat="1" ht="15" customHeight="1">
      <c r="A157" s="194"/>
      <c r="B157" s="202"/>
      <c r="C157" s="202"/>
      <c r="D157" s="203"/>
      <c r="E157" s="167"/>
      <c r="F157" s="167"/>
      <c r="G157" s="204"/>
      <c r="H157" s="203"/>
      <c r="I157" s="111"/>
      <c r="J157" s="205"/>
      <c r="K157" s="206"/>
      <c r="L157" s="177"/>
      <c r="M157" s="193"/>
      <c r="N157" s="179"/>
      <c r="O157" s="180"/>
      <c r="P157" s="181"/>
      <c r="Q157" s="181"/>
      <c r="R157" s="182"/>
      <c r="S157" s="120"/>
      <c r="T157" s="131"/>
      <c r="U157" s="184"/>
      <c r="V157" s="121"/>
      <c r="W157" s="185"/>
      <c r="X157" s="186"/>
      <c r="Y157" s="187"/>
      <c r="Z157" s="131"/>
      <c r="AA157" s="188"/>
      <c r="AB157" s="121"/>
      <c r="AC157" s="189"/>
      <c r="AD157" s="198"/>
      <c r="AE157" s="191"/>
      <c r="AF157" s="105"/>
      <c r="AG157" s="61"/>
      <c r="AH157" s="106"/>
      <c r="AI157" s="106"/>
      <c r="AJ157" s="106"/>
      <c r="AK157" s="105"/>
      <c r="AL157" s="105"/>
      <c r="AN157" s="105"/>
      <c r="AO157" s="105"/>
      <c r="AP157" s="61"/>
    </row>
    <row r="158" spans="1:42" s="196" customFormat="1" ht="26.25" customHeight="1">
      <c r="A158" s="207" t="s">
        <v>220</v>
      </c>
      <c r="B158" s="209"/>
      <c r="C158" s="209"/>
      <c r="D158" s="209"/>
      <c r="E158" s="209"/>
      <c r="F158" s="209"/>
      <c r="G158" s="210"/>
      <c r="H158" s="209"/>
      <c r="I158" s="147"/>
      <c r="J158" s="388"/>
      <c r="K158" s="212"/>
      <c r="L158" s="213"/>
      <c r="M158" s="214"/>
      <c r="N158" s="215"/>
      <c r="O158" s="216"/>
      <c r="P158" s="217"/>
      <c r="Q158" s="217"/>
      <c r="R158" s="218"/>
      <c r="S158" s="219"/>
      <c r="T158" s="226"/>
      <c r="U158" s="221"/>
      <c r="V158" s="222"/>
      <c r="W158" s="223"/>
      <c r="X158" s="224"/>
      <c r="Y158" s="225"/>
      <c r="Z158" s="226"/>
      <c r="AA158" s="227"/>
      <c r="AB158" s="222"/>
      <c r="AC158" s="228"/>
      <c r="AD158" s="229"/>
      <c r="AE158" s="230"/>
      <c r="AF158" s="105"/>
      <c r="AG158" s="61"/>
      <c r="AH158" s="106"/>
      <c r="AI158" s="106"/>
      <c r="AJ158" s="106"/>
      <c r="AK158" s="105"/>
      <c r="AL158" s="105"/>
      <c r="AO158" s="105"/>
      <c r="AP158" s="61"/>
    </row>
    <row r="159" spans="1:42" s="196" customFormat="1" ht="19.5" customHeight="1">
      <c r="A159" s="803" t="s">
        <v>238</v>
      </c>
      <c r="B159" s="804"/>
      <c r="C159" s="804"/>
      <c r="D159" s="804"/>
      <c r="E159" s="804"/>
      <c r="F159" s="804"/>
      <c r="G159" s="804"/>
      <c r="H159" s="804"/>
      <c r="I159" s="804"/>
      <c r="J159" s="804"/>
      <c r="K159" s="805"/>
      <c r="L159" s="177"/>
      <c r="M159" s="193"/>
      <c r="N159" s="179"/>
      <c r="O159" s="180"/>
      <c r="P159" s="181"/>
      <c r="Q159" s="181"/>
      <c r="R159" s="182"/>
      <c r="S159" s="120"/>
      <c r="T159" s="131"/>
      <c r="U159" s="184"/>
      <c r="V159" s="121"/>
      <c r="W159" s="185"/>
      <c r="X159" s="186"/>
      <c r="Y159" s="187"/>
      <c r="Z159" s="131"/>
      <c r="AA159" s="188"/>
      <c r="AB159" s="121"/>
      <c r="AC159" s="189"/>
      <c r="AD159" s="198"/>
      <c r="AE159" s="191"/>
      <c r="AF159" s="105"/>
      <c r="AG159" s="61"/>
      <c r="AH159" s="106"/>
      <c r="AI159" s="106"/>
      <c r="AJ159" s="106"/>
      <c r="AK159" s="105"/>
      <c r="AL159" s="105"/>
      <c r="AO159" s="105"/>
      <c r="AP159" s="61"/>
    </row>
    <row r="160" spans="1:42" s="196" customFormat="1" ht="15" customHeight="1">
      <c r="A160" s="238"/>
      <c r="B160" s="179">
        <v>200092189575</v>
      </c>
      <c r="C160" s="131">
        <v>10982662</v>
      </c>
      <c r="D160" s="203" t="s">
        <v>211</v>
      </c>
      <c r="E160" s="167"/>
      <c r="F160" s="167" t="s">
        <v>239</v>
      </c>
      <c r="G160" s="239"/>
      <c r="H160" s="111"/>
      <c r="I160" s="111"/>
      <c r="J160" s="240"/>
      <c r="K160" s="206"/>
      <c r="L160" s="241"/>
      <c r="M160" s="242"/>
      <c r="N160" s="243"/>
      <c r="O160" s="244"/>
      <c r="P160" s="245"/>
      <c r="Q160" s="245"/>
      <c r="R160" s="246"/>
      <c r="S160" s="247"/>
      <c r="T160" s="254"/>
      <c r="U160" s="249"/>
      <c r="V160" s="250"/>
      <c r="W160" s="251"/>
      <c r="X160" s="252"/>
      <c r="Y160" s="253"/>
      <c r="Z160" s="254"/>
      <c r="AA160" s="255"/>
      <c r="AB160" s="250"/>
      <c r="AC160" s="189"/>
      <c r="AD160" s="198"/>
      <c r="AE160" s="191"/>
      <c r="AF160" s="105"/>
      <c r="AG160" s="61"/>
      <c r="AH160" s="106"/>
      <c r="AI160" s="106"/>
      <c r="AJ160" s="106"/>
      <c r="AK160" s="105"/>
      <c r="AL160" s="105"/>
      <c r="AN160" s="105"/>
      <c r="AO160" s="105"/>
      <c r="AP160" s="61"/>
    </row>
    <row r="161" spans="1:38" s="196" customFormat="1" ht="15" customHeight="1">
      <c r="A161" s="166"/>
      <c r="B161" s="234"/>
      <c r="C161" s="234"/>
      <c r="D161" s="166"/>
      <c r="E161" s="167" t="s">
        <v>223</v>
      </c>
      <c r="F161" s="167"/>
      <c r="G161" s="172" t="s">
        <v>214</v>
      </c>
      <c r="H161" s="173">
        <v>1</v>
      </c>
      <c r="I161" s="192" t="s">
        <v>181</v>
      </c>
      <c r="J161" s="175" t="s">
        <v>182</v>
      </c>
      <c r="K161" s="176" t="s">
        <v>215</v>
      </c>
      <c r="L161" s="177"/>
      <c r="M161" s="193"/>
      <c r="N161" s="179"/>
      <c r="O161" s="180"/>
      <c r="P161" s="181"/>
      <c r="Q161" s="181"/>
      <c r="R161" s="182"/>
      <c r="S161" s="120"/>
      <c r="T161" s="183"/>
      <c r="U161" s="184"/>
      <c r="V161" s="121"/>
      <c r="W161" s="185"/>
      <c r="X161" s="186"/>
      <c r="Y161" s="187"/>
      <c r="Z161" s="131"/>
      <c r="AA161" s="188"/>
      <c r="AB161" s="121"/>
      <c r="AC161" s="189"/>
      <c r="AD161" s="190"/>
      <c r="AE161" s="191"/>
      <c r="AF161" s="105"/>
      <c r="AG161" s="61"/>
      <c r="AH161" s="106"/>
      <c r="AI161" s="106"/>
      <c r="AJ161" s="106"/>
      <c r="AK161" s="105"/>
      <c r="AL161" s="105"/>
    </row>
    <row r="162" spans="1:38" s="196" customFormat="1" ht="15" customHeight="1">
      <c r="A162" s="256"/>
      <c r="B162" s="234"/>
      <c r="C162" s="234"/>
      <c r="D162" s="166"/>
      <c r="E162" s="167"/>
      <c r="F162" s="167"/>
      <c r="G162" s="172" t="s">
        <v>214</v>
      </c>
      <c r="H162" s="173">
        <v>2</v>
      </c>
      <c r="I162" s="174" t="s">
        <v>181</v>
      </c>
      <c r="J162" s="232" t="s">
        <v>185</v>
      </c>
      <c r="K162" s="176" t="s">
        <v>215</v>
      </c>
      <c r="L162" s="177"/>
      <c r="M162" s="193"/>
      <c r="N162" s="179"/>
      <c r="O162" s="180"/>
      <c r="P162" s="181"/>
      <c r="Q162" s="181"/>
      <c r="R162" s="182"/>
      <c r="S162" s="120"/>
      <c r="T162" s="183"/>
      <c r="U162" s="184"/>
      <c r="V162" s="121"/>
      <c r="W162" s="185"/>
      <c r="X162" s="186"/>
      <c r="Y162" s="187"/>
      <c r="Z162" s="131"/>
      <c r="AA162" s="188"/>
      <c r="AB162" s="121"/>
      <c r="AC162" s="189"/>
      <c r="AD162" s="190"/>
      <c r="AE162" s="191"/>
      <c r="AF162" s="105"/>
      <c r="AG162" s="61"/>
      <c r="AH162" s="106"/>
      <c r="AI162" s="106"/>
      <c r="AJ162" s="106"/>
      <c r="AK162" s="105"/>
      <c r="AL162" s="105"/>
    </row>
    <row r="163" spans="1:38" s="196" customFormat="1" ht="15" customHeight="1">
      <c r="A163" s="256"/>
      <c r="B163" s="234"/>
      <c r="C163" s="234"/>
      <c r="D163" s="166"/>
      <c r="E163" s="167"/>
      <c r="F163" s="167"/>
      <c r="G163" s="172" t="s">
        <v>214</v>
      </c>
      <c r="H163" s="173">
        <v>3</v>
      </c>
      <c r="I163" s="174" t="s">
        <v>186</v>
      </c>
      <c r="J163" s="232" t="s">
        <v>187</v>
      </c>
      <c r="K163" s="176" t="s">
        <v>215</v>
      </c>
      <c r="L163" s="177"/>
      <c r="M163" s="193"/>
      <c r="N163" s="179"/>
      <c r="O163" s="180"/>
      <c r="P163" s="181"/>
      <c r="Q163" s="181"/>
      <c r="R163" s="182"/>
      <c r="S163" s="120"/>
      <c r="T163" s="183"/>
      <c r="U163" s="184"/>
      <c r="V163" s="121"/>
      <c r="W163" s="185"/>
      <c r="X163" s="186"/>
      <c r="Y163" s="187"/>
      <c r="Z163" s="131"/>
      <c r="AA163" s="188"/>
      <c r="AB163" s="121"/>
      <c r="AC163" s="189"/>
      <c r="AD163" s="190"/>
      <c r="AE163" s="191"/>
      <c r="AF163" s="105"/>
      <c r="AG163" s="61"/>
      <c r="AH163" s="106"/>
      <c r="AI163" s="106"/>
      <c r="AJ163" s="106"/>
      <c r="AK163" s="105"/>
      <c r="AL163" s="105"/>
    </row>
    <row r="164" spans="1:38" s="196" customFormat="1" ht="15" customHeight="1">
      <c r="A164" s="256"/>
      <c r="B164" s="234"/>
      <c r="C164" s="234"/>
      <c r="D164" s="166"/>
      <c r="E164" s="167"/>
      <c r="F164" s="167"/>
      <c r="G164" s="172" t="s">
        <v>214</v>
      </c>
      <c r="H164" s="173">
        <v>4</v>
      </c>
      <c r="I164" s="174" t="s">
        <v>186</v>
      </c>
      <c r="J164" s="232" t="s">
        <v>188</v>
      </c>
      <c r="K164" s="176" t="s">
        <v>215</v>
      </c>
      <c r="L164" s="177"/>
      <c r="M164" s="193"/>
      <c r="N164" s="179"/>
      <c r="O164" s="180"/>
      <c r="P164" s="181"/>
      <c r="Q164" s="181"/>
      <c r="R164" s="182"/>
      <c r="S164" s="120"/>
      <c r="T164" s="183"/>
      <c r="U164" s="184"/>
      <c r="V164" s="121"/>
      <c r="W164" s="185"/>
      <c r="X164" s="186"/>
      <c r="Y164" s="187"/>
      <c r="Z164" s="131"/>
      <c r="AA164" s="188"/>
      <c r="AB164" s="121"/>
      <c r="AC164" s="189"/>
      <c r="AD164" s="190"/>
      <c r="AE164" s="191"/>
      <c r="AF164" s="105"/>
      <c r="AG164" s="61"/>
      <c r="AH164" s="106"/>
      <c r="AI164" s="106"/>
      <c r="AJ164" s="106"/>
      <c r="AK164" s="105"/>
      <c r="AL164" s="105"/>
    </row>
    <row r="165" spans="1:38" s="196" customFormat="1" ht="15" customHeight="1">
      <c r="A165" s="256"/>
      <c r="B165" s="234"/>
      <c r="C165" s="234"/>
      <c r="D165" s="166"/>
      <c r="E165" s="167"/>
      <c r="F165" s="167"/>
      <c r="G165" s="172"/>
      <c r="H165" s="173"/>
      <c r="I165" s="174"/>
      <c r="J165" s="232"/>
      <c r="K165" s="176"/>
      <c r="L165" s="177"/>
      <c r="M165" s="193"/>
      <c r="N165" s="179"/>
      <c r="O165" s="180"/>
      <c r="P165" s="181"/>
      <c r="Q165" s="181"/>
      <c r="R165" s="182"/>
      <c r="S165" s="120"/>
      <c r="T165" s="131"/>
      <c r="U165" s="184"/>
      <c r="V165" s="121"/>
      <c r="W165" s="185"/>
      <c r="X165" s="186"/>
      <c r="Y165" s="187"/>
      <c r="Z165" s="131"/>
      <c r="AA165" s="188"/>
      <c r="AB165" s="121"/>
      <c r="AC165" s="189"/>
      <c r="AD165" s="190"/>
      <c r="AE165" s="191"/>
      <c r="AF165" s="105"/>
      <c r="AG165" s="61"/>
      <c r="AH165" s="106"/>
      <c r="AI165" s="106"/>
      <c r="AJ165" s="106"/>
      <c r="AK165" s="105"/>
      <c r="AL165" s="105"/>
    </row>
    <row r="166" spans="1:38" s="196" customFormat="1" ht="15" customHeight="1">
      <c r="A166" s="256"/>
      <c r="B166" s="234"/>
      <c r="C166" s="234"/>
      <c r="D166" s="166"/>
      <c r="E166" s="167"/>
      <c r="F166" s="167"/>
      <c r="G166" s="791" t="s">
        <v>224</v>
      </c>
      <c r="H166" s="791"/>
      <c r="I166" s="791"/>
      <c r="J166" s="791"/>
      <c r="K166" s="791"/>
      <c r="L166" s="791"/>
      <c r="M166" s="193"/>
      <c r="N166" s="444"/>
      <c r="O166" s="180"/>
      <c r="P166" s="445"/>
      <c r="Q166" s="446"/>
      <c r="R166" s="447"/>
      <c r="S166" s="448"/>
      <c r="T166" s="449"/>
      <c r="U166" s="450"/>
      <c r="V166" s="451"/>
      <c r="W166" s="452"/>
      <c r="X166" s="453"/>
      <c r="Y166" s="454"/>
      <c r="Z166" s="449"/>
      <c r="AA166" s="455"/>
      <c r="AB166" s="451"/>
      <c r="AC166" s="456"/>
      <c r="AD166" s="457"/>
      <c r="AE166" s="458"/>
      <c r="AF166" s="105"/>
      <c r="AG166" s="61"/>
      <c r="AH166" s="106"/>
      <c r="AI166" s="106"/>
      <c r="AJ166" s="106"/>
      <c r="AK166" s="105"/>
      <c r="AL166" s="105"/>
    </row>
    <row r="167" spans="1:38" s="196" customFormat="1" ht="15" customHeight="1">
      <c r="A167" s="194"/>
      <c r="B167" s="199"/>
      <c r="C167" s="199"/>
      <c r="D167" s="173"/>
      <c r="E167" s="167"/>
      <c r="F167" s="167" t="s">
        <v>225</v>
      </c>
      <c r="G167" s="203" t="s">
        <v>226</v>
      </c>
      <c r="H167" s="318">
        <v>1</v>
      </c>
      <c r="I167" s="319" t="s">
        <v>181</v>
      </c>
      <c r="J167" s="320" t="s">
        <v>187</v>
      </c>
      <c r="K167" s="321" t="s">
        <v>227</v>
      </c>
      <c r="L167" s="322"/>
      <c r="M167" s="323"/>
      <c r="N167" s="324"/>
      <c r="O167" s="325"/>
      <c r="P167" s="305"/>
      <c r="Q167" s="326"/>
      <c r="R167" s="306"/>
      <c r="S167" s="307"/>
      <c r="T167" s="308"/>
      <c r="U167" s="309"/>
      <c r="V167" s="310"/>
      <c r="W167" s="311"/>
      <c r="X167" s="312"/>
      <c r="Y167" s="313"/>
      <c r="Z167" s="308"/>
      <c r="AA167" s="314"/>
      <c r="AB167" s="310"/>
      <c r="AC167" s="327"/>
      <c r="AD167" s="328"/>
      <c r="AE167" s="329">
        <v>-0.01</v>
      </c>
      <c r="AF167" s="105"/>
      <c r="AG167" s="61"/>
      <c r="AH167" s="106"/>
      <c r="AI167" s="106"/>
      <c r="AJ167" s="106"/>
      <c r="AK167" s="105"/>
      <c r="AL167" s="105"/>
    </row>
    <row r="168" spans="1:38" s="196" customFormat="1" ht="15" customHeight="1">
      <c r="A168" s="194"/>
      <c r="B168" s="199"/>
      <c r="C168" s="199"/>
      <c r="D168" s="173"/>
      <c r="E168" s="167"/>
      <c r="F168" s="167"/>
      <c r="G168" s="203" t="s">
        <v>226</v>
      </c>
      <c r="H168" s="318">
        <v>2</v>
      </c>
      <c r="I168" s="319" t="s">
        <v>181</v>
      </c>
      <c r="J168" s="320" t="s">
        <v>188</v>
      </c>
      <c r="K168" s="321" t="s">
        <v>227</v>
      </c>
      <c r="L168" s="322"/>
      <c r="M168" s="323"/>
      <c r="N168" s="324"/>
      <c r="O168" s="325"/>
      <c r="P168" s="305"/>
      <c r="Q168" s="326"/>
      <c r="R168" s="306"/>
      <c r="S168" s="307"/>
      <c r="T168" s="308"/>
      <c r="U168" s="309"/>
      <c r="V168" s="310"/>
      <c r="W168" s="311"/>
      <c r="X168" s="312"/>
      <c r="Y168" s="313"/>
      <c r="Z168" s="308"/>
      <c r="AA168" s="314"/>
      <c r="AB168" s="310"/>
      <c r="AC168" s="327"/>
      <c r="AD168" s="328"/>
      <c r="AE168" s="317"/>
      <c r="AF168" s="105"/>
      <c r="AG168" s="61"/>
      <c r="AH168" s="106"/>
      <c r="AI168" s="106"/>
      <c r="AJ168" s="106"/>
      <c r="AK168" s="105"/>
      <c r="AL168" s="105"/>
    </row>
    <row r="169" spans="1:38" s="196" customFormat="1" ht="15" customHeight="1">
      <c r="A169" s="194"/>
      <c r="B169" s="199"/>
      <c r="C169" s="199"/>
      <c r="D169" s="173"/>
      <c r="E169" s="167"/>
      <c r="F169" s="167"/>
      <c r="G169" s="203">
        <v>20</v>
      </c>
      <c r="H169" s="318">
        <v>1</v>
      </c>
      <c r="I169" s="319" t="s">
        <v>186</v>
      </c>
      <c r="J169" s="320" t="s">
        <v>182</v>
      </c>
      <c r="K169" s="321" t="s">
        <v>228</v>
      </c>
      <c r="L169" s="322"/>
      <c r="M169" s="323"/>
      <c r="N169" s="324"/>
      <c r="O169" s="325"/>
      <c r="P169" s="305"/>
      <c r="Q169" s="326"/>
      <c r="R169" s="306"/>
      <c r="S169" s="307"/>
      <c r="T169" s="308"/>
      <c r="U169" s="309"/>
      <c r="V169" s="310"/>
      <c r="W169" s="311"/>
      <c r="X169" s="312"/>
      <c r="Y169" s="313"/>
      <c r="Z169" s="308"/>
      <c r="AA169" s="314"/>
      <c r="AB169" s="310"/>
      <c r="AC169" s="327"/>
      <c r="AD169" s="328"/>
      <c r="AE169" s="317"/>
      <c r="AF169" s="105"/>
      <c r="AG169" s="61"/>
      <c r="AH169" s="106"/>
      <c r="AI169" s="106"/>
      <c r="AJ169" s="106"/>
      <c r="AK169" s="105"/>
      <c r="AL169" s="105"/>
    </row>
    <row r="170" spans="1:38" s="196" customFormat="1" ht="14.25" customHeight="1">
      <c r="A170" s="194"/>
      <c r="B170" s="199"/>
      <c r="C170" s="199"/>
      <c r="D170" s="173"/>
      <c r="E170" s="167"/>
      <c r="F170" s="167"/>
      <c r="G170" s="330"/>
      <c r="H170" s="331"/>
      <c r="I170" s="332"/>
      <c r="J170" s="333"/>
      <c r="K170" s="459"/>
      <c r="L170" s="460"/>
      <c r="M170" s="323"/>
      <c r="N170" s="324"/>
      <c r="O170" s="336"/>
      <c r="P170" s="337"/>
      <c r="Q170" s="338"/>
      <c r="R170" s="306"/>
      <c r="S170" s="307"/>
      <c r="T170" s="308"/>
      <c r="U170" s="309"/>
      <c r="V170" s="310"/>
      <c r="W170" s="308"/>
      <c r="X170" s="314"/>
      <c r="Y170" s="339"/>
      <c r="Z170" s="308"/>
      <c r="AA170" s="314"/>
      <c r="AB170" s="310"/>
      <c r="AC170" s="315"/>
      <c r="AD170" s="328"/>
      <c r="AE170" s="317"/>
      <c r="AF170" s="105"/>
      <c r="AG170" s="61"/>
      <c r="AH170" s="106"/>
      <c r="AI170" s="106"/>
      <c r="AJ170" s="106"/>
      <c r="AK170" s="105"/>
      <c r="AL170" s="105"/>
    </row>
    <row r="171" spans="1:38" s="196" customFormat="1" ht="15" customHeight="1">
      <c r="A171" s="194"/>
      <c r="B171" s="199"/>
      <c r="C171" s="199"/>
      <c r="D171" s="173"/>
      <c r="E171" s="167" t="s">
        <v>216</v>
      </c>
      <c r="F171" s="167"/>
      <c r="G171" s="389" t="s">
        <v>217</v>
      </c>
      <c r="H171" s="390">
        <v>1</v>
      </c>
      <c r="I171" s="391" t="s">
        <v>181</v>
      </c>
      <c r="J171" s="392" t="s">
        <v>182</v>
      </c>
      <c r="K171" s="461" t="s">
        <v>218</v>
      </c>
      <c r="L171" s="462"/>
      <c r="M171" s="463"/>
      <c r="N171" s="464"/>
      <c r="O171" s="465"/>
      <c r="P171" s="466"/>
      <c r="Q171" s="467"/>
      <c r="R171" s="468"/>
      <c r="S171" s="469"/>
      <c r="T171" s="470"/>
      <c r="U171" s="471"/>
      <c r="V171" s="472"/>
      <c r="W171" s="473"/>
      <c r="X171" s="474"/>
      <c r="Y171" s="475"/>
      <c r="Z171" s="470"/>
      <c r="AA171" s="476"/>
      <c r="AB171" s="472"/>
      <c r="AC171" s="477"/>
      <c r="AD171" s="478"/>
      <c r="AE171" s="479">
        <v>0.01</v>
      </c>
      <c r="AF171" s="105"/>
      <c r="AG171" s="61"/>
      <c r="AH171" s="106"/>
      <c r="AI171" s="106"/>
      <c r="AJ171" s="106"/>
      <c r="AK171" s="105"/>
      <c r="AL171" s="105"/>
    </row>
    <row r="172" spans="1:38" s="196" customFormat="1" ht="15" customHeight="1">
      <c r="A172" s="194"/>
      <c r="B172" s="199"/>
      <c r="C172" s="199"/>
      <c r="D172" s="173"/>
      <c r="E172" s="167"/>
      <c r="F172" s="167"/>
      <c r="G172" s="389" t="s">
        <v>217</v>
      </c>
      <c r="H172" s="390">
        <v>2</v>
      </c>
      <c r="I172" s="391" t="s">
        <v>181</v>
      </c>
      <c r="J172" s="392" t="s">
        <v>185</v>
      </c>
      <c r="K172" s="461" t="s">
        <v>218</v>
      </c>
      <c r="L172" s="462"/>
      <c r="M172" s="463"/>
      <c r="N172" s="464"/>
      <c r="O172" s="465"/>
      <c r="P172" s="466"/>
      <c r="Q172" s="467"/>
      <c r="R172" s="468"/>
      <c r="S172" s="469"/>
      <c r="T172" s="470"/>
      <c r="U172" s="471"/>
      <c r="V172" s="472"/>
      <c r="W172" s="473"/>
      <c r="X172" s="474"/>
      <c r="Y172" s="475"/>
      <c r="Z172" s="470"/>
      <c r="AA172" s="476"/>
      <c r="AB172" s="472"/>
      <c r="AC172" s="477"/>
      <c r="AD172" s="478"/>
      <c r="AE172" s="479">
        <v>0.01</v>
      </c>
      <c r="AF172" s="105"/>
      <c r="AG172" s="61"/>
      <c r="AH172" s="106"/>
      <c r="AI172" s="106"/>
      <c r="AJ172" s="106"/>
      <c r="AK172" s="105"/>
      <c r="AL172" s="105"/>
    </row>
    <row r="173" spans="1:38" s="196" customFormat="1" ht="15" customHeight="1">
      <c r="A173" s="194"/>
      <c r="B173" s="199"/>
      <c r="C173" s="199"/>
      <c r="D173" s="173"/>
      <c r="E173" s="167"/>
      <c r="F173" s="167"/>
      <c r="G173" s="480" t="s">
        <v>217</v>
      </c>
      <c r="H173" s="481">
        <v>1</v>
      </c>
      <c r="I173" s="482" t="s">
        <v>181</v>
      </c>
      <c r="J173" s="483" t="s">
        <v>182</v>
      </c>
      <c r="K173" s="484" t="s">
        <v>219</v>
      </c>
      <c r="L173" s="485"/>
      <c r="M173" s="486"/>
      <c r="N173" s="487"/>
      <c r="O173" s="488"/>
      <c r="P173" s="489"/>
      <c r="Q173" s="490"/>
      <c r="R173" s="491"/>
      <c r="S173" s="492"/>
      <c r="T173" s="493"/>
      <c r="U173" s="494"/>
      <c r="V173" s="495"/>
      <c r="W173" s="496"/>
      <c r="X173" s="497"/>
      <c r="Y173" s="498"/>
      <c r="Z173" s="493"/>
      <c r="AA173" s="499"/>
      <c r="AB173" s="495"/>
      <c r="AC173" s="500"/>
      <c r="AD173" s="501"/>
      <c r="AE173" s="502">
        <v>0.01</v>
      </c>
      <c r="AF173" s="105"/>
      <c r="AG173" s="61"/>
      <c r="AH173" s="106"/>
      <c r="AI173" s="106"/>
      <c r="AJ173" s="106"/>
      <c r="AK173" s="105"/>
      <c r="AL173" s="105"/>
    </row>
    <row r="174" spans="1:38" s="196" customFormat="1" ht="15" customHeight="1" thickBot="1">
      <c r="A174" s="503"/>
      <c r="B174" s="504"/>
      <c r="C174" s="504"/>
      <c r="D174" s="505"/>
      <c r="E174" s="506"/>
      <c r="F174" s="506"/>
      <c r="G174" s="507" t="s">
        <v>217</v>
      </c>
      <c r="H174" s="508">
        <v>2</v>
      </c>
      <c r="I174" s="509" t="s">
        <v>181</v>
      </c>
      <c r="J174" s="510" t="s">
        <v>185</v>
      </c>
      <c r="K174" s="511" t="s">
        <v>219</v>
      </c>
      <c r="L174" s="512"/>
      <c r="M174" s="513"/>
      <c r="N174" s="514"/>
      <c r="O174" s="515"/>
      <c r="P174" s="516"/>
      <c r="Q174" s="516"/>
      <c r="R174" s="517"/>
      <c r="S174" s="518"/>
      <c r="T174" s="519"/>
      <c r="U174" s="520"/>
      <c r="V174" s="521"/>
      <c r="W174" s="522"/>
      <c r="X174" s="523"/>
      <c r="Y174" s="524"/>
      <c r="Z174" s="525"/>
      <c r="AA174" s="526"/>
      <c r="AB174" s="521"/>
      <c r="AC174" s="527"/>
      <c r="AD174" s="528"/>
      <c r="AE174" s="529">
        <v>0.01</v>
      </c>
      <c r="AF174" s="105"/>
      <c r="AG174" s="61"/>
      <c r="AH174" s="106"/>
      <c r="AI174" s="106"/>
      <c r="AJ174" s="106"/>
      <c r="AK174" s="105"/>
      <c r="AL174" s="105"/>
    </row>
    <row r="175" spans="1:38" s="130" customFormat="1">
      <c r="A175" s="530"/>
      <c r="B175" s="531"/>
      <c r="C175" s="531"/>
      <c r="G175" s="532"/>
      <c r="H175" s="531"/>
      <c r="I175" s="533"/>
      <c r="J175" s="534"/>
      <c r="K175" s="535"/>
      <c r="L175" s="536"/>
      <c r="M175" s="531"/>
      <c r="N175" s="537"/>
      <c r="O175" s="538"/>
      <c r="P175" s="538"/>
      <c r="Q175" s="538"/>
      <c r="R175" s="537"/>
      <c r="S175" s="531"/>
      <c r="T175" s="531"/>
      <c r="U175" s="531"/>
      <c r="V175" s="531"/>
      <c r="W175" s="531"/>
      <c r="X175" s="531"/>
      <c r="Y175" s="531"/>
      <c r="Z175" s="531"/>
      <c r="AA175" s="531"/>
      <c r="AB175" s="531"/>
      <c r="AC175" s="539"/>
      <c r="AD175" s="540"/>
      <c r="AE175" s="540"/>
      <c r="AF175" s="105"/>
      <c r="AG175" s="61"/>
      <c r="AH175" s="106"/>
      <c r="AI175" s="106"/>
      <c r="AJ175" s="105"/>
      <c r="AK175" s="105"/>
      <c r="AL175" s="61"/>
    </row>
    <row r="176" spans="1:38" s="130" customFormat="1">
      <c r="A176" s="530"/>
      <c r="B176" s="531"/>
      <c r="C176" s="541" t="s">
        <v>240</v>
      </c>
      <c r="D176" s="369"/>
      <c r="E176" s="131"/>
      <c r="G176" s="532"/>
      <c r="H176" s="531"/>
      <c r="I176" s="533"/>
      <c r="J176" s="534"/>
      <c r="K176" s="535"/>
      <c r="L176" s="536"/>
      <c r="M176" s="531"/>
      <c r="N176" s="537"/>
      <c r="O176" s="538"/>
      <c r="P176" s="538"/>
      <c r="Q176" s="538"/>
      <c r="R176" s="537"/>
      <c r="S176" s="531"/>
      <c r="T176" s="531"/>
      <c r="U176" s="531"/>
      <c r="V176" s="531"/>
      <c r="W176" s="531"/>
      <c r="X176" s="531"/>
      <c r="Y176" s="531"/>
      <c r="Z176" s="531"/>
      <c r="AA176" s="531"/>
      <c r="AB176" s="531"/>
      <c r="AC176" s="539"/>
      <c r="AD176" s="540"/>
      <c r="AE176" s="540"/>
      <c r="AF176" s="105"/>
      <c r="AG176" s="61"/>
      <c r="AH176" s="106"/>
      <c r="AI176" s="106"/>
      <c r="AJ176" s="105"/>
      <c r="AK176" s="105"/>
      <c r="AL176" s="61"/>
    </row>
    <row r="177" spans="1:38" s="130" customFormat="1">
      <c r="A177" s="530"/>
      <c r="B177" s="531"/>
      <c r="C177" s="542" t="s">
        <v>241</v>
      </c>
      <c r="D177" s="543"/>
      <c r="E177" s="47"/>
      <c r="G177" s="532"/>
      <c r="H177" s="531"/>
      <c r="I177" s="533"/>
      <c r="J177" s="534"/>
      <c r="K177" s="535"/>
      <c r="L177" s="536"/>
      <c r="M177" s="531"/>
      <c r="N177" s="537"/>
      <c r="O177" s="538"/>
      <c r="P177" s="538"/>
      <c r="Q177" s="538"/>
      <c r="R177" s="537"/>
      <c r="S177" s="531"/>
      <c r="T177" s="531"/>
      <c r="U177" s="531"/>
      <c r="V177" s="531"/>
      <c r="W177" s="531"/>
      <c r="X177" s="531"/>
      <c r="Y177" s="531"/>
      <c r="Z177" s="531"/>
      <c r="AA177" s="531"/>
      <c r="AB177" s="531"/>
      <c r="AC177" s="539"/>
      <c r="AD177" s="540"/>
      <c r="AE177" s="540"/>
      <c r="AF177" s="105"/>
      <c r="AG177" s="61"/>
      <c r="AH177" s="106"/>
      <c r="AI177" s="106"/>
      <c r="AJ177" s="105"/>
      <c r="AK177" s="105"/>
      <c r="AL177" s="61"/>
    </row>
    <row r="178" spans="1:38" s="130" customFormat="1">
      <c r="A178" s="530"/>
      <c r="B178" s="531"/>
      <c r="C178" s="544" t="s">
        <v>242</v>
      </c>
      <c r="D178" s="545"/>
      <c r="E178" s="545"/>
      <c r="G178" s="532"/>
      <c r="H178" s="531"/>
      <c r="I178" s="533"/>
      <c r="J178" s="534"/>
      <c r="K178" s="535"/>
      <c r="L178" s="536"/>
      <c r="M178" s="531"/>
      <c r="N178" s="537"/>
      <c r="O178" s="538"/>
      <c r="P178" s="538"/>
      <c r="Q178" s="538"/>
      <c r="R178" s="537"/>
      <c r="S178" s="531"/>
      <c r="T178" s="531"/>
      <c r="U178" s="531"/>
      <c r="V178" s="531"/>
      <c r="W178" s="531"/>
      <c r="X178" s="531"/>
      <c r="Y178" s="531"/>
      <c r="Z178" s="531"/>
      <c r="AA178" s="531"/>
      <c r="AB178" s="531"/>
      <c r="AC178" s="539"/>
      <c r="AD178" s="540"/>
      <c r="AE178" s="540"/>
      <c r="AF178" s="105"/>
      <c r="AG178" s="61"/>
      <c r="AH178" s="106"/>
      <c r="AI178" s="106"/>
      <c r="AJ178" s="105"/>
      <c r="AK178" s="105"/>
      <c r="AL178" s="61"/>
    </row>
    <row r="179" spans="1:38" s="130" customFormat="1">
      <c r="A179" s="530"/>
      <c r="B179" s="531"/>
      <c r="C179" s="546" t="s">
        <v>243</v>
      </c>
      <c r="D179" s="535"/>
      <c r="E179" s="547"/>
      <c r="F179" s="531"/>
      <c r="G179" s="532"/>
      <c r="H179" s="531"/>
      <c r="I179" s="533"/>
      <c r="J179" s="534"/>
      <c r="K179" s="535"/>
      <c r="L179" s="536"/>
      <c r="M179" s="531"/>
      <c r="N179" s="537"/>
      <c r="O179" s="538"/>
      <c r="P179" s="538"/>
      <c r="Q179" s="538"/>
      <c r="R179" s="537"/>
      <c r="S179" s="531"/>
      <c r="T179" s="531"/>
      <c r="U179" s="531"/>
      <c r="V179" s="531"/>
      <c r="W179" s="531"/>
      <c r="X179" s="531"/>
      <c r="Y179" s="531"/>
      <c r="Z179" s="531"/>
      <c r="AA179" s="531"/>
      <c r="AB179" s="531"/>
      <c r="AC179" s="539"/>
      <c r="AD179" s="540"/>
      <c r="AE179" s="540"/>
      <c r="AF179" s="105"/>
      <c r="AG179" s="61"/>
      <c r="AH179" s="106"/>
      <c r="AI179" s="106"/>
      <c r="AJ179" s="105"/>
      <c r="AK179" s="105"/>
      <c r="AL179" s="61"/>
    </row>
    <row r="180" spans="1:38" s="130" customFormat="1">
      <c r="A180" s="530"/>
      <c r="B180" s="531"/>
      <c r="C180" s="531"/>
      <c r="D180" s="531"/>
      <c r="E180" s="548"/>
      <c r="F180" s="531"/>
      <c r="G180" s="532"/>
      <c r="H180" s="531"/>
      <c r="I180" s="533"/>
      <c r="J180" s="534"/>
      <c r="K180" s="535"/>
      <c r="L180" s="536"/>
      <c r="M180" s="531"/>
      <c r="N180" s="537"/>
      <c r="O180" s="538"/>
      <c r="P180" s="538"/>
      <c r="Q180" s="538"/>
      <c r="R180" s="537"/>
      <c r="S180" s="531"/>
      <c r="T180" s="531"/>
      <c r="U180" s="531"/>
      <c r="V180" s="531"/>
      <c r="W180" s="531"/>
      <c r="X180" s="531"/>
      <c r="Y180" s="531"/>
      <c r="Z180" s="531"/>
      <c r="AA180" s="531"/>
      <c r="AB180" s="531"/>
      <c r="AC180" s="539"/>
      <c r="AD180" s="540"/>
      <c r="AE180" s="540"/>
      <c r="AF180" s="105"/>
      <c r="AG180" s="61"/>
      <c r="AH180" s="106"/>
      <c r="AI180" s="106"/>
      <c r="AJ180" s="105"/>
      <c r="AK180" s="105"/>
      <c r="AL180" s="61"/>
    </row>
  </sheetData>
  <mergeCells count="13">
    <mergeCell ref="G166:L166"/>
    <mergeCell ref="B1:AC1"/>
    <mergeCell ref="G6:H6"/>
    <mergeCell ref="L6:P6"/>
    <mergeCell ref="S9:T9"/>
    <mergeCell ref="U9:V9"/>
    <mergeCell ref="W9:Y9"/>
    <mergeCell ref="Z9:AB9"/>
    <mergeCell ref="A47:K47"/>
    <mergeCell ref="A59:K59"/>
    <mergeCell ref="G66:L66"/>
    <mergeCell ref="A112:K112"/>
    <mergeCell ref="A159:K159"/>
  </mergeCells>
  <printOptions gridLines="1"/>
  <pageMargins left="0.39" right="0.21" top="0.5" bottom="0.5" header="0.5" footer="0.25"/>
  <pageSetup scale="45" orientation="landscape" horizontalDpi="300" r:id="rId1"/>
  <headerFooter alignWithMargins="0">
    <oddFooter>&amp;L&amp;16Energy RTSR ST&amp;10
&amp;C&amp;14&amp;F&amp;R&amp;16&amp;P of &amp;N</oddFooter>
  </headerFooter>
  <rowBreaks count="2" manualBreakCount="2">
    <brk id="74" max="16383"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2-Staff-10</vt:lpstr>
      <vt:lpstr>2-Staff-12</vt:lpstr>
      <vt:lpstr>2-Staff-15</vt:lpstr>
      <vt:lpstr>2-Staff-20</vt:lpstr>
      <vt:lpstr>3-Staff-26</vt:lpstr>
      <vt:lpstr>4-Staff-30</vt:lpstr>
      <vt:lpstr>8-Staff-56</vt:lpstr>
      <vt:lpstr>8-Staff-57-1</vt:lpstr>
      <vt:lpstr>8-Staff-57-2</vt:lpstr>
      <vt:lpstr>1-SEC-5-1</vt:lpstr>
      <vt:lpstr>1-SEC-5-2</vt:lpstr>
      <vt:lpstr>2-SEC-16</vt:lpstr>
      <vt:lpstr>2-SEC-17</vt:lpstr>
      <vt:lpstr>3-SEC-20</vt:lpstr>
      <vt:lpstr>9-SEC-30</vt:lpstr>
      <vt:lpstr>2-VECC-6</vt:lpstr>
      <vt:lpstr>3-VECC-12-1</vt:lpstr>
      <vt:lpstr>3-VECC-12-2</vt:lpstr>
      <vt:lpstr>4-VECC-23</vt:lpstr>
      <vt:lpstr>7-VECC-28</vt:lpstr>
      <vt:lpstr>7-VECC-29</vt:lpstr>
      <vt:lpstr>8-VECC-31</vt:lpstr>
      <vt:lpstr>'8-Staff-57-2'!Print_Titles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Roy</dc:creator>
  <cp:lastModifiedBy>Jeffrey Roy</cp:lastModifiedBy>
  <dcterms:created xsi:type="dcterms:W3CDTF">2021-12-06T15:26:04Z</dcterms:created>
  <dcterms:modified xsi:type="dcterms:W3CDTF">2021-12-21T20:03:56Z</dcterms:modified>
</cp:coreProperties>
</file>