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laghebB\Private\TXDX20\Undertakings\VECC\"/>
    </mc:Choice>
  </mc:AlternateContent>
  <xr:revisionPtr revIDLastSave="2" documentId="11_394247374BF91FED9071F5417C924C1ED642DB55" xr6:coauthVersionLast="47" xr6:coauthVersionMax="47" xr10:uidLastSave="{C9E58643-49BC-435B-8C58-6455364FC20B}"/>
  <bookViews>
    <workbookView xWindow="560" yWindow="380" windowWidth="11940" windowHeight="65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D26" i="1" l="1"/>
  <c r="D27" i="1"/>
  <c r="D29" i="1"/>
  <c r="B75" i="1" l="1"/>
  <c r="B73" i="1"/>
  <c r="B74" i="1"/>
  <c r="B72" i="1"/>
  <c r="C74" i="1" l="1"/>
  <c r="D74" i="1" s="1"/>
  <c r="C72" i="1"/>
  <c r="D72" i="1"/>
  <c r="C75" i="1"/>
  <c r="D75" i="1" s="1"/>
  <c r="C73" i="1"/>
  <c r="D73" i="1" s="1"/>
  <c r="E73" i="1" s="1"/>
  <c r="H27" i="1"/>
  <c r="G27" i="1"/>
  <c r="F27" i="1"/>
  <c r="E27" i="1"/>
  <c r="C27" i="1"/>
  <c r="B27" i="1"/>
  <c r="B29" i="1"/>
  <c r="H26" i="1"/>
  <c r="G26" i="1"/>
  <c r="F26" i="1"/>
  <c r="E26" i="1"/>
  <c r="C26" i="1"/>
  <c r="B26" i="1"/>
  <c r="H29" i="1"/>
  <c r="G29" i="1"/>
  <c r="F29" i="1"/>
  <c r="E29" i="1"/>
  <c r="C29" i="1"/>
  <c r="B112" i="1" l="1"/>
  <c r="L112" i="1"/>
  <c r="B154" i="1"/>
  <c r="B167" i="1"/>
  <c r="B173" i="1"/>
  <c r="B194" i="1"/>
  <c r="B193" i="1"/>
  <c r="B220" i="1"/>
  <c r="M205" i="1"/>
  <c r="B205" i="1" s="1"/>
  <c r="K5" i="1"/>
  <c r="B250" i="1"/>
  <c r="B210" i="1" l="1"/>
  <c r="B219" i="1" s="1"/>
  <c r="F73" i="1"/>
  <c r="E28" i="1"/>
  <c r="F28" i="1"/>
  <c r="G28" i="1"/>
  <c r="H28" i="1"/>
  <c r="H30" i="1" s="1"/>
  <c r="D28" i="1"/>
  <c r="B8" i="1"/>
  <c r="B6" i="1" s="1"/>
  <c r="B203" i="1"/>
  <c r="B206" i="1" s="1"/>
  <c r="B207" i="1" s="1"/>
  <c r="B159" i="1"/>
  <c r="B9" i="1" l="1"/>
  <c r="B76" i="1"/>
  <c r="C210" i="1"/>
  <c r="C219" i="1" s="1"/>
  <c r="D210" i="1"/>
  <c r="E210" i="1"/>
  <c r="F210" i="1"/>
  <c r="G210" i="1"/>
  <c r="H210" i="1"/>
  <c r="C160" i="1"/>
  <c r="D160" i="1"/>
  <c r="E160" i="1"/>
  <c r="F160" i="1"/>
  <c r="G160" i="1"/>
  <c r="H160" i="1"/>
  <c r="B160" i="1"/>
  <c r="B171" i="1" s="1"/>
  <c r="C171" i="1" s="1"/>
  <c r="D171" i="1" s="1"/>
  <c r="C159" i="1"/>
  <c r="C170" i="1" s="1"/>
  <c r="D159" i="1"/>
  <c r="E159" i="1"/>
  <c r="F159" i="1"/>
  <c r="G159" i="1"/>
  <c r="H159" i="1"/>
  <c r="C135" i="1"/>
  <c r="D135" i="1" s="1"/>
  <c r="E135" i="1" s="1"/>
  <c r="F135" i="1" s="1"/>
  <c r="G135" i="1" s="1"/>
  <c r="H135" i="1" s="1"/>
  <c r="M215" i="1"/>
  <c r="C189" i="1"/>
  <c r="D189" i="1"/>
  <c r="E189" i="1" s="1"/>
  <c r="F189" i="1"/>
  <c r="G189" i="1" s="1"/>
  <c r="H189" i="1" s="1"/>
  <c r="E72" i="1"/>
  <c r="E74" i="1"/>
  <c r="F74" i="1" s="1"/>
  <c r="G74" i="1" s="1"/>
  <c r="H74" i="1" s="1"/>
  <c r="E75" i="1"/>
  <c r="F75" i="1" s="1"/>
  <c r="G75" i="1" s="1"/>
  <c r="H75" i="1" s="1"/>
  <c r="C215" i="1"/>
  <c r="C222" i="1" s="1"/>
  <c r="B228" i="1"/>
  <c r="B242" i="1" s="1"/>
  <c r="C186" i="1"/>
  <c r="C187" i="1"/>
  <c r="D187" i="1" s="1"/>
  <c r="E187" i="1" s="1"/>
  <c r="F187" i="1" s="1"/>
  <c r="G187" i="1" s="1"/>
  <c r="H187" i="1" s="1"/>
  <c r="M181" i="1"/>
  <c r="B181" i="1" s="1"/>
  <c r="C154" i="1"/>
  <c r="D154" i="1" s="1"/>
  <c r="C5" i="1"/>
  <c r="C8" i="1" s="1"/>
  <c r="C48" i="1"/>
  <c r="D5" i="1"/>
  <c r="D203" i="1" s="1"/>
  <c r="E5" i="1"/>
  <c r="E203" i="1" s="1"/>
  <c r="C196" i="1"/>
  <c r="D196" i="1" s="1"/>
  <c r="E196" i="1" s="1"/>
  <c r="F5" i="1"/>
  <c r="G5" i="1"/>
  <c r="H5" i="1"/>
  <c r="H179" i="1" s="1"/>
  <c r="C172" i="1"/>
  <c r="D172" i="1" s="1"/>
  <c r="E172" i="1" s="1"/>
  <c r="F172" i="1" s="1"/>
  <c r="G172" i="1" s="1"/>
  <c r="H172" i="1" s="1"/>
  <c r="C195" i="1"/>
  <c r="D195" i="1" s="1"/>
  <c r="C221" i="1"/>
  <c r="D221" i="1" s="1"/>
  <c r="E221" i="1" s="1"/>
  <c r="F221" i="1" s="1"/>
  <c r="G221" i="1" s="1"/>
  <c r="H221" i="1" s="1"/>
  <c r="C94" i="1"/>
  <c r="D94" i="1" s="1"/>
  <c r="E94" i="1" s="1"/>
  <c r="F94" i="1"/>
  <c r="G94" i="1" s="1"/>
  <c r="H94" i="1" s="1"/>
  <c r="C174" i="1"/>
  <c r="D174" i="1"/>
  <c r="E174" i="1" s="1"/>
  <c r="F174" i="1" s="1"/>
  <c r="G174" i="1" s="1"/>
  <c r="C197" i="1"/>
  <c r="C203" i="1"/>
  <c r="C179" i="1"/>
  <c r="G247" i="1"/>
  <c r="H247" i="1"/>
  <c r="B152" i="1"/>
  <c r="F247" i="1"/>
  <c r="E247" i="1"/>
  <c r="D247" i="1"/>
  <c r="C247" i="1"/>
  <c r="B247" i="1"/>
  <c r="B251" i="1"/>
  <c r="B252" i="1"/>
  <c r="B179" i="1"/>
  <c r="D152" i="1"/>
  <c r="D179" i="1"/>
  <c r="G73" i="1"/>
  <c r="H73" i="1" s="1"/>
  <c r="H152" i="1"/>
  <c r="H203" i="1"/>
  <c r="C76" i="1"/>
  <c r="C30" i="1"/>
  <c r="B91" i="1"/>
  <c r="B95" i="1" s="1"/>
  <c r="H174" i="1"/>
  <c r="B104" i="1" l="1"/>
  <c r="B257" i="1"/>
  <c r="B267" i="1" s="1"/>
  <c r="B155" i="1"/>
  <c r="B156" i="1" s="1"/>
  <c r="D48" i="1"/>
  <c r="E48" i="1" s="1"/>
  <c r="F48" i="1" s="1"/>
  <c r="G48" i="1" s="1"/>
  <c r="C49" i="1"/>
  <c r="B182" i="1"/>
  <c r="AB66" i="1"/>
  <c r="B18" i="1"/>
  <c r="B19" i="1"/>
  <c r="B17" i="1"/>
  <c r="B34" i="1" s="1"/>
  <c r="AC21" i="1"/>
  <c r="F72" i="1"/>
  <c r="E76" i="1"/>
  <c r="B109" i="1"/>
  <c r="B113" i="1" s="1"/>
  <c r="B256" i="1" s="1"/>
  <c r="B266" i="1" s="1"/>
  <c r="E179" i="1"/>
  <c r="B148" i="1"/>
  <c r="K151" i="1" s="1"/>
  <c r="D215" i="1"/>
  <c r="E215" i="1" s="1"/>
  <c r="F215" i="1" s="1"/>
  <c r="G215" i="1" s="1"/>
  <c r="H215" i="1" s="1"/>
  <c r="C251" i="1"/>
  <c r="F196" i="1"/>
  <c r="AD21" i="1"/>
  <c r="Z21" i="1"/>
  <c r="E152" i="1"/>
  <c r="C112" i="1"/>
  <c r="D112" i="1" s="1"/>
  <c r="E112" i="1" s="1"/>
  <c r="F112" i="1" s="1"/>
  <c r="G112" i="1" s="1"/>
  <c r="H112" i="1" s="1"/>
  <c r="B30" i="1"/>
  <c r="G72" i="1"/>
  <c r="F76" i="1"/>
  <c r="AE21" i="1"/>
  <c r="C205" i="1"/>
  <c r="B149" i="1"/>
  <c r="K152" i="1" s="1"/>
  <c r="B229" i="1"/>
  <c r="B243" i="1" s="1"/>
  <c r="D222" i="1"/>
  <c r="C194" i="1"/>
  <c r="D194" i="1" s="1"/>
  <c r="E194" i="1" s="1"/>
  <c r="F194" i="1" s="1"/>
  <c r="G194" i="1" s="1"/>
  <c r="H194" i="1" s="1"/>
  <c r="E195" i="1"/>
  <c r="F195" i="1" s="1"/>
  <c r="G195" i="1" s="1"/>
  <c r="H195" i="1" s="1"/>
  <c r="H251" i="1" s="1"/>
  <c r="D251" i="1"/>
  <c r="F152" i="1"/>
  <c r="F203" i="1"/>
  <c r="F179" i="1"/>
  <c r="X21" i="1"/>
  <c r="C63" i="1"/>
  <c r="C81" i="1" s="1"/>
  <c r="U81" i="1" s="1"/>
  <c r="B35" i="1"/>
  <c r="T66" i="1"/>
  <c r="D155" i="1"/>
  <c r="E154" i="1"/>
  <c r="B199" i="1"/>
  <c r="K202" i="1" s="1"/>
  <c r="X66" i="1"/>
  <c r="B231" i="1"/>
  <c r="B245" i="1" s="1"/>
  <c r="G196" i="1"/>
  <c r="H196" i="1" s="1"/>
  <c r="D49" i="1"/>
  <c r="B183" i="1"/>
  <c r="C181" i="1"/>
  <c r="D197" i="1"/>
  <c r="E197" i="1" s="1"/>
  <c r="C252" i="1"/>
  <c r="B200" i="1"/>
  <c r="K203" i="1" s="1"/>
  <c r="C220" i="1"/>
  <c r="D220" i="1" s="1"/>
  <c r="B232" i="1"/>
  <c r="B246" i="1" s="1"/>
  <c r="D186" i="1"/>
  <c r="E186" i="1" s="1"/>
  <c r="F186" i="1" s="1"/>
  <c r="G186" i="1" s="1"/>
  <c r="H186" i="1" s="1"/>
  <c r="C193" i="1"/>
  <c r="C148" i="1" s="1"/>
  <c r="L151" i="1" s="1"/>
  <c r="G179" i="1"/>
  <c r="G203" i="1"/>
  <c r="G152" i="1"/>
  <c r="C152" i="1"/>
  <c r="C155" i="1" s="1"/>
  <c r="C156" i="1" s="1"/>
  <c r="D170" i="1"/>
  <c r="D76" i="1"/>
  <c r="Y66" i="1"/>
  <c r="B147" i="1" l="1"/>
  <c r="K150" i="1" s="1"/>
  <c r="B132" i="1"/>
  <c r="B136" i="1" s="1"/>
  <c r="B258" i="1" s="1"/>
  <c r="B268" i="1" s="1"/>
  <c r="Y21" i="1"/>
  <c r="B20" i="1"/>
  <c r="V21" i="1"/>
  <c r="U66" i="1"/>
  <c r="E251" i="1"/>
  <c r="R66" i="1"/>
  <c r="AC66" i="1"/>
  <c r="AD66" i="1"/>
  <c r="B36" i="1"/>
  <c r="D156" i="1"/>
  <c r="C206" i="1"/>
  <c r="C207" i="1" s="1"/>
  <c r="D205" i="1"/>
  <c r="F197" i="1"/>
  <c r="D181" i="1"/>
  <c r="C182" i="1"/>
  <c r="C183" i="1" s="1"/>
  <c r="D252" i="1"/>
  <c r="P21" i="1"/>
  <c r="AA21" i="1"/>
  <c r="C149" i="1"/>
  <c r="L152" i="1" s="1"/>
  <c r="C229" i="1"/>
  <c r="C243" i="1" s="1"/>
  <c r="P66" i="1"/>
  <c r="F251" i="1"/>
  <c r="E170" i="1"/>
  <c r="C9" i="1"/>
  <c r="D8" i="1"/>
  <c r="E8" i="1" s="1"/>
  <c r="F8" i="1" s="1"/>
  <c r="G8" i="1" s="1"/>
  <c r="H8" i="1" s="1"/>
  <c r="W21" i="1"/>
  <c r="D64" i="1"/>
  <c r="D82" i="1" s="1"/>
  <c r="V82" i="1" s="1"/>
  <c r="D65" i="1"/>
  <c r="D83" i="1" s="1"/>
  <c r="V83" i="1" s="1"/>
  <c r="D63" i="1"/>
  <c r="D81" i="1" s="1"/>
  <c r="V81" i="1" s="1"/>
  <c r="E49" i="1"/>
  <c r="D62" i="1"/>
  <c r="C64" i="1"/>
  <c r="C82" i="1" s="1"/>
  <c r="U82" i="1" s="1"/>
  <c r="C65" i="1"/>
  <c r="C83" i="1" s="1"/>
  <c r="U83" i="1" s="1"/>
  <c r="B63" i="1"/>
  <c r="B81" i="1" s="1"/>
  <c r="T81" i="1" s="1"/>
  <c r="AE66" i="1"/>
  <c r="B198" i="1"/>
  <c r="K201" i="1" s="1"/>
  <c r="B230" i="1"/>
  <c r="B244" i="1" s="1"/>
  <c r="AA66" i="1"/>
  <c r="S66" i="1"/>
  <c r="Z66" i="1"/>
  <c r="G251" i="1"/>
  <c r="C228" i="1"/>
  <c r="C242" i="1" s="1"/>
  <c r="D193" i="1"/>
  <c r="E193" i="1" s="1"/>
  <c r="F193" i="1" s="1"/>
  <c r="G193" i="1" s="1"/>
  <c r="H193" i="1" s="1"/>
  <c r="C232" i="1"/>
  <c r="C246" i="1" s="1"/>
  <c r="C200" i="1"/>
  <c r="L203" i="1" s="1"/>
  <c r="B65" i="1"/>
  <c r="B83" i="1" s="1"/>
  <c r="T83" i="1" s="1"/>
  <c r="D219" i="1"/>
  <c r="C199" i="1"/>
  <c r="L202" i="1" s="1"/>
  <c r="C231" i="1"/>
  <c r="C245" i="1" s="1"/>
  <c r="E155" i="1"/>
  <c r="F154" i="1"/>
  <c r="B227" i="1"/>
  <c r="B241" i="1" s="1"/>
  <c r="E222" i="1"/>
  <c r="F222" i="1" s="1"/>
  <c r="G222" i="1" s="1"/>
  <c r="H222" i="1" s="1"/>
  <c r="U21" i="1"/>
  <c r="B64" i="1"/>
  <c r="B82" i="1" s="1"/>
  <c r="T82" i="1" s="1"/>
  <c r="G76" i="1"/>
  <c r="H72" i="1"/>
  <c r="H76" i="1" s="1"/>
  <c r="D148" i="1" l="1"/>
  <c r="M151" i="1" s="1"/>
  <c r="O66" i="1"/>
  <c r="R21" i="1"/>
  <c r="B37" i="1"/>
  <c r="B38" i="1" s="1"/>
  <c r="B39" i="1" s="1"/>
  <c r="B21" i="1"/>
  <c r="B22" i="1" s="1"/>
  <c r="C147" i="1"/>
  <c r="L150" i="1" s="1"/>
  <c r="C227" i="1"/>
  <c r="C241" i="1" s="1"/>
  <c r="D199" i="1"/>
  <c r="M202" i="1" s="1"/>
  <c r="D231" i="1"/>
  <c r="D245" i="1" s="1"/>
  <c r="E219" i="1"/>
  <c r="AB21" i="1"/>
  <c r="T21" i="1"/>
  <c r="S21" i="1"/>
  <c r="Q66" i="1"/>
  <c r="E181" i="1"/>
  <c r="D182" i="1"/>
  <c r="D183" i="1" s="1"/>
  <c r="E156" i="1"/>
  <c r="C198" i="1"/>
  <c r="L201" i="1" s="1"/>
  <c r="C230" i="1"/>
  <c r="C244" i="1" s="1"/>
  <c r="G197" i="1"/>
  <c r="F252" i="1"/>
  <c r="F155" i="1"/>
  <c r="G154" i="1"/>
  <c r="D200" i="1"/>
  <c r="M203" i="1" s="1"/>
  <c r="E220" i="1"/>
  <c r="D232" i="1"/>
  <c r="D246" i="1" s="1"/>
  <c r="W66" i="1"/>
  <c r="C62" i="1"/>
  <c r="D80" i="1"/>
  <c r="D66" i="1"/>
  <c r="D67" i="1" s="1"/>
  <c r="C18" i="1"/>
  <c r="C91" i="1"/>
  <c r="C19" i="1"/>
  <c r="C17" i="1"/>
  <c r="C20" i="1"/>
  <c r="D9" i="1"/>
  <c r="E205" i="1"/>
  <c r="D206" i="1"/>
  <c r="D207" i="1" s="1"/>
  <c r="Q21" i="1"/>
  <c r="E63" i="1"/>
  <c r="E81" i="1" s="1"/>
  <c r="W81" i="1" s="1"/>
  <c r="E64" i="1"/>
  <c r="E82" i="1" s="1"/>
  <c r="W82" i="1" s="1"/>
  <c r="E65" i="1"/>
  <c r="E83" i="1" s="1"/>
  <c r="W83" i="1" s="1"/>
  <c r="F49" i="1"/>
  <c r="E62" i="1"/>
  <c r="D228" i="1"/>
  <c r="D242" i="1" s="1"/>
  <c r="D149" i="1"/>
  <c r="M152" i="1" s="1"/>
  <c r="D229" i="1"/>
  <c r="D243" i="1" s="1"/>
  <c r="E171" i="1"/>
  <c r="B62" i="1"/>
  <c r="V66" i="1"/>
  <c r="O21" i="1"/>
  <c r="F170" i="1"/>
  <c r="E148" i="1"/>
  <c r="N151" i="1" s="1"/>
  <c r="E228" i="1"/>
  <c r="E242" i="1" s="1"/>
  <c r="E252" i="1"/>
  <c r="D227" i="1" l="1"/>
  <c r="D241" i="1" s="1"/>
  <c r="D147" i="1"/>
  <c r="M150" i="1" s="1"/>
  <c r="D198" i="1"/>
  <c r="M201" i="1" s="1"/>
  <c r="D230" i="1"/>
  <c r="D244" i="1" s="1"/>
  <c r="E149" i="1"/>
  <c r="N152" i="1" s="1"/>
  <c r="F171" i="1"/>
  <c r="E229" i="1"/>
  <c r="E243" i="1" s="1"/>
  <c r="E80" i="1"/>
  <c r="E66" i="1"/>
  <c r="E67" i="1" s="1"/>
  <c r="C35" i="1"/>
  <c r="G155" i="1"/>
  <c r="H154" i="1"/>
  <c r="H155" i="1" s="1"/>
  <c r="F156" i="1"/>
  <c r="F205" i="1"/>
  <c r="E206" i="1"/>
  <c r="E207" i="1" s="1"/>
  <c r="C34" i="1"/>
  <c r="C21" i="1"/>
  <c r="C22" i="1" s="1"/>
  <c r="E199" i="1"/>
  <c r="N202" i="1" s="1"/>
  <c r="F219" i="1"/>
  <c r="E231" i="1"/>
  <c r="E245" i="1" s="1"/>
  <c r="F148" i="1"/>
  <c r="O151" i="1" s="1"/>
  <c r="G170" i="1"/>
  <c r="F228" i="1"/>
  <c r="F242" i="1" s="1"/>
  <c r="D17" i="1"/>
  <c r="D20" i="1"/>
  <c r="D91" i="1"/>
  <c r="E9" i="1"/>
  <c r="D18" i="1"/>
  <c r="D19" i="1"/>
  <c r="C95" i="1"/>
  <c r="C109" i="1"/>
  <c r="C80" i="1"/>
  <c r="C66" i="1"/>
  <c r="C67" i="1" s="1"/>
  <c r="H197" i="1"/>
  <c r="H252" i="1" s="1"/>
  <c r="G252" i="1"/>
  <c r="E182" i="1"/>
  <c r="E183" i="1" s="1"/>
  <c r="F181" i="1"/>
  <c r="C37" i="1"/>
  <c r="F64" i="1"/>
  <c r="F82" i="1" s="1"/>
  <c r="X82" i="1" s="1"/>
  <c r="F63" i="1"/>
  <c r="F81" i="1" s="1"/>
  <c r="X81" i="1" s="1"/>
  <c r="F65" i="1"/>
  <c r="F83" i="1" s="1"/>
  <c r="X83" i="1" s="1"/>
  <c r="G49" i="1"/>
  <c r="F62" i="1"/>
  <c r="B66" i="1"/>
  <c r="B67" i="1" s="1"/>
  <c r="B80" i="1"/>
  <c r="C36" i="1"/>
  <c r="V80" i="1"/>
  <c r="D84" i="1"/>
  <c r="D85" i="1" s="1"/>
  <c r="F220" i="1"/>
  <c r="E200" i="1"/>
  <c r="N203" i="1" s="1"/>
  <c r="E232" i="1"/>
  <c r="E246" i="1" s="1"/>
  <c r="C104" i="1" l="1"/>
  <c r="C257" i="1"/>
  <c r="C267" i="1" s="1"/>
  <c r="E147" i="1"/>
  <c r="N150" i="1" s="1"/>
  <c r="E227" i="1"/>
  <c r="E241" i="1" s="1"/>
  <c r="D35" i="1"/>
  <c r="D34" i="1"/>
  <c r="D37" i="1"/>
  <c r="D36" i="1"/>
  <c r="F206" i="1"/>
  <c r="F207" i="1" s="1"/>
  <c r="G205" i="1"/>
  <c r="D21" i="1"/>
  <c r="D22" i="1" s="1"/>
  <c r="F200" i="1"/>
  <c r="O203" i="1" s="1"/>
  <c r="G220" i="1"/>
  <c r="F232" i="1"/>
  <c r="F246" i="1" s="1"/>
  <c r="G63" i="1"/>
  <c r="G81" i="1" s="1"/>
  <c r="Y81" i="1" s="1"/>
  <c r="G65" i="1"/>
  <c r="G83" i="1" s="1"/>
  <c r="Y83" i="1" s="1"/>
  <c r="G64" i="1"/>
  <c r="G82" i="1" s="1"/>
  <c r="Y82" i="1" s="1"/>
  <c r="G62" i="1"/>
  <c r="H49" i="1"/>
  <c r="C113" i="1"/>
  <c r="C256" i="1" s="1"/>
  <c r="C266" i="1" s="1"/>
  <c r="C132" i="1"/>
  <c r="C136" i="1" s="1"/>
  <c r="C258" i="1" s="1"/>
  <c r="C268" i="1" s="1"/>
  <c r="E19" i="1"/>
  <c r="F9" i="1"/>
  <c r="E18" i="1"/>
  <c r="E20" i="1"/>
  <c r="E91" i="1"/>
  <c r="E17" i="1"/>
  <c r="E198" i="1"/>
  <c r="N201" i="1" s="1"/>
  <c r="E230" i="1"/>
  <c r="E244" i="1" s="1"/>
  <c r="G181" i="1"/>
  <c r="F182" i="1"/>
  <c r="F183" i="1" s="1"/>
  <c r="F66" i="1"/>
  <c r="F67" i="1" s="1"/>
  <c r="F80" i="1"/>
  <c r="U80" i="1"/>
  <c r="C84" i="1"/>
  <c r="C85" i="1" s="1"/>
  <c r="C38" i="1"/>
  <c r="C39" i="1" s="1"/>
  <c r="W80" i="1"/>
  <c r="E84" i="1"/>
  <c r="E85" i="1" s="1"/>
  <c r="F199" i="1"/>
  <c r="O202" i="1" s="1"/>
  <c r="G219" i="1"/>
  <c r="F231" i="1"/>
  <c r="F245" i="1" s="1"/>
  <c r="G156" i="1"/>
  <c r="T80" i="1"/>
  <c r="B84" i="1"/>
  <c r="B85" i="1" s="1"/>
  <c r="D95" i="1"/>
  <c r="D109" i="1"/>
  <c r="G148" i="1"/>
  <c r="P151" i="1" s="1"/>
  <c r="H170" i="1"/>
  <c r="G228" i="1"/>
  <c r="G242" i="1" s="1"/>
  <c r="F149" i="1"/>
  <c r="O152" i="1" s="1"/>
  <c r="G171" i="1"/>
  <c r="F229" i="1"/>
  <c r="F243" i="1" s="1"/>
  <c r="F147" i="1" l="1"/>
  <c r="O150" i="1" s="1"/>
  <c r="F227" i="1"/>
  <c r="F241" i="1" s="1"/>
  <c r="F198" i="1"/>
  <c r="O201" i="1" s="1"/>
  <c r="F230" i="1"/>
  <c r="F244" i="1" s="1"/>
  <c r="H148" i="1"/>
  <c r="Q151" i="1" s="1"/>
  <c r="H228" i="1"/>
  <c r="H242" i="1" s="1"/>
  <c r="E21" i="1"/>
  <c r="E22" i="1" s="1"/>
  <c r="H63" i="1"/>
  <c r="H81" i="1" s="1"/>
  <c r="Z81" i="1" s="1"/>
  <c r="H64" i="1"/>
  <c r="H82" i="1" s="1"/>
  <c r="Z82" i="1" s="1"/>
  <c r="H65" i="1"/>
  <c r="H83" i="1" s="1"/>
  <c r="Z83" i="1" s="1"/>
  <c r="H62" i="1"/>
  <c r="D38" i="1"/>
  <c r="D39" i="1" s="1"/>
  <c r="G232" i="1"/>
  <c r="G246" i="1" s="1"/>
  <c r="H220" i="1"/>
  <c r="G200" i="1"/>
  <c r="P203" i="1" s="1"/>
  <c r="G149" i="1"/>
  <c r="P152" i="1" s="1"/>
  <c r="H171" i="1"/>
  <c r="G229" i="1"/>
  <c r="G243" i="1" s="1"/>
  <c r="C122" i="1"/>
  <c r="C167" i="1" s="1"/>
  <c r="C173" i="1" s="1"/>
  <c r="G206" i="1"/>
  <c r="G207" i="1" s="1"/>
  <c r="H205" i="1"/>
  <c r="H206" i="1" s="1"/>
  <c r="D113" i="1"/>
  <c r="D132" i="1"/>
  <c r="D136" i="1" s="1"/>
  <c r="D258" i="1" s="1"/>
  <c r="D268" i="1" s="1"/>
  <c r="X80" i="1"/>
  <c r="F84" i="1"/>
  <c r="F85" i="1" s="1"/>
  <c r="H181" i="1"/>
  <c r="H182" i="1" s="1"/>
  <c r="G182" i="1"/>
  <c r="G183" i="1" s="1"/>
  <c r="F17" i="1"/>
  <c r="F20" i="1"/>
  <c r="F91" i="1"/>
  <c r="F18" i="1"/>
  <c r="G9" i="1"/>
  <c r="F19" i="1"/>
  <c r="D104" i="1"/>
  <c r="D257" i="1"/>
  <c r="D267" i="1" s="1"/>
  <c r="H156" i="1"/>
  <c r="G199" i="1"/>
  <c r="P202" i="1" s="1"/>
  <c r="H219" i="1"/>
  <c r="G231" i="1"/>
  <c r="G245" i="1" s="1"/>
  <c r="E95" i="1"/>
  <c r="E109" i="1"/>
  <c r="E35" i="1"/>
  <c r="E37" i="1"/>
  <c r="E36" i="1"/>
  <c r="G66" i="1"/>
  <c r="G67" i="1" s="1"/>
  <c r="G80" i="1"/>
  <c r="D30" i="1"/>
  <c r="G198" i="1" l="1"/>
  <c r="P201" i="1" s="1"/>
  <c r="G230" i="1"/>
  <c r="G244" i="1" s="1"/>
  <c r="H207" i="1"/>
  <c r="H183" i="1"/>
  <c r="H147" i="1" s="1"/>
  <c r="Q150" i="1" s="1"/>
  <c r="G227" i="1"/>
  <c r="G241" i="1" s="1"/>
  <c r="G147" i="1"/>
  <c r="P150" i="1" s="1"/>
  <c r="H199" i="1"/>
  <c r="Q202" i="1" s="1"/>
  <c r="H231" i="1"/>
  <c r="H245" i="1" s="1"/>
  <c r="G91" i="1"/>
  <c r="G20" i="1"/>
  <c r="H9" i="1"/>
  <c r="G19" i="1"/>
  <c r="G17" i="1"/>
  <c r="G18" i="1"/>
  <c r="F21" i="1"/>
  <c r="F22" i="1" s="1"/>
  <c r="H200" i="1"/>
  <c r="Q203" i="1" s="1"/>
  <c r="H232" i="1"/>
  <c r="H246" i="1" s="1"/>
  <c r="E113" i="1"/>
  <c r="E132" i="1"/>
  <c r="E136" i="1" s="1"/>
  <c r="E258" i="1" s="1"/>
  <c r="E268" i="1" s="1"/>
  <c r="C250" i="1"/>
  <c r="H149" i="1"/>
  <c r="Q152" i="1" s="1"/>
  <c r="H229" i="1"/>
  <c r="H243" i="1" s="1"/>
  <c r="Y80" i="1"/>
  <c r="G84" i="1"/>
  <c r="G85" i="1" s="1"/>
  <c r="E30" i="1"/>
  <c r="E104" i="1"/>
  <c r="E257" i="1"/>
  <c r="E267" i="1" s="1"/>
  <c r="F95" i="1"/>
  <c r="F104" i="1" s="1"/>
  <c r="F109" i="1"/>
  <c r="D122" i="1"/>
  <c r="D167" i="1" s="1"/>
  <c r="D173" i="1" s="1"/>
  <c r="H80" i="1"/>
  <c r="H66" i="1"/>
  <c r="H67" i="1" s="1"/>
  <c r="E34" i="1"/>
  <c r="E38" i="1" s="1"/>
  <c r="E39" i="1" s="1"/>
  <c r="F37" i="1"/>
  <c r="F35" i="1"/>
  <c r="F34" i="1"/>
  <c r="F36" i="1"/>
  <c r="H227" i="1" l="1"/>
  <c r="H241" i="1" s="1"/>
  <c r="D250" i="1"/>
  <c r="G37" i="1"/>
  <c r="G35" i="1"/>
  <c r="G36" i="1"/>
  <c r="F30" i="1"/>
  <c r="F113" i="1"/>
  <c r="F132" i="1"/>
  <c r="F136" i="1" s="1"/>
  <c r="F258" i="1" s="1"/>
  <c r="F268" i="1" s="1"/>
  <c r="E122" i="1"/>
  <c r="E167" i="1" s="1"/>
  <c r="E173" i="1" s="1"/>
  <c r="F38" i="1"/>
  <c r="F39" i="1" s="1"/>
  <c r="H17" i="1"/>
  <c r="H18" i="1"/>
  <c r="H20" i="1"/>
  <c r="H19" i="1"/>
  <c r="H91" i="1"/>
  <c r="H198" i="1"/>
  <c r="Q201" i="1" s="1"/>
  <c r="H230" i="1"/>
  <c r="H244" i="1" s="1"/>
  <c r="Z80" i="1"/>
  <c r="H84" i="1"/>
  <c r="H85" i="1" s="1"/>
  <c r="F257" i="1"/>
  <c r="F267" i="1" s="1"/>
  <c r="G21" i="1"/>
  <c r="G22" i="1" s="1"/>
  <c r="G34" i="1"/>
  <c r="G95" i="1"/>
  <c r="G109" i="1"/>
  <c r="D256" i="1" l="1"/>
  <c r="D266" i="1" s="1"/>
  <c r="E250" i="1"/>
  <c r="E256" i="1" s="1"/>
  <c r="E266" i="1" s="1"/>
  <c r="G38" i="1"/>
  <c r="G39" i="1" s="1"/>
  <c r="H109" i="1"/>
  <c r="H95" i="1"/>
  <c r="H21" i="1"/>
  <c r="H22" i="1" s="1"/>
  <c r="H35" i="1"/>
  <c r="H37" i="1"/>
  <c r="H36" i="1"/>
  <c r="G30" i="1"/>
  <c r="G113" i="1"/>
  <c r="G132" i="1"/>
  <c r="G136" i="1" s="1"/>
  <c r="G258" i="1" s="1"/>
  <c r="G268" i="1" s="1"/>
  <c r="G104" i="1"/>
  <c r="G257" i="1"/>
  <c r="G267" i="1" s="1"/>
  <c r="F122" i="1"/>
  <c r="F167" i="1" s="1"/>
  <c r="F173" i="1" s="1"/>
  <c r="F250" i="1" l="1"/>
  <c r="F256" i="1" s="1"/>
  <c r="F266" i="1" s="1"/>
  <c r="H132" i="1"/>
  <c r="H136" i="1" s="1"/>
  <c r="H258" i="1" s="1"/>
  <c r="H268" i="1" s="1"/>
  <c r="H113" i="1"/>
  <c r="G122" i="1"/>
  <c r="G167" i="1" s="1"/>
  <c r="G173" i="1" s="1"/>
  <c r="H34" i="1"/>
  <c r="H38" i="1" s="1"/>
  <c r="H39" i="1" s="1"/>
  <c r="H104" i="1"/>
  <c r="H257" i="1"/>
  <c r="H267" i="1" s="1"/>
  <c r="G250" i="1" l="1"/>
  <c r="G256" i="1" s="1"/>
  <c r="G266" i="1" s="1"/>
  <c r="H122" i="1"/>
  <c r="H167" i="1" s="1"/>
  <c r="H173" i="1" s="1"/>
  <c r="H250" i="1" s="1"/>
  <c r="H256" i="1" s="1"/>
  <c r="H266" i="1" s="1"/>
</calcChain>
</file>

<file path=xl/sharedStrings.xml><?xml version="1.0" encoding="utf-8"?>
<sst xmlns="http://schemas.openxmlformats.org/spreadsheetml/2006/main" count="297" uniqueCount="178">
  <si>
    <t>Forecasting Retail Total Number of Residential Customers:</t>
  </si>
  <si>
    <t>Ontario Number of Households / Customers</t>
  </si>
  <si>
    <t>Change in</t>
  </si>
  <si>
    <t>Level</t>
  </si>
  <si>
    <t>Ratio</t>
  </si>
  <si>
    <t>Residential</t>
  </si>
  <si>
    <t>Ontario Households</t>
  </si>
  <si>
    <t>Change</t>
  </si>
  <si>
    <t>Retail Total Number of Residential Customers (R1 + R2 + Seasonal + UR)</t>
  </si>
  <si>
    <t>Change (1)</t>
  </si>
  <si>
    <t>Level (2)</t>
  </si>
  <si>
    <t>(1)  Change in the total number of retail residential customers in 2020 was 9.925. For the years 2021 to 2027,</t>
  </si>
  <si>
    <t xml:space="preserve">       the change varies in proportion to change in the forecast of Ontario number of households / customers.</t>
  </si>
  <si>
    <t>(2)  Forecast for each year equals change in the total number of customer in that year plus forecast in the</t>
  </si>
  <si>
    <t xml:space="preserve">       prior year.</t>
  </si>
  <si>
    <t>2020 Number of Residential Customers</t>
  </si>
  <si>
    <t>Allocation of the Residential Customers Forecast into Different Rate Classes, Before Reclassification</t>
  </si>
  <si>
    <t>Allocation Factors for Retail Residential Customers by Rate Class, Before Reclassification</t>
  </si>
  <si>
    <t>Rate Class</t>
  </si>
  <si>
    <t>R1</t>
  </si>
  <si>
    <t>Residential - Medium Density</t>
  </si>
  <si>
    <t>R2</t>
  </si>
  <si>
    <t>Residential - Low Density</t>
  </si>
  <si>
    <t>Seasonal</t>
  </si>
  <si>
    <t>UR</t>
  </si>
  <si>
    <t>Urban Residential</t>
  </si>
  <si>
    <t>Sum</t>
  </si>
  <si>
    <t>Sum Check</t>
  </si>
  <si>
    <t>Allocation of Seasinal to Other Residential Rate Classes</t>
  </si>
  <si>
    <t>Impact of Reclassification on Retail Residential Rate Classes. Includes upgrades and elimination of seasonal rate class in 2023.</t>
  </si>
  <si>
    <t>2,698 R2 customers moved to R1 </t>
  </si>
  <si>
    <r>
      <t>2023</t>
    </r>
    <r>
      <rPr>
        <sz val="11"/>
        <color rgb="FF000000"/>
        <rFont val="Calibri"/>
        <family val="2"/>
      </rPr>
      <t> </t>
    </r>
  </si>
  <si>
    <r>
      <t>2024</t>
    </r>
    <r>
      <rPr>
        <sz val="11"/>
        <color rgb="FF000000"/>
        <rFont val="Calibri"/>
        <family val="2"/>
      </rPr>
      <t> </t>
    </r>
  </si>
  <si>
    <r>
      <t>205</t>
    </r>
    <r>
      <rPr>
        <sz val="11"/>
        <color rgb="FF000000"/>
        <rFont val="Calibri"/>
        <family val="2"/>
      </rPr>
      <t> </t>
    </r>
  </si>
  <si>
    <r>
      <t>2026</t>
    </r>
    <r>
      <rPr>
        <sz val="11"/>
        <color rgb="FF000000"/>
        <rFont val="Calibri"/>
        <family val="2"/>
      </rPr>
      <t> </t>
    </r>
  </si>
  <si>
    <r>
      <t>2027</t>
    </r>
    <r>
      <rPr>
        <sz val="11"/>
        <color rgb="FF000000"/>
        <rFont val="Calibri"/>
        <family val="2"/>
      </rPr>
      <t> </t>
    </r>
  </si>
  <si>
    <t>196  R2 customers moved to UR </t>
  </si>
  <si>
    <t>Seasonal to R1</t>
  </si>
  <si>
    <t>3,806 R1 customers moved to UR </t>
  </si>
  <si>
    <t>Seasonal to R2</t>
  </si>
  <si>
    <t>518 GSe customers moved to UGe </t>
  </si>
  <si>
    <t>Seasonal to UR</t>
  </si>
  <si>
    <t>9 GSd customers moved to UGd </t>
  </si>
  <si>
    <t>226 UR customers to R1 </t>
  </si>
  <si>
    <t>37 UR customers to R2 </t>
  </si>
  <si>
    <t>1,242 R1 customers to R2 </t>
  </si>
  <si>
    <t>Allocation of the Residential Customers Forecast into Different Rate Classes, After Reclassification</t>
  </si>
  <si>
    <r>
      <t>2020</t>
    </r>
    <r>
      <rPr>
        <sz val="11"/>
        <color rgb="FF000000"/>
        <rFont val="Calibri"/>
        <family val="2"/>
      </rPr>
      <t> </t>
    </r>
  </si>
  <si>
    <r>
      <t>2021</t>
    </r>
    <r>
      <rPr>
        <sz val="11"/>
        <color rgb="FF000000"/>
        <rFont val="Calibri"/>
        <family val="2"/>
      </rPr>
      <t> </t>
    </r>
  </si>
  <si>
    <r>
      <t>2022</t>
    </r>
    <r>
      <rPr>
        <sz val="11"/>
        <color rgb="FF000000"/>
        <rFont val="Calibri"/>
        <family val="2"/>
      </rPr>
      <t> </t>
    </r>
  </si>
  <si>
    <r>
      <t>UR</t>
    </r>
    <r>
      <rPr>
        <sz val="11"/>
        <color rgb="FF000000"/>
        <rFont val="Calibri"/>
        <family val="2"/>
      </rPr>
      <t> </t>
    </r>
  </si>
  <si>
    <t>233 </t>
  </si>
  <si>
    <t>232 </t>
  </si>
  <si>
    <r>
      <t>R1</t>
    </r>
    <r>
      <rPr>
        <sz val="11"/>
        <color rgb="FF000000"/>
        <rFont val="Calibri"/>
        <family val="2"/>
      </rPr>
      <t> </t>
    </r>
  </si>
  <si>
    <t>63,955 </t>
  </si>
  <si>
    <t>63,888 </t>
  </si>
  <si>
    <t>63,815 </t>
  </si>
  <si>
    <r>
      <t>R2</t>
    </r>
    <r>
      <rPr>
        <sz val="11"/>
        <color rgb="FF000000"/>
        <rFont val="Calibri"/>
        <family val="2"/>
      </rPr>
      <t> </t>
    </r>
  </si>
  <si>
    <t>78,938 </t>
  </si>
  <si>
    <t>78,856 </t>
  </si>
  <si>
    <t>78,766 </t>
  </si>
  <si>
    <t>Forecasting Retail Total Number of General Service Customers:</t>
  </si>
  <si>
    <t>231 </t>
  </si>
  <si>
    <t>230 </t>
  </si>
  <si>
    <t>229 </t>
  </si>
  <si>
    <t>63,743 </t>
  </si>
  <si>
    <t>63,667 </t>
  </si>
  <si>
    <t>63,579 </t>
  </si>
  <si>
    <t>63,457 </t>
  </si>
  <si>
    <t>63,327 </t>
  </si>
  <si>
    <t>Retail Total Number of General Service Customers (GSe + GSd + UGe + UGd)</t>
  </si>
  <si>
    <t>78,677 </t>
  </si>
  <si>
    <t>78,584 </t>
  </si>
  <si>
    <t>78,475 </t>
  </si>
  <si>
    <t>78,325 </t>
  </si>
  <si>
    <t>78,164 </t>
  </si>
  <si>
    <t>(1)  Change in the total number of retail general service customers in 2020 was 117, which is higher</t>
  </si>
  <si>
    <t xml:space="preserve">       than the 3-year average 35 per year prior to 2020. Given this and economic outlook, the latter figure was </t>
  </si>
  <si>
    <t xml:space="preserve">        considered to be reasonable starting point. It was also assumed that the average annual change over</t>
  </si>
  <si>
    <t xml:space="preserve">       3 years before 2014, 261, is a better measure of annual change in long run. Thus, the annual change was</t>
  </si>
  <si>
    <t xml:space="preserve">       assumed to converge towards this value between 2021 and 2027.</t>
  </si>
  <si>
    <t>Allocation of the General Service Customers Forecast into Different Rate Classes, Before Reclassification</t>
  </si>
  <si>
    <t>Allocation Factors for Retail General Service Customers by Rate Class, Before Reclassification</t>
  </si>
  <si>
    <t>GSd</t>
  </si>
  <si>
    <t>GSe</t>
  </si>
  <si>
    <t>UGd</t>
  </si>
  <si>
    <t>UGe</t>
  </si>
  <si>
    <t>Impact of Reclassification on General Service Rate Classes</t>
  </si>
  <si>
    <t>General Service Energy (GSE) to Urban General Service (UGE)</t>
  </si>
  <si>
    <t>General Service Demand (GSD) to Urban General Service Demand (UGD)</t>
  </si>
  <si>
    <t>Allocation of the General Service Customers Forecast into Different Rate Classes, After Reclassification</t>
  </si>
  <si>
    <t>Note: In 2023 onward, 6 UGD and 21 GSD customers move to ST; the impact of these moves is not shown in this table.</t>
  </si>
  <si>
    <t>Forecasting Retail Number of Street Lightings:</t>
  </si>
  <si>
    <t>Total Retail Residential and General Service Customers</t>
  </si>
  <si>
    <t>Retail Number of Street Lighting Customers</t>
  </si>
  <si>
    <t>Ratio (1)</t>
  </si>
  <si>
    <t>(1)  The ratio of street to total number of residential and general service customers in the year 2020</t>
  </si>
  <si>
    <t xml:space="preserve">       was 0.00416. The same ratio was applied over the forecast year.</t>
  </si>
  <si>
    <t>(2)  Forecast for each year equals the total number of residential and general service</t>
  </si>
  <si>
    <t xml:space="preserve">       customers times the ratio noted above. </t>
  </si>
  <si>
    <t>Forecasting Retail Number of Sentinel Lighting Customers:</t>
  </si>
  <si>
    <t>Retail Number of Sentinel Lighting Customers</t>
  </si>
  <si>
    <t>(1)  Sentinel lighting has been rapidly declining in the past. No new customer can be added to this rate</t>
  </si>
  <si>
    <t xml:space="preserve">       class and the existing ones, if disconnect, cannot be reconnected in accordance with the</t>
  </si>
  <si>
    <t xml:space="preserve">       Distribution Code. Thus the ratio of sentinel lighting to total residential and general service</t>
  </si>
  <si>
    <t xml:space="preserve">       declined at an average annual rate of 4.7 percent. The decline continues over the forecast period</t>
  </si>
  <si>
    <t xml:space="preserve">       at a much moderate rate (2.4 percent) based on an assumption that most of this lights are for</t>
  </si>
  <si>
    <t xml:space="preserve">       security reason so that the decline may decelerate.</t>
  </si>
  <si>
    <t>(2)  Forecast for each year equals the total number of residential and general service customers times</t>
  </si>
  <si>
    <t xml:space="preserve">       the ratio noted above.</t>
  </si>
  <si>
    <t>Percent change in sentinel lighting:</t>
  </si>
  <si>
    <t>Forecasting Retail Number of USL Customers:</t>
  </si>
  <si>
    <t>Retail Number of USL Customers</t>
  </si>
  <si>
    <t>(1)  The ratio of USL number of customers to total retail and general service customers in 2020</t>
  </si>
  <si>
    <t xml:space="preserve">       was 0.00427. The same ratio was applied over the forecast period.</t>
  </si>
  <si>
    <t>GDP Growth</t>
  </si>
  <si>
    <t>Res</t>
  </si>
  <si>
    <t>GSE</t>
  </si>
  <si>
    <t>GSD</t>
  </si>
  <si>
    <t>Number of Customers for Norfolk</t>
  </si>
  <si>
    <t>Norfolk Residential</t>
  </si>
  <si>
    <t>2020 Change in Ontario Households</t>
  </si>
  <si>
    <t>% Changes Based on Elasticity (E) with Respect to Ontario GDP Growth Rates</t>
  </si>
  <si>
    <t>General Service &lt;50kW, E=0.06</t>
  </si>
  <si>
    <t>GS&gt;50 kW, E=0.37</t>
  </si>
  <si>
    <t>Changes in the Number of Customers based on Historical Average.</t>
  </si>
  <si>
    <t>Street Lighting (has 2 contracts only)</t>
  </si>
  <si>
    <t xml:space="preserve">USL 2020 change was -3, average 3 years -1. </t>
  </si>
  <si>
    <t>% Change in Norfolk Sentinel Lighting Based on Elasticity (=1.9) with Respect to Retail Sentinel Lighting After 2020 Actual Change of -6.</t>
  </si>
  <si>
    <t xml:space="preserve">% Change in Norfolk Sentinel Lighting </t>
  </si>
  <si>
    <t>Number of Customers Other than Residential</t>
  </si>
  <si>
    <t>General Service &lt;50kW Customers</t>
  </si>
  <si>
    <t>GS&gt;50 kW</t>
  </si>
  <si>
    <t>Sentinel Lighting</t>
  </si>
  <si>
    <t>USL</t>
  </si>
  <si>
    <t>Number of Customers for Haldimand</t>
  </si>
  <si>
    <t>Haldimand Residential</t>
  </si>
  <si>
    <t>2020 Change in residential</t>
  </si>
  <si>
    <t>Changes in the Number of Customers based on Historical Average</t>
  </si>
  <si>
    <t>Contracts</t>
  </si>
  <si>
    <t>Number of Customers for Woodstock</t>
  </si>
  <si>
    <t>Woodstock Residential</t>
  </si>
  <si>
    <t>2020 change in residential</t>
  </si>
  <si>
    <t>2020 change in Ontario Households</t>
  </si>
  <si>
    <t>General Service &lt;50kW, E=0.42</t>
  </si>
  <si>
    <t>Street Lighting (has 3 contracts only)</t>
  </si>
  <si>
    <t>GS&gt;50 kW *</t>
  </si>
  <si>
    <t>* Includes 7 GS customer &gt; 1000 kW of which one will move to &gt;50 kW and 6 to ST in 2023.</t>
  </si>
  <si>
    <t>Forecast of the Number of Customers for Acquired Utilities by the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</si>
  <si>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</si>
  <si>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</si>
  <si>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</si>
  <si>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</si>
  <si>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</si>
  <si>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</si>
  <si>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E.3</t>
  </si>
  <si>
    <t>Test</t>
  </si>
  <si>
    <t>Forecast of Sentinel Lighting, Street Lighting, and USL Total Number of Customers for Acquired Utilities</t>
  </si>
  <si>
    <t>Sen Lgt</t>
  </si>
  <si>
    <t>Street Lighting</t>
  </si>
  <si>
    <t>Forecast of Sentinel Lighting, Street Lighting, and USL for Total Number of Customers for Retail and Acquired Utilities</t>
  </si>
  <si>
    <t>Sen Lgt *</t>
  </si>
  <si>
    <t>Street Lighting *</t>
  </si>
  <si>
    <t>USL *</t>
  </si>
  <si>
    <t>* Total includes Acquired Utilities in 2023 oward only.</t>
  </si>
  <si>
    <t>From Table E.3 (where only the total for 2023 to 2027 was shown)</t>
  </si>
  <si>
    <t>Sentinel Light *</t>
  </si>
  <si>
    <t>Street Light *</t>
  </si>
  <si>
    <t>Unmetered Scattered Load *</t>
  </si>
  <si>
    <t>Sentinel Light</t>
  </si>
  <si>
    <t>Street Light</t>
  </si>
  <si>
    <t>Unmetered Scattered Load</t>
  </si>
  <si>
    <t>ST Before Reclassification</t>
  </si>
  <si>
    <t>Move from GSd to ST</t>
  </si>
  <si>
    <t>Move from UGd to ST</t>
  </si>
  <si>
    <t>Move from Woodstock GSd to ST</t>
  </si>
  <si>
    <t>Deduct 5 DP for integrating Acquired Utilities</t>
  </si>
  <si>
    <t>ST After Reclassification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</si>
</sst>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"/>
    <numFmt numFmtId="165" formatCode="0.00000"/>
    <numFmt numFmtId="166" formatCode="#,##0.00000"/>
    <numFmt numFmtId="167" formatCode="#,##0.000"/>
    <numFmt numFmtId="168" formatCode="0.000"/>
    <numFmt numFmtId="169" formatCode="0.0"/>
    <numFmt numFmtId="170" formatCode="0.0000"/>
    <numFmt numFmtId="171" formatCode="#,##0.0000"/>
    <numFmt numFmtId="172" formatCode="#,##0.000000"/>
    <numFmt numFmtId="173" formatCode="0.000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1" fontId="0" fillId="0" borderId="0" xfId="0" applyNumberFormat="1"/>
    <xf numFmtId="0" fontId="0" fillId="0" borderId="0" xfId="0" quotePrefix="1"/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2" fontId="0" fillId="0" borderId="0" xfId="0" applyNumberFormat="1"/>
    <xf numFmtId="17" fontId="0" fillId="0" borderId="0" xfId="0" applyNumberFormat="1"/>
    <xf numFmtId="3" fontId="4" fillId="0" borderId="0" xfId="0" applyNumberFormat="1" applyFont="1"/>
    <xf numFmtId="171" fontId="0" fillId="0" borderId="0" xfId="0" applyNumberFormat="1"/>
    <xf numFmtId="172" fontId="0" fillId="0" borderId="0" xfId="0" applyNumberFormat="1"/>
    <xf numFmtId="1" fontId="0" fillId="0" borderId="1" xfId="0" applyNumberForma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3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7"/>
  <sheetViews>
    <sheetView tabSelected="1" workbookViewId="0"/>
  </sheetViews>
  <sheetFormatPr defaultRowHeight="14.45"/>
  <cols>
    <col min="1" max="1" width="41.140625" customWidth="1"/>
    <col min="2" max="6" width="10.42578125" bestFit="1" customWidth="1"/>
    <col min="7" max="9" width="10.42578125" customWidth="1"/>
    <col min="10" max="10" width="42.5703125" customWidth="1"/>
    <col min="11" max="11" width="9.42578125" bestFit="1" customWidth="1"/>
    <col min="13" max="13" width="15" customWidth="1"/>
    <col min="33" max="33" width="32.7109375" customWidth="1"/>
  </cols>
  <sheetData>
    <row r="1" spans="1:34">
      <c r="A1" s="1" t="s">
        <v>0</v>
      </c>
    </row>
    <row r="2" spans="1:34">
      <c r="B2">
        <v>2021</v>
      </c>
      <c r="C2">
        <v>2022</v>
      </c>
      <c r="D2">
        <v>2023</v>
      </c>
      <c r="E2">
        <v>2024</v>
      </c>
      <c r="F2">
        <v>2025</v>
      </c>
      <c r="G2">
        <v>2026</v>
      </c>
      <c r="H2">
        <v>2027</v>
      </c>
      <c r="L2">
        <v>2020</v>
      </c>
      <c r="M2">
        <v>2020</v>
      </c>
    </row>
    <row r="3" spans="1:34">
      <c r="A3" s="2" t="s">
        <v>1</v>
      </c>
      <c r="L3" t="s">
        <v>2</v>
      </c>
      <c r="M3" t="s">
        <v>2</v>
      </c>
    </row>
    <row r="4" spans="1:34">
      <c r="A4" t="s">
        <v>3</v>
      </c>
      <c r="B4" s="3">
        <v>5374948.0449205432</v>
      </c>
      <c r="C4" s="3">
        <v>5432443.9151692428</v>
      </c>
      <c r="D4" s="3">
        <v>5490195.7134966347</v>
      </c>
      <c r="E4" s="3">
        <v>5547807.8171142209</v>
      </c>
      <c r="F4" s="3">
        <v>5604308.1167120412</v>
      </c>
      <c r="G4" s="3">
        <v>5657137.9422790259</v>
      </c>
      <c r="H4" s="3">
        <v>5709167.3271258548</v>
      </c>
      <c r="I4" s="3"/>
      <c r="K4" t="s">
        <v>4</v>
      </c>
      <c r="L4" t="s">
        <v>5</v>
      </c>
      <c r="M4" t="s">
        <v>6</v>
      </c>
    </row>
    <row r="5" spans="1:34">
      <c r="A5" t="s">
        <v>7</v>
      </c>
      <c r="B5" s="3">
        <v>57065.964140656404</v>
      </c>
      <c r="C5" s="3">
        <f>C4-B4</f>
        <v>57495.870248699561</v>
      </c>
      <c r="D5" s="3">
        <f>D4-C4</f>
        <v>57751.798327391967</v>
      </c>
      <c r="E5" s="3">
        <f>E4-D4</f>
        <v>57612.103617586195</v>
      </c>
      <c r="F5" s="3">
        <f>F4-E4</f>
        <v>56500.299597820267</v>
      </c>
      <c r="G5" s="3">
        <f t="shared" ref="G5:H5" si="0">G4-F4</f>
        <v>52829.825566984713</v>
      </c>
      <c r="H5" s="3">
        <f t="shared" si="0"/>
        <v>52029.384846828878</v>
      </c>
      <c r="K5" s="19">
        <f>L5/M5</f>
        <v>0.17139153224909223</v>
      </c>
      <c r="L5" s="5">
        <v>9925</v>
      </c>
      <c r="M5">
        <v>57908.345119264595</v>
      </c>
    </row>
    <row r="6" spans="1:34">
      <c r="B6" s="19">
        <f>B8/B5</f>
        <v>0.1713915322490922</v>
      </c>
      <c r="C6" s="18"/>
      <c r="D6" s="18"/>
      <c r="E6" s="18"/>
      <c r="F6" s="18"/>
      <c r="G6" s="18"/>
      <c r="H6" s="3"/>
      <c r="I6" s="3"/>
    </row>
    <row r="7" spans="1:34">
      <c r="A7" s="2" t="s">
        <v>8</v>
      </c>
      <c r="B7" s="4"/>
      <c r="C7" s="4"/>
      <c r="D7" s="4"/>
      <c r="E7" s="3"/>
      <c r="F7" s="3"/>
      <c r="G7" s="3"/>
      <c r="H7" s="3"/>
      <c r="I7" s="3"/>
    </row>
    <row r="8" spans="1:34">
      <c r="A8" t="s">
        <v>9</v>
      </c>
      <c r="B8" s="3">
        <f>B5*K5</f>
        <v>9780.6230333388521</v>
      </c>
      <c r="C8" s="3">
        <f>B8*(C5/B5)</f>
        <v>9854.3052999196116</v>
      </c>
      <c r="D8" s="3">
        <f>C8*(D5/C5)</f>
        <v>9898.1692054722698</v>
      </c>
      <c r="E8" s="3">
        <f>D8*(E5/D5)</f>
        <v>9874.2267151115666</v>
      </c>
      <c r="F8" s="3">
        <f>E8*(F5/E5)</f>
        <v>9683.6729206031832</v>
      </c>
      <c r="G8" s="3">
        <f t="shared" ref="G8:H8" si="1">F8*(G5/F5)</f>
        <v>9054.5847523777757</v>
      </c>
      <c r="H8" s="3">
        <f t="shared" si="1"/>
        <v>8917.3959908757006</v>
      </c>
      <c r="I8" s="3"/>
      <c r="AG8" s="5"/>
      <c r="AH8" s="5"/>
    </row>
    <row r="9" spans="1:34">
      <c r="A9" t="s">
        <v>10</v>
      </c>
      <c r="B9" s="3">
        <f>B14+B8</f>
        <v>1186204.6230333389</v>
      </c>
      <c r="C9" s="3">
        <f>B9+C8</f>
        <v>1196058.9283332585</v>
      </c>
      <c r="D9" s="3">
        <f>C9+D8</f>
        <v>1205957.0975387308</v>
      </c>
      <c r="E9" s="3">
        <f>D9+E8</f>
        <v>1215831.3242538425</v>
      </c>
      <c r="F9" s="3">
        <f>E9+F8</f>
        <v>1225514.9971744455</v>
      </c>
      <c r="G9" s="3">
        <f t="shared" ref="G9:H9" si="2">F9+G8</f>
        <v>1234569.5819268234</v>
      </c>
      <c r="H9" s="3">
        <f t="shared" si="2"/>
        <v>1243486.9779176991</v>
      </c>
      <c r="I9" s="3"/>
      <c r="AG9" s="5"/>
      <c r="AH9" s="5"/>
    </row>
    <row r="10" spans="1:34">
      <c r="A10" t="s">
        <v>11</v>
      </c>
      <c r="AG10" s="5"/>
      <c r="AH10" s="5"/>
    </row>
    <row r="11" spans="1:34">
      <c r="A11" t="s">
        <v>12</v>
      </c>
      <c r="AG11" s="5"/>
      <c r="AH11" s="5"/>
    </row>
    <row r="12" spans="1:34">
      <c r="A12" t="s">
        <v>13</v>
      </c>
      <c r="AG12" s="5"/>
      <c r="AH12" s="5"/>
    </row>
    <row r="13" spans="1:34">
      <c r="A13" t="s">
        <v>14</v>
      </c>
    </row>
    <row r="14" spans="1:34">
      <c r="A14" t="s">
        <v>15</v>
      </c>
      <c r="B14" s="3">
        <v>1176424</v>
      </c>
      <c r="C14" s="3"/>
    </row>
    <row r="15" spans="1:34">
      <c r="A15" s="1" t="s">
        <v>16</v>
      </c>
      <c r="B15" s="1"/>
      <c r="C15" s="1"/>
      <c r="D15" s="1"/>
      <c r="E15" s="1"/>
      <c r="N15" s="1" t="s">
        <v>17</v>
      </c>
    </row>
    <row r="16" spans="1:34">
      <c r="A16" t="s">
        <v>18</v>
      </c>
      <c r="B16">
        <v>2021</v>
      </c>
      <c r="C16">
        <v>2022</v>
      </c>
      <c r="D16">
        <v>2023</v>
      </c>
      <c r="E16">
        <v>2024</v>
      </c>
      <c r="F16">
        <v>2025</v>
      </c>
      <c r="G16">
        <v>2026</v>
      </c>
      <c r="H16">
        <v>2027</v>
      </c>
      <c r="O16">
        <v>2011</v>
      </c>
      <c r="P16">
        <v>2012</v>
      </c>
      <c r="Q16">
        <v>2013</v>
      </c>
      <c r="R16">
        <v>2014</v>
      </c>
      <c r="S16">
        <v>2015</v>
      </c>
      <c r="T16">
        <v>2016</v>
      </c>
      <c r="U16">
        <v>2017</v>
      </c>
      <c r="V16">
        <v>2018</v>
      </c>
      <c r="W16">
        <v>2019</v>
      </c>
      <c r="X16">
        <v>2020</v>
      </c>
      <c r="Y16">
        <v>2021</v>
      </c>
      <c r="Z16">
        <v>2022</v>
      </c>
      <c r="AA16">
        <v>2023</v>
      </c>
      <c r="AB16">
        <v>2024</v>
      </c>
      <c r="AC16">
        <v>2025</v>
      </c>
      <c r="AD16">
        <v>2026</v>
      </c>
      <c r="AE16">
        <v>2027</v>
      </c>
    </row>
    <row r="17" spans="1:50">
      <c r="A17" t="s">
        <v>19</v>
      </c>
      <c r="B17" s="5">
        <f>B$9*Y17</f>
        <v>472609.97352942545</v>
      </c>
      <c r="C17" s="5">
        <f t="shared" ref="C17:H20" si="3">C$9*Z17</f>
        <v>477465.60894269834</v>
      </c>
      <c r="D17" s="5">
        <f>D$9*AA17</f>
        <v>482346.27143611485</v>
      </c>
      <c r="E17" s="5">
        <f t="shared" si="3"/>
        <v>487224.34901969053</v>
      </c>
      <c r="F17" s="5">
        <f t="shared" si="3"/>
        <v>492032.83720961987</v>
      </c>
      <c r="G17" s="5">
        <f t="shared" si="3"/>
        <v>496594.85489261633</v>
      </c>
      <c r="H17" s="5">
        <f t="shared" si="3"/>
        <v>501107.17552080966</v>
      </c>
      <c r="I17" s="5"/>
      <c r="K17" s="5"/>
      <c r="N17" t="s">
        <v>20</v>
      </c>
      <c r="O17">
        <v>0.37006777056466267</v>
      </c>
      <c r="P17">
        <v>0.36810438617627944</v>
      </c>
      <c r="Q17">
        <v>0.37030420989607565</v>
      </c>
      <c r="R17">
        <v>0.37360434231523765</v>
      </c>
      <c r="S17">
        <v>0.38520569679190148</v>
      </c>
      <c r="T17">
        <v>0.39004159633895719</v>
      </c>
      <c r="U17">
        <v>0.39224031046468938</v>
      </c>
      <c r="V17">
        <v>0.39191796437817611</v>
      </c>
      <c r="W17">
        <v>0.39468615060964474</v>
      </c>
      <c r="X17">
        <v>0.3975981448865375</v>
      </c>
      <c r="Y17">
        <v>0.39842196224195842</v>
      </c>
      <c r="Z17">
        <v>0.39919906756438833</v>
      </c>
      <c r="AA17">
        <v>0.39996967754536866</v>
      </c>
      <c r="AB17">
        <v>0.40073350579176831</v>
      </c>
      <c r="AC17">
        <v>0.40149066991758864</v>
      </c>
      <c r="AD17">
        <v>0.40224128486753125</v>
      </c>
      <c r="AE17">
        <v>0.40298546299209875</v>
      </c>
    </row>
    <row r="18" spans="1:50">
      <c r="A18" t="s">
        <v>21</v>
      </c>
      <c r="B18" s="5">
        <f>B$9*Y18</f>
        <v>334427.8018860622</v>
      </c>
      <c r="C18" s="5">
        <f t="shared" si="3"/>
        <v>336606.77747808135</v>
      </c>
      <c r="D18" s="5">
        <f t="shared" si="3"/>
        <v>338793.4089141314</v>
      </c>
      <c r="E18" s="5">
        <f t="shared" si="3"/>
        <v>340968.80727237702</v>
      </c>
      <c r="F18" s="5">
        <f t="shared" si="3"/>
        <v>343086.40430337458</v>
      </c>
      <c r="G18" s="5">
        <f t="shared" si="3"/>
        <v>345023.95865262294</v>
      </c>
      <c r="H18" s="5">
        <f t="shared" si="3"/>
        <v>346919.64590493054</v>
      </c>
      <c r="I18" s="5"/>
      <c r="K18" s="5"/>
      <c r="N18" t="s">
        <v>22</v>
      </c>
      <c r="O18">
        <v>0.33906354238075737</v>
      </c>
      <c r="P18">
        <v>0.3386152548684585</v>
      </c>
      <c r="Q18">
        <v>0.33785376031988523</v>
      </c>
      <c r="R18">
        <v>0.33508432476944233</v>
      </c>
      <c r="S18">
        <v>0.29227145686473699</v>
      </c>
      <c r="T18">
        <v>0.29022627278441232</v>
      </c>
      <c r="U18">
        <v>0.28960479541417927</v>
      </c>
      <c r="V18">
        <v>0.28450847959366504</v>
      </c>
      <c r="W18">
        <v>0.28386736722448969</v>
      </c>
      <c r="X18">
        <v>0.28250103704106683</v>
      </c>
      <c r="Y18">
        <v>0.28193095473769952</v>
      </c>
      <c r="Z18">
        <v>0.28142992749291401</v>
      </c>
      <c r="AA18">
        <v>0.28093321860751402</v>
      </c>
      <c r="AB18">
        <v>0.28044088063089678</v>
      </c>
      <c r="AC18">
        <v>0.27995284031153972</v>
      </c>
      <c r="AD18">
        <v>0.27946902605046814</v>
      </c>
      <c r="AE18">
        <v>0.27898936785479678</v>
      </c>
    </row>
    <row r="19" spans="1:50">
      <c r="A19" t="s">
        <v>23</v>
      </c>
      <c r="B19" s="5">
        <f>B$9*Y19</f>
        <v>142976.09833246781</v>
      </c>
      <c r="C19" s="5">
        <f t="shared" si="3"/>
        <v>142813.27737455306</v>
      </c>
      <c r="D19" s="5">
        <f t="shared" si="3"/>
        <v>142650.71596486517</v>
      </c>
      <c r="E19" s="5">
        <f t="shared" si="3"/>
        <v>142480.66723184229</v>
      </c>
      <c r="F19" s="5">
        <f t="shared" si="3"/>
        <v>142283.98394060097</v>
      </c>
      <c r="G19" s="5">
        <f t="shared" si="3"/>
        <v>142010.94990745938</v>
      </c>
      <c r="H19" s="5">
        <f t="shared" si="3"/>
        <v>141719.72964541565</v>
      </c>
      <c r="I19" s="5"/>
      <c r="K19" s="5"/>
      <c r="N19" t="s">
        <v>23</v>
      </c>
      <c r="O19">
        <v>0.14448242704197359</v>
      </c>
      <c r="P19">
        <v>0.14024245544091768</v>
      </c>
      <c r="Q19">
        <v>0.13844905466088997</v>
      </c>
      <c r="R19">
        <v>0.13810317035298803</v>
      </c>
      <c r="S19">
        <v>0.13670669411576566</v>
      </c>
      <c r="T19">
        <v>0.13152546981263993</v>
      </c>
      <c r="U19">
        <v>0.12902659085552159</v>
      </c>
      <c r="V19">
        <v>0.1261690656044345</v>
      </c>
      <c r="W19">
        <v>0.12389894890608565</v>
      </c>
      <c r="X19">
        <v>0.12166106777828402</v>
      </c>
      <c r="Y19">
        <v>0.12053240693570404</v>
      </c>
      <c r="Z19">
        <v>0.11940321165744514</v>
      </c>
      <c r="AA19">
        <v>0.11828838377086941</v>
      </c>
      <c r="AB19">
        <v>0.11718785689230608</v>
      </c>
      <c r="AC19">
        <v>0.11610138127126289</v>
      </c>
      <c r="AD19">
        <v>0.11502871282946997</v>
      </c>
      <c r="AE19">
        <v>0.11396961300128343</v>
      </c>
    </row>
    <row r="20" spans="1:50">
      <c r="A20" t="s">
        <v>24</v>
      </c>
      <c r="B20" s="5">
        <f>B$9*Y20</f>
        <v>236190.74928538341</v>
      </c>
      <c r="C20" s="5">
        <f t="shared" si="3"/>
        <v>239173.26453792572</v>
      </c>
      <c r="D20" s="5">
        <f>D$9*AA20</f>
        <v>242166.7012236194</v>
      </c>
      <c r="E20" s="5">
        <f t="shared" si="3"/>
        <v>245157.5007299328</v>
      </c>
      <c r="F20" s="5">
        <f t="shared" si="3"/>
        <v>248111.77172085005</v>
      </c>
      <c r="G20" s="5">
        <f t="shared" si="3"/>
        <v>250939.81847412462</v>
      </c>
      <c r="H20" s="5">
        <f t="shared" si="3"/>
        <v>253740.42684654347</v>
      </c>
      <c r="I20" s="5"/>
      <c r="J20" s="5"/>
      <c r="K20" s="5"/>
      <c r="L20" s="5"/>
      <c r="M20" s="5"/>
      <c r="N20" t="s">
        <v>25</v>
      </c>
      <c r="O20">
        <v>0.14638626001260635</v>
      </c>
      <c r="P20">
        <v>0.15303790351434435</v>
      </c>
      <c r="Q20">
        <v>0.15339297512314909</v>
      </c>
      <c r="R20">
        <v>0.15320816256233197</v>
      </c>
      <c r="S20">
        <v>0.18581615222759598</v>
      </c>
      <c r="T20">
        <v>0.18820666106399056</v>
      </c>
      <c r="U20">
        <v>0.18912830326560975</v>
      </c>
      <c r="V20">
        <v>0.19740449042372435</v>
      </c>
      <c r="W20">
        <v>0.19754753325977992</v>
      </c>
      <c r="X20">
        <v>0.19823975029411164</v>
      </c>
      <c r="Y20">
        <v>0.19911467608463801</v>
      </c>
      <c r="Z20">
        <v>0.19996779328525255</v>
      </c>
      <c r="AA20">
        <v>0.20080872007624792</v>
      </c>
      <c r="AB20">
        <v>0.20163775668502892</v>
      </c>
      <c r="AC20">
        <v>0.20245510849960874</v>
      </c>
      <c r="AD20">
        <v>0.20326097625253056</v>
      </c>
      <c r="AE20">
        <v>0.20405555615182117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>
      <c r="A21" t="s">
        <v>26</v>
      </c>
      <c r="B21" s="5">
        <f t="shared" ref="B21:F21" si="4">SUM(B17:B20)</f>
        <v>1186204.6230333389</v>
      </c>
      <c r="C21" s="5">
        <f t="shared" si="4"/>
        <v>1196058.9283332583</v>
      </c>
      <c r="D21" s="5">
        <f t="shared" si="4"/>
        <v>1205957.0975387308</v>
      </c>
      <c r="E21" s="5">
        <f t="shared" si="4"/>
        <v>1215831.3242538427</v>
      </c>
      <c r="F21" s="5">
        <f t="shared" si="4"/>
        <v>1225514.9971744455</v>
      </c>
      <c r="G21" s="5">
        <f t="shared" ref="G21:H21" si="5">SUM(G17:G20)</f>
        <v>1234569.5819268234</v>
      </c>
      <c r="H21" s="5">
        <f t="shared" si="5"/>
        <v>1243486.9779176994</v>
      </c>
      <c r="I21" s="5"/>
      <c r="J21" s="5"/>
      <c r="K21" s="5"/>
      <c r="L21" s="5"/>
      <c r="M21" s="5"/>
      <c r="O21" s="7">
        <f>SUM(O17:O20)</f>
        <v>0.99999999999999989</v>
      </c>
      <c r="P21" s="7">
        <f t="shared" ref="P21:Z21" si="6">SUM(P17:P20)</f>
        <v>1</v>
      </c>
      <c r="Q21" s="7">
        <f t="shared" si="6"/>
        <v>0.99999999999999989</v>
      </c>
      <c r="R21" s="7">
        <f t="shared" si="6"/>
        <v>0.99999999999999989</v>
      </c>
      <c r="S21" s="7">
        <f t="shared" si="6"/>
        <v>1</v>
      </c>
      <c r="T21" s="7">
        <f t="shared" si="6"/>
        <v>0.99999999999999989</v>
      </c>
      <c r="U21" s="7">
        <f t="shared" si="6"/>
        <v>1</v>
      </c>
      <c r="V21" s="7">
        <f t="shared" si="6"/>
        <v>1</v>
      </c>
      <c r="W21" s="7">
        <f t="shared" si="6"/>
        <v>1</v>
      </c>
      <c r="X21" s="7">
        <f t="shared" si="6"/>
        <v>1</v>
      </c>
      <c r="Y21" s="7">
        <f t="shared" si="6"/>
        <v>1</v>
      </c>
      <c r="Z21" s="7">
        <f t="shared" si="6"/>
        <v>1</v>
      </c>
      <c r="AA21" s="7">
        <f t="shared" ref="AA21:AB21" si="7">SUM(AA17:AA20)</f>
        <v>1</v>
      </c>
      <c r="AB21" s="7">
        <f t="shared" si="7"/>
        <v>1</v>
      </c>
      <c r="AC21" s="7">
        <f t="shared" ref="AC21:AE21" si="8">SUM(AC17:AC20)</f>
        <v>1</v>
      </c>
      <c r="AD21" s="7">
        <f t="shared" si="8"/>
        <v>1</v>
      </c>
      <c r="AE21" s="7">
        <f t="shared" si="8"/>
        <v>1.0000000000000002</v>
      </c>
    </row>
    <row r="22" spans="1:50">
      <c r="A22" t="s">
        <v>27</v>
      </c>
      <c r="B22" s="5">
        <f t="shared" ref="B22:H22" si="9">B21-B9</f>
        <v>0</v>
      </c>
      <c r="C22" s="5">
        <f t="shared" si="9"/>
        <v>0</v>
      </c>
      <c r="D22" s="5">
        <f t="shared" si="9"/>
        <v>0</v>
      </c>
      <c r="E22" s="5">
        <f t="shared" si="9"/>
        <v>0</v>
      </c>
      <c r="F22" s="5">
        <f t="shared" si="9"/>
        <v>0</v>
      </c>
      <c r="G22" s="5">
        <f t="shared" si="9"/>
        <v>0</v>
      </c>
      <c r="H22" s="5">
        <f t="shared" si="9"/>
        <v>0</v>
      </c>
      <c r="I22" s="5"/>
      <c r="J22" s="5"/>
    </row>
    <row r="23" spans="1:50">
      <c r="M23" s="1" t="s">
        <v>28</v>
      </c>
      <c r="N23" s="1"/>
    </row>
    <row r="24" spans="1:50" ht="15" thickBot="1">
      <c r="A24" s="1" t="s">
        <v>29</v>
      </c>
      <c r="D24" s="5"/>
      <c r="J24" t="s">
        <v>30</v>
      </c>
      <c r="M24" s="22"/>
      <c r="N24" s="32" t="s">
        <v>31</v>
      </c>
      <c r="O24" s="32" t="s">
        <v>32</v>
      </c>
      <c r="P24" s="32" t="s">
        <v>33</v>
      </c>
      <c r="Q24" s="32" t="s">
        <v>34</v>
      </c>
      <c r="R24" s="33" t="s">
        <v>35</v>
      </c>
    </row>
    <row r="25" spans="1:50">
      <c r="A25" t="s">
        <v>18</v>
      </c>
      <c r="B25">
        <v>2021</v>
      </c>
      <c r="C25">
        <v>2022</v>
      </c>
      <c r="D25">
        <v>2023</v>
      </c>
      <c r="E25">
        <v>2024</v>
      </c>
      <c r="F25">
        <v>2025</v>
      </c>
      <c r="G25">
        <v>2026</v>
      </c>
      <c r="H25">
        <v>2027</v>
      </c>
      <c r="J25" t="s">
        <v>36</v>
      </c>
      <c r="M25" s="31" t="s">
        <v>37</v>
      </c>
      <c r="N25" s="20">
        <v>63742.595672007854</v>
      </c>
      <c r="O25" s="20">
        <v>63666.610440806602</v>
      </c>
      <c r="P25" s="20">
        <v>63578.723720966213</v>
      </c>
      <c r="Q25" s="20">
        <v>63456.720141373044</v>
      </c>
      <c r="R25" s="20">
        <v>63326.59015717078</v>
      </c>
    </row>
    <row r="26" spans="1:50">
      <c r="A26" t="s">
        <v>19</v>
      </c>
      <c r="B26" s="5">
        <f>2698-3806+226-1242</f>
        <v>-2124</v>
      </c>
      <c r="C26" s="5">
        <f>2698-3806+226-1242</f>
        <v>-2124</v>
      </c>
      <c r="D26" s="5">
        <f>2698-3806+N25+226-1242</f>
        <v>61618.595672007854</v>
      </c>
      <c r="E26" s="5">
        <f>2698-3806+O25+226-1242</f>
        <v>61542.610440806602</v>
      </c>
      <c r="F26" s="5">
        <f>2698-3806+P25+226-1242</f>
        <v>61454.723720966213</v>
      </c>
      <c r="G26" s="5">
        <f>2698-3806+Q25+226-1242</f>
        <v>61332.720141373044</v>
      </c>
      <c r="H26" s="5">
        <f>2698-3806+R25+226-1242</f>
        <v>61202.59015717078</v>
      </c>
      <c r="I26" s="5"/>
      <c r="J26" t="s">
        <v>38</v>
      </c>
      <c r="M26" s="31" t="s">
        <v>39</v>
      </c>
      <c r="N26" s="20">
        <v>78677.37933765231</v>
      </c>
      <c r="O26" s="20">
        <v>78583.592324212135</v>
      </c>
      <c r="P26" s="20">
        <v>78475.115547283553</v>
      </c>
      <c r="Q26" s="20">
        <v>78324.529029638448</v>
      </c>
      <c r="R26" s="20">
        <v>78163.912257347212</v>
      </c>
    </row>
    <row r="27" spans="1:50">
      <c r="A27" t="s">
        <v>21</v>
      </c>
      <c r="B27" s="5">
        <f>-2698-196+37+1242</f>
        <v>-1615</v>
      </c>
      <c r="C27" s="5">
        <f>-2698-196+37+1242</f>
        <v>-1615</v>
      </c>
      <c r="D27" s="5">
        <f>-2698-196+N26+37+1242</f>
        <v>77062.37933765231</v>
      </c>
      <c r="E27" s="5">
        <f>-2698-196+O26+37+1242</f>
        <v>76968.592324212135</v>
      </c>
      <c r="F27" s="5">
        <f>-2698-196+P26+37+1242</f>
        <v>76860.115547283553</v>
      </c>
      <c r="G27" s="5">
        <f>-2698-196+Q26+37+1242</f>
        <v>76709.529029638448</v>
      </c>
      <c r="H27" s="5">
        <f>-2698-196+R26+37+1242</f>
        <v>76548.912257347212</v>
      </c>
      <c r="I27" s="5"/>
      <c r="J27" t="s">
        <v>40</v>
      </c>
      <c r="M27" s="31" t="s">
        <v>41</v>
      </c>
      <c r="N27" s="20">
        <v>230.74095520499364</v>
      </c>
      <c r="O27" s="20">
        <v>230.46446682355122</v>
      </c>
      <c r="P27" s="20">
        <v>230.14467235119395</v>
      </c>
      <c r="Q27" s="20">
        <v>229.70073644787936</v>
      </c>
      <c r="R27" s="20">
        <v>229.2272308976506</v>
      </c>
    </row>
    <row r="28" spans="1:50">
      <c r="A28" t="s">
        <v>23</v>
      </c>
      <c r="B28" s="5"/>
      <c r="C28" s="5"/>
      <c r="D28" s="5">
        <f>-(D26+D27+D29)</f>
        <v>-142650.71596486517</v>
      </c>
      <c r="E28" s="5">
        <f t="shared" ref="E28:H28" si="10">-(E26+E27+E29)</f>
        <v>-142480.66723184229</v>
      </c>
      <c r="F28" s="5">
        <f t="shared" si="10"/>
        <v>-142283.98394060094</v>
      </c>
      <c r="G28" s="5">
        <f t="shared" si="10"/>
        <v>-142010.94990745938</v>
      </c>
      <c r="H28" s="5">
        <f t="shared" si="10"/>
        <v>-141719.72964541562</v>
      </c>
      <c r="I28" s="5"/>
      <c r="J28" t="s">
        <v>42</v>
      </c>
    </row>
    <row r="29" spans="1:50">
      <c r="A29" t="s">
        <v>24</v>
      </c>
      <c r="B29" s="5">
        <f>196+3806-226-37</f>
        <v>3739</v>
      </c>
      <c r="C29" s="5">
        <f>196+3806-226-37</f>
        <v>3739</v>
      </c>
      <c r="D29" s="5">
        <f>196+3806+N27-226-37</f>
        <v>3969.740955204994</v>
      </c>
      <c r="E29" s="5">
        <f>196+3806+O27-226-37</f>
        <v>3969.4644668235514</v>
      </c>
      <c r="F29" s="5">
        <f>196+3806+P27-226-37</f>
        <v>3969.1446723511935</v>
      </c>
      <c r="G29" s="5">
        <f>196+3806+Q27-226-37</f>
        <v>3968.7007364478795</v>
      </c>
      <c r="H29" s="5">
        <f>196+3806+R27-226-37</f>
        <v>3968.2272308976508</v>
      </c>
      <c r="I29" s="5"/>
      <c r="J29" t="s">
        <v>43</v>
      </c>
    </row>
    <row r="30" spans="1:50">
      <c r="A30" t="s">
        <v>26</v>
      </c>
      <c r="B30" s="7">
        <f t="shared" ref="B30:C30" si="11">SUM(B26:B29)</f>
        <v>0</v>
      </c>
      <c r="C30" s="7">
        <f t="shared" si="11"/>
        <v>0</v>
      </c>
      <c r="D30" s="7">
        <f>SUM(D26:D29)</f>
        <v>0</v>
      </c>
      <c r="E30" s="30">
        <f t="shared" ref="E30:G30" si="12">SUM(E26:E29)</f>
        <v>-4.5474735088646412E-12</v>
      </c>
      <c r="F30" s="30">
        <f t="shared" si="12"/>
        <v>0</v>
      </c>
      <c r="G30" s="30">
        <f t="shared" si="12"/>
        <v>0</v>
      </c>
      <c r="H30" s="30">
        <f>SUM(H26:H29)</f>
        <v>1.1823431123048067E-11</v>
      </c>
      <c r="I30" s="5"/>
      <c r="J30" t="s">
        <v>44</v>
      </c>
      <c r="N30" s="1"/>
    </row>
    <row r="31" spans="1:50">
      <c r="B31" s="5"/>
      <c r="C31" s="5"/>
      <c r="D31" s="5"/>
      <c r="E31" s="5"/>
      <c r="F31" s="5"/>
      <c r="G31" s="5"/>
      <c r="H31" s="5"/>
      <c r="I31" s="5"/>
      <c r="J31" t="s">
        <v>45</v>
      </c>
    </row>
    <row r="32" spans="1:50">
      <c r="A32" s="8" t="s">
        <v>46</v>
      </c>
      <c r="Y32" s="5"/>
      <c r="Z32" s="5"/>
    </row>
    <row r="33" spans="1:26">
      <c r="A33" t="s">
        <v>18</v>
      </c>
      <c r="B33">
        <v>2021</v>
      </c>
      <c r="C33">
        <v>2022</v>
      </c>
      <c r="D33">
        <v>2023</v>
      </c>
      <c r="E33">
        <v>2024</v>
      </c>
      <c r="F33">
        <v>2025</v>
      </c>
      <c r="G33">
        <v>2026</v>
      </c>
      <c r="H33">
        <v>2027</v>
      </c>
      <c r="I33" s="5"/>
      <c r="L33" s="7"/>
      <c r="M33" s="5"/>
      <c r="Y33" s="5"/>
      <c r="Z33" s="5"/>
    </row>
    <row r="34" spans="1:26">
      <c r="A34" t="s">
        <v>19</v>
      </c>
      <c r="B34" s="3">
        <f>B17+B26</f>
        <v>470485.97352942545</v>
      </c>
      <c r="C34" s="3">
        <f t="shared" ref="C34:F34" si="13">C17+C26</f>
        <v>475341.60894269834</v>
      </c>
      <c r="D34" s="3">
        <f t="shared" si="13"/>
        <v>543964.86710812268</v>
      </c>
      <c r="E34" s="3">
        <f t="shared" si="13"/>
        <v>548766.95946049714</v>
      </c>
      <c r="F34" s="3">
        <f t="shared" si="13"/>
        <v>553487.56093058607</v>
      </c>
      <c r="G34" s="3">
        <f t="shared" ref="G34:H34" si="14">G17+G26</f>
        <v>557927.57503398939</v>
      </c>
      <c r="H34" s="3">
        <f t="shared" si="14"/>
        <v>562309.76567798038</v>
      </c>
      <c r="I34" s="3"/>
      <c r="L34" s="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5"/>
      <c r="Z34" s="5"/>
    </row>
    <row r="35" spans="1:26">
      <c r="A35" t="s">
        <v>21</v>
      </c>
      <c r="B35" s="3">
        <f t="shared" ref="B35:F37" si="15">B18+B27</f>
        <v>332812.8018860622</v>
      </c>
      <c r="C35" s="3">
        <f t="shared" si="15"/>
        <v>334991.77747808135</v>
      </c>
      <c r="D35" s="3">
        <f t="shared" si="15"/>
        <v>415855.7882517837</v>
      </c>
      <c r="E35" s="3">
        <f t="shared" si="15"/>
        <v>417937.39959658915</v>
      </c>
      <c r="F35" s="3">
        <f t="shared" si="15"/>
        <v>419946.51985065814</v>
      </c>
      <c r="G35" s="3">
        <f t="shared" ref="G35:H35" si="16">G18+G27</f>
        <v>421733.48768226139</v>
      </c>
      <c r="H35" s="3">
        <f t="shared" si="16"/>
        <v>423468.55816227774</v>
      </c>
      <c r="I35" s="3"/>
      <c r="L35" s="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5"/>
      <c r="Z35" s="5"/>
    </row>
    <row r="36" spans="1:26">
      <c r="A36" t="s">
        <v>23</v>
      </c>
      <c r="B36" s="3">
        <f t="shared" si="15"/>
        <v>142976.09833246781</v>
      </c>
      <c r="C36" s="3">
        <f>C19+C28</f>
        <v>142813.27737455306</v>
      </c>
      <c r="D36" s="3">
        <f t="shared" si="15"/>
        <v>0</v>
      </c>
      <c r="E36" s="3">
        <f t="shared" si="15"/>
        <v>0</v>
      </c>
      <c r="F36" s="3">
        <f t="shared" si="15"/>
        <v>0</v>
      </c>
      <c r="G36" s="3">
        <f t="shared" ref="G36:H36" si="17">G19+G28</f>
        <v>0</v>
      </c>
      <c r="H36" s="3">
        <f t="shared" si="17"/>
        <v>0</v>
      </c>
      <c r="I36" s="3"/>
      <c r="L36" s="7"/>
      <c r="M36" s="3"/>
    </row>
    <row r="37" spans="1:26">
      <c r="A37" t="s">
        <v>24</v>
      </c>
      <c r="B37" s="3">
        <f t="shared" si="15"/>
        <v>239929.74928538341</v>
      </c>
      <c r="C37" s="3">
        <f t="shared" si="15"/>
        <v>242912.26453792572</v>
      </c>
      <c r="D37" s="3">
        <f>D20+D29</f>
        <v>246136.44217882439</v>
      </c>
      <c r="E37" s="3">
        <f t="shared" si="15"/>
        <v>249126.96519675635</v>
      </c>
      <c r="F37" s="3">
        <f t="shared" si="15"/>
        <v>252080.91639320125</v>
      </c>
      <c r="G37" s="3">
        <f t="shared" ref="G37:H37" si="18">G20+G29</f>
        <v>254908.5192105725</v>
      </c>
      <c r="H37" s="3">
        <f t="shared" si="18"/>
        <v>257708.65407744111</v>
      </c>
      <c r="I37" s="3"/>
      <c r="L37" s="3"/>
      <c r="M37" s="3"/>
      <c r="N37" s="3"/>
      <c r="O37" s="3"/>
      <c r="P37" s="3"/>
    </row>
    <row r="38" spans="1:26" ht="15" thickBot="1">
      <c r="A38" t="s">
        <v>26</v>
      </c>
      <c r="B38" s="3">
        <f t="shared" ref="B38:F38" si="19">SUM(B34:B37)</f>
        <v>1186204.6230333389</v>
      </c>
      <c r="C38" s="3">
        <f t="shared" si="19"/>
        <v>1196058.9283332583</v>
      </c>
      <c r="D38" s="3">
        <f t="shared" si="19"/>
        <v>1205957.0975387308</v>
      </c>
      <c r="E38" s="3">
        <f t="shared" si="19"/>
        <v>1215831.3242538427</v>
      </c>
      <c r="F38" s="3">
        <f t="shared" si="19"/>
        <v>1225514.9971744455</v>
      </c>
      <c r="G38" s="3">
        <f t="shared" ref="G38:H38" si="20">SUM(G34:G37)</f>
        <v>1234569.5819268234</v>
      </c>
      <c r="H38" s="3">
        <f t="shared" si="20"/>
        <v>1243486.9779176994</v>
      </c>
      <c r="I38" s="3"/>
      <c r="J38" s="22"/>
      <c r="K38" s="23" t="s">
        <v>47</v>
      </c>
      <c r="L38" s="23" t="s">
        <v>48</v>
      </c>
      <c r="M38" s="24" t="s">
        <v>49</v>
      </c>
      <c r="N38" s="3"/>
      <c r="O38" s="3"/>
      <c r="P38" s="3"/>
    </row>
    <row r="39" spans="1:26" ht="15" thickBot="1">
      <c r="A39" t="s">
        <v>27</v>
      </c>
      <c r="B39" s="3">
        <f t="shared" ref="B39:H39" si="21">B38-B9</f>
        <v>0</v>
      </c>
      <c r="C39" s="3">
        <f t="shared" si="21"/>
        <v>0</v>
      </c>
      <c r="D39" s="3">
        <f t="shared" si="21"/>
        <v>0</v>
      </c>
      <c r="E39" s="3">
        <f t="shared" si="21"/>
        <v>0</v>
      </c>
      <c r="F39" s="3">
        <f t="shared" si="21"/>
        <v>0</v>
      </c>
      <c r="G39" s="3">
        <f t="shared" si="21"/>
        <v>0</v>
      </c>
      <c r="H39" s="3">
        <f t="shared" si="21"/>
        <v>0</v>
      </c>
      <c r="I39" s="3"/>
      <c r="J39" s="25" t="s">
        <v>50</v>
      </c>
      <c r="K39" s="21" t="s">
        <v>51</v>
      </c>
      <c r="L39" s="21" t="s">
        <v>52</v>
      </c>
      <c r="M39" s="26" t="s">
        <v>52</v>
      </c>
      <c r="N39" s="3"/>
      <c r="O39" s="3"/>
      <c r="P39" s="3"/>
      <c r="Q39" s="3"/>
      <c r="X39" s="5"/>
      <c r="Y39" s="5"/>
      <c r="Z39" s="5"/>
    </row>
    <row r="40" spans="1:26" ht="15" thickBot="1">
      <c r="B40" s="3">
        <v>471501.97352942545</v>
      </c>
      <c r="C40" s="3">
        <v>476357.60894269834</v>
      </c>
      <c r="D40" s="3">
        <v>544980.86710812268</v>
      </c>
      <c r="E40" s="3">
        <v>549782.95946049714</v>
      </c>
      <c r="F40" s="3">
        <v>554503.56093058607</v>
      </c>
      <c r="G40" s="3">
        <v>558943.57503398939</v>
      </c>
      <c r="H40" s="3">
        <v>563325.76567798038</v>
      </c>
      <c r="I40" s="3"/>
      <c r="J40" s="25" t="s">
        <v>53</v>
      </c>
      <c r="K40" s="21" t="s">
        <v>54</v>
      </c>
      <c r="L40" s="21" t="s">
        <v>55</v>
      </c>
      <c r="M40" s="26" t="s">
        <v>56</v>
      </c>
      <c r="N40" s="3"/>
      <c r="O40" s="3"/>
      <c r="P40" s="3"/>
      <c r="Q40" s="3"/>
      <c r="X40" s="5"/>
      <c r="Y40" s="5"/>
      <c r="Z40" s="5"/>
    </row>
    <row r="41" spans="1:26">
      <c r="B41" s="3">
        <v>331533.8018860622</v>
      </c>
      <c r="C41" s="3">
        <v>333712.77747808135</v>
      </c>
      <c r="D41" s="3">
        <v>414576.7882517837</v>
      </c>
      <c r="E41" s="3">
        <v>416658.39959658915</v>
      </c>
      <c r="F41" s="3">
        <v>418667.51985065814</v>
      </c>
      <c r="G41" s="3">
        <v>420454.48768226139</v>
      </c>
      <c r="H41" s="3">
        <v>422189.55816227774</v>
      </c>
      <c r="I41" s="3"/>
      <c r="J41" s="27" t="s">
        <v>57</v>
      </c>
      <c r="K41" s="28" t="s">
        <v>58</v>
      </c>
      <c r="L41" s="28" t="s">
        <v>59</v>
      </c>
      <c r="M41" s="29" t="s">
        <v>60</v>
      </c>
      <c r="N41" s="3"/>
      <c r="O41" s="3"/>
      <c r="P41" s="3"/>
      <c r="Q41" s="3"/>
      <c r="X41" s="5"/>
      <c r="Y41" s="5"/>
      <c r="Z41" s="5"/>
    </row>
    <row r="42" spans="1:26">
      <c r="B42" s="3">
        <v>142976.09833246781</v>
      </c>
      <c r="C42" s="3">
        <v>142813.27737455306</v>
      </c>
      <c r="D42" s="3"/>
      <c r="E42" s="3"/>
      <c r="F42" s="3"/>
      <c r="G42" s="3"/>
      <c r="H42" s="3"/>
      <c r="I42" s="3"/>
      <c r="L42" s="3"/>
      <c r="M42" s="3"/>
      <c r="N42" s="3"/>
      <c r="O42" s="3"/>
      <c r="P42" s="3"/>
      <c r="Q42" s="3"/>
      <c r="X42" s="5"/>
      <c r="Y42" s="5"/>
      <c r="Z42" s="5"/>
    </row>
    <row r="43" spans="1:26">
      <c r="B43" s="3">
        <v>240192.74928538341</v>
      </c>
      <c r="C43" s="3">
        <v>243175.26453792572</v>
      </c>
      <c r="D43" s="3">
        <v>246399.44217882439</v>
      </c>
      <c r="E43" s="3">
        <v>249389.96519675635</v>
      </c>
      <c r="F43" s="3">
        <v>252343.91639320125</v>
      </c>
      <c r="G43" s="3">
        <v>255171.5192105725</v>
      </c>
      <c r="H43" s="3">
        <v>257971.65407744111</v>
      </c>
      <c r="I43" s="3"/>
      <c r="L43" s="3"/>
      <c r="M43" s="3"/>
      <c r="N43" s="3"/>
      <c r="O43" s="3"/>
      <c r="P43" s="3"/>
      <c r="Q43" s="3"/>
    </row>
    <row r="44" spans="1:26" ht="15" thickBot="1">
      <c r="B44" s="3"/>
      <c r="C44" s="3"/>
      <c r="D44" s="3"/>
      <c r="E44" s="3"/>
      <c r="F44" s="3"/>
      <c r="G44" s="3"/>
      <c r="H44" s="3"/>
      <c r="I44" s="3"/>
      <c r="J44" s="22"/>
      <c r="K44" s="23" t="s">
        <v>31</v>
      </c>
      <c r="L44" s="23" t="s">
        <v>32</v>
      </c>
      <c r="M44" s="23" t="s">
        <v>33</v>
      </c>
      <c r="N44" s="23" t="s">
        <v>34</v>
      </c>
      <c r="O44" s="24" t="s">
        <v>35</v>
      </c>
      <c r="P44" s="3"/>
      <c r="X44" s="5"/>
      <c r="Y44" s="5"/>
      <c r="Z44" s="5"/>
    </row>
    <row r="45" spans="1:26" ht="15" thickBot="1">
      <c r="A45" s="1" t="s">
        <v>61</v>
      </c>
      <c r="J45" s="25" t="s">
        <v>50</v>
      </c>
      <c r="K45" s="21" t="s">
        <v>62</v>
      </c>
      <c r="L45" s="21" t="s">
        <v>63</v>
      </c>
      <c r="M45" s="21" t="s">
        <v>63</v>
      </c>
      <c r="N45" s="21" t="s">
        <v>63</v>
      </c>
      <c r="O45" s="26" t="s">
        <v>64</v>
      </c>
      <c r="P45" s="3"/>
    </row>
    <row r="46" spans="1:26" ht="15" thickBot="1">
      <c r="B46">
        <v>2021</v>
      </c>
      <c r="C46">
        <v>2022</v>
      </c>
      <c r="D46">
        <v>2023</v>
      </c>
      <c r="E46">
        <v>2024</v>
      </c>
      <c r="F46">
        <v>2025</v>
      </c>
      <c r="G46">
        <v>2026</v>
      </c>
      <c r="H46">
        <v>2027</v>
      </c>
      <c r="J46" s="25" t="s">
        <v>53</v>
      </c>
      <c r="K46" s="21" t="s">
        <v>65</v>
      </c>
      <c r="L46" s="21" t="s">
        <v>66</v>
      </c>
      <c r="M46" s="21" t="s">
        <v>67</v>
      </c>
      <c r="N46" s="21" t="s">
        <v>68</v>
      </c>
      <c r="O46" s="26" t="s">
        <v>69</v>
      </c>
      <c r="X46" s="5"/>
      <c r="Y46" s="5"/>
      <c r="Z46" s="5"/>
    </row>
    <row r="47" spans="1:26">
      <c r="A47" s="2" t="s">
        <v>70</v>
      </c>
      <c r="B47" s="4"/>
      <c r="C47" s="4"/>
      <c r="D47" s="4"/>
      <c r="E47" s="3"/>
      <c r="F47" s="3"/>
      <c r="G47" s="3"/>
      <c r="H47" s="3"/>
      <c r="I47" s="3"/>
      <c r="J47" s="27" t="s">
        <v>57</v>
      </c>
      <c r="K47" s="28" t="s">
        <v>71</v>
      </c>
      <c r="L47" s="28" t="s">
        <v>72</v>
      </c>
      <c r="M47" s="28" t="s">
        <v>73</v>
      </c>
      <c r="N47" s="28" t="s">
        <v>74</v>
      </c>
      <c r="O47" s="29" t="s">
        <v>75</v>
      </c>
      <c r="X47" s="5"/>
      <c r="Y47" s="5"/>
      <c r="Z47" s="5"/>
    </row>
    <row r="48" spans="1:26">
      <c r="A48" t="s">
        <v>9</v>
      </c>
      <c r="B48" s="5">
        <v>117</v>
      </c>
      <c r="C48" s="5">
        <f>B48+24</f>
        <v>141</v>
      </c>
      <c r="D48" s="5">
        <f t="shared" ref="D48:G48" si="22">C48+24</f>
        <v>165</v>
      </c>
      <c r="E48" s="5">
        <f t="shared" si="22"/>
        <v>189</v>
      </c>
      <c r="F48" s="5">
        <f t="shared" si="22"/>
        <v>213</v>
      </c>
      <c r="G48" s="5">
        <f t="shared" si="22"/>
        <v>237</v>
      </c>
      <c r="H48" s="5">
        <v>261</v>
      </c>
      <c r="I48" s="5"/>
      <c r="K48" s="5">
        <f>(H48-B48)/6</f>
        <v>24</v>
      </c>
      <c r="X48" s="5"/>
      <c r="Y48" s="5"/>
      <c r="Z48" s="5"/>
    </row>
    <row r="49" spans="1:50">
      <c r="A49" t="s">
        <v>10</v>
      </c>
      <c r="B49" s="3">
        <v>114033.5</v>
      </c>
      <c r="C49" s="3">
        <f>B49+C48</f>
        <v>114174.5</v>
      </c>
      <c r="D49" s="3">
        <f>C49+D48</f>
        <v>114339.5</v>
      </c>
      <c r="E49" s="3">
        <f t="shared" ref="E49:F49" si="23">D49+E48</f>
        <v>114528.5</v>
      </c>
      <c r="F49" s="3">
        <f t="shared" si="23"/>
        <v>114741.5</v>
      </c>
      <c r="G49" s="3">
        <f t="shared" ref="G49" si="24">F49+G48</f>
        <v>114978.5</v>
      </c>
      <c r="H49" s="3">
        <f t="shared" ref="H49" si="25">G49+H48</f>
        <v>115239.5</v>
      </c>
      <c r="K49" s="3">
        <v>116.5</v>
      </c>
      <c r="X49" s="5"/>
      <c r="Y49" s="5"/>
      <c r="Z49" s="5"/>
    </row>
    <row r="50" spans="1:50">
      <c r="A50" t="s">
        <v>76</v>
      </c>
    </row>
    <row r="51" spans="1:50">
      <c r="A51" t="s">
        <v>77</v>
      </c>
      <c r="X51" s="5"/>
      <c r="Y51" s="5"/>
      <c r="Z51" s="5"/>
    </row>
    <row r="52" spans="1:50">
      <c r="A52" t="s">
        <v>78</v>
      </c>
      <c r="O52" s="5"/>
      <c r="P52" s="5"/>
      <c r="Q52" s="5"/>
      <c r="X52" s="5"/>
      <c r="Y52" s="5"/>
      <c r="Z52" s="5"/>
    </row>
    <row r="53" spans="1:50">
      <c r="A53" s="6" t="s">
        <v>79</v>
      </c>
      <c r="U53" s="5"/>
      <c r="V53" s="5"/>
      <c r="W53" s="5"/>
      <c r="X53" s="5"/>
      <c r="Y53" s="5"/>
      <c r="Z53" s="5"/>
    </row>
    <row r="54" spans="1:50">
      <c r="A54" s="6" t="s">
        <v>80</v>
      </c>
      <c r="U54" s="5"/>
      <c r="V54" s="5"/>
      <c r="W54" s="5"/>
      <c r="X54" s="5"/>
      <c r="Y54" s="5"/>
      <c r="Z54" s="5"/>
    </row>
    <row r="55" spans="1:50">
      <c r="A55" t="s">
        <v>13</v>
      </c>
      <c r="T55" s="16"/>
    </row>
    <row r="56" spans="1:50">
      <c r="A56" t="s">
        <v>14</v>
      </c>
    </row>
    <row r="60" spans="1:50">
      <c r="A60" s="1" t="s">
        <v>81</v>
      </c>
      <c r="N60" s="1" t="s">
        <v>82</v>
      </c>
      <c r="AC60" s="1"/>
    </row>
    <row r="61" spans="1:50">
      <c r="A61" t="s">
        <v>18</v>
      </c>
      <c r="B61">
        <v>2021</v>
      </c>
      <c r="C61">
        <v>2022</v>
      </c>
      <c r="D61">
        <v>2023</v>
      </c>
      <c r="E61">
        <v>2024</v>
      </c>
      <c r="F61">
        <v>2025</v>
      </c>
      <c r="G61">
        <v>2026</v>
      </c>
      <c r="H61">
        <v>2027</v>
      </c>
      <c r="O61">
        <v>2011</v>
      </c>
      <c r="P61">
        <v>2012</v>
      </c>
      <c r="Q61">
        <v>2013</v>
      </c>
      <c r="R61">
        <v>2014</v>
      </c>
      <c r="S61">
        <v>2015</v>
      </c>
      <c r="T61">
        <v>2016</v>
      </c>
      <c r="U61">
        <v>2017</v>
      </c>
      <c r="V61">
        <v>2018</v>
      </c>
      <c r="W61">
        <v>2019</v>
      </c>
      <c r="X61">
        <v>2020</v>
      </c>
      <c r="Y61">
        <v>2021</v>
      </c>
      <c r="Z61">
        <v>2022</v>
      </c>
      <c r="AA61">
        <v>2023</v>
      </c>
      <c r="AB61">
        <v>2024</v>
      </c>
      <c r="AC61">
        <v>2025</v>
      </c>
      <c r="AD61">
        <v>2026</v>
      </c>
      <c r="AE61">
        <v>2027</v>
      </c>
    </row>
    <row r="62" spans="1:50">
      <c r="A62" t="s">
        <v>83</v>
      </c>
      <c r="B62" s="3">
        <f>B$49*V62</f>
        <v>5375.5065177237893</v>
      </c>
      <c r="C62" s="3">
        <f t="shared" ref="B62:F65" si="26">C$49*W62</f>
        <v>5428.7591453502164</v>
      </c>
      <c r="D62" s="3">
        <f t="shared" si="26"/>
        <v>5372.5982814367044</v>
      </c>
      <c r="E62" s="3">
        <f t="shared" si="26"/>
        <v>5422.8335205578469</v>
      </c>
      <c r="F62" s="3">
        <f t="shared" si="26"/>
        <v>5469.3095242704903</v>
      </c>
      <c r="G62" s="3">
        <f t="shared" ref="G62:H65" si="27">G$49*AA62</f>
        <v>5516.9304685052348</v>
      </c>
      <c r="H62" s="3">
        <f t="shared" si="27"/>
        <v>5565.7193271298747</v>
      </c>
      <c r="I62" s="3"/>
      <c r="N62" t="s">
        <v>83</v>
      </c>
      <c r="O62">
        <v>6.0769881556683586E-2</v>
      </c>
      <c r="P62">
        <v>5.5248152771685953E-2</v>
      </c>
      <c r="Q62">
        <v>5.6168760857305496E-2</v>
      </c>
      <c r="R62">
        <v>5.7062141935936693E-2</v>
      </c>
      <c r="S62">
        <v>5.3784062819852846E-2</v>
      </c>
      <c r="T62">
        <v>4.6817830002814524E-2</v>
      </c>
      <c r="U62">
        <v>4.6205553322763146E-2</v>
      </c>
      <c r="V62">
        <v>4.7139713485280989E-2</v>
      </c>
      <c r="W62">
        <v>4.7547912584247939E-2</v>
      </c>
      <c r="X62">
        <v>4.6988121178041749E-2</v>
      </c>
      <c r="Y62">
        <v>4.7349205835733876E-2</v>
      </c>
      <c r="Z62">
        <v>4.7666358939620714E-2</v>
      </c>
      <c r="AA62">
        <v>4.7982279021775674E-2</v>
      </c>
      <c r="AB62">
        <v>4.8296975664853414E-2</v>
      </c>
      <c r="AC62">
        <v>4.8610458351700823E-2</v>
      </c>
      <c r="AD62">
        <v>4.8922736466647493E-2</v>
      </c>
      <c r="AE62">
        <v>4.9233819296776386E-2</v>
      </c>
    </row>
    <row r="63" spans="1:50">
      <c r="A63" t="s">
        <v>84</v>
      </c>
      <c r="B63" s="3">
        <f t="shared" si="26"/>
        <v>88753.804978657208</v>
      </c>
      <c r="C63" s="3">
        <f t="shared" si="26"/>
        <v>89065.360260454661</v>
      </c>
      <c r="D63" s="3">
        <f t="shared" si="26"/>
        <v>89312.916531946306</v>
      </c>
      <c r="E63" s="3">
        <f t="shared" si="26"/>
        <v>89349.126999447559</v>
      </c>
      <c r="F63" s="3">
        <f t="shared" si="26"/>
        <v>89408.895687122989</v>
      </c>
      <c r="G63" s="3">
        <f t="shared" si="27"/>
        <v>89487.585546298942</v>
      </c>
      <c r="H63" s="3">
        <f t="shared" si="27"/>
        <v>89585.129145969404</v>
      </c>
      <c r="I63" s="3"/>
      <c r="N63" t="s">
        <v>84</v>
      </c>
      <c r="O63">
        <v>0.82990693739424704</v>
      </c>
      <c r="P63">
        <v>0.83094065251864102</v>
      </c>
      <c r="Q63">
        <v>0.83020073010188278</v>
      </c>
      <c r="R63">
        <v>0.83788526157868415</v>
      </c>
      <c r="S63">
        <v>0.77337739275734485</v>
      </c>
      <c r="T63">
        <v>0.78171615536166617</v>
      </c>
      <c r="U63">
        <v>0.78192144790944385</v>
      </c>
      <c r="V63">
        <v>0.77831343402296005</v>
      </c>
      <c r="W63">
        <v>0.78008101862022305</v>
      </c>
      <c r="X63">
        <v>0.78112040486399104</v>
      </c>
      <c r="Y63">
        <v>0.78014753532481051</v>
      </c>
      <c r="Z63">
        <v>0.77922020966366123</v>
      </c>
      <c r="AA63">
        <v>0.77829842576045905</v>
      </c>
      <c r="AB63">
        <v>0.77738214020339735</v>
      </c>
      <c r="AC63">
        <v>0.7764713100293813</v>
      </c>
      <c r="AD63">
        <v>0.77556589271824194</v>
      </c>
      <c r="AE63">
        <v>0.77466584618704137</v>
      </c>
    </row>
    <row r="64" spans="1:50">
      <c r="A64" t="s">
        <v>85</v>
      </c>
      <c r="B64" s="3">
        <f t="shared" si="26"/>
        <v>1743.9658846871052</v>
      </c>
      <c r="C64" s="3">
        <f t="shared" si="26"/>
        <v>1763.7698350629607</v>
      </c>
      <c r="D64" s="3">
        <f t="shared" si="26"/>
        <v>1739.9663843396359</v>
      </c>
      <c r="E64" s="3">
        <f t="shared" si="26"/>
        <v>1750.2592791246648</v>
      </c>
      <c r="F64" s="3">
        <f t="shared" si="26"/>
        <v>1760.8460991639438</v>
      </c>
      <c r="G64" s="3">
        <f t="shared" si="27"/>
        <v>1771.8028133289815</v>
      </c>
      <c r="H64" s="3">
        <f t="shared" si="27"/>
        <v>1783.1340485635178</v>
      </c>
      <c r="I64" s="3"/>
      <c r="L64" s="13"/>
      <c r="N64" t="s">
        <v>85</v>
      </c>
      <c r="O64">
        <v>1.0761421319796955E-2</v>
      </c>
      <c r="P64">
        <v>9.9952764938088332E-3</v>
      </c>
      <c r="Q64">
        <v>9.9690411212967969E-3</v>
      </c>
      <c r="R64">
        <v>1.0238548530018161E-2</v>
      </c>
      <c r="S64">
        <v>1.6699678960139883E-2</v>
      </c>
      <c r="T64">
        <v>1.5084083872783564E-2</v>
      </c>
      <c r="U64">
        <v>1.5113305627078522E-2</v>
      </c>
      <c r="V64">
        <v>1.5293452228398717E-2</v>
      </c>
      <c r="W64">
        <v>1.5448018910202898E-2</v>
      </c>
      <c r="X64">
        <v>1.5217544106276798E-2</v>
      </c>
      <c r="Y64">
        <v>1.5282303349163438E-2</v>
      </c>
      <c r="Z64">
        <v>1.534620080061655E-2</v>
      </c>
      <c r="AA64">
        <v>1.5409861959661863E-2</v>
      </c>
      <c r="AB64">
        <v>1.5473288660255536E-2</v>
      </c>
      <c r="AC64">
        <v>1.553648271723731E-2</v>
      </c>
      <c r="AD64">
        <v>1.5599445926577582E-2</v>
      </c>
      <c r="AE64">
        <v>1.5662180065620687E-2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>
      <c r="A65" t="s">
        <v>86</v>
      </c>
      <c r="B65" s="3">
        <f t="shared" si="26"/>
        <v>18160.22261893189</v>
      </c>
      <c r="C65" s="3">
        <f t="shared" si="26"/>
        <v>17916.610759132167</v>
      </c>
      <c r="D65" s="3">
        <f t="shared" si="26"/>
        <v>17914.018802277362</v>
      </c>
      <c r="E65" s="3">
        <f t="shared" si="26"/>
        <v>18006.280200869944</v>
      </c>
      <c r="F65" s="3">
        <f t="shared" si="26"/>
        <v>18102.448689442575</v>
      </c>
      <c r="G65" s="3">
        <f t="shared" si="27"/>
        <v>18202.181171866847</v>
      </c>
      <c r="H65" s="3">
        <f t="shared" si="27"/>
        <v>18305.517478337188</v>
      </c>
      <c r="I65" s="3"/>
      <c r="L65" s="13"/>
      <c r="N65" t="s">
        <v>86</v>
      </c>
      <c r="O65">
        <v>9.8561759729272419E-2</v>
      </c>
      <c r="P65">
        <v>0.10381591821586424</v>
      </c>
      <c r="Q65">
        <v>0.10366146791951483</v>
      </c>
      <c r="R65">
        <v>9.4814047955360983E-2</v>
      </c>
      <c r="S65">
        <v>0.15613886546266248</v>
      </c>
      <c r="T65">
        <v>0.15638193076273571</v>
      </c>
      <c r="U65">
        <v>0.1567596931407145</v>
      </c>
      <c r="V65">
        <v>0.15925340026336024</v>
      </c>
      <c r="W65">
        <v>0.15692304988532613</v>
      </c>
      <c r="X65">
        <v>0.15667392985169046</v>
      </c>
      <c r="Y65">
        <v>0.15722095549029233</v>
      </c>
      <c r="Z65">
        <v>0.15776723059610145</v>
      </c>
      <c r="AA65">
        <v>0.15830943325810345</v>
      </c>
      <c r="AB65">
        <v>0.1588475954714936</v>
      </c>
      <c r="AC65">
        <v>0.15938174890168053</v>
      </c>
      <c r="AD65">
        <v>0.15991192488853298</v>
      </c>
      <c r="AE65">
        <v>0.16043815445056164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>
      <c r="A66" t="s">
        <v>26</v>
      </c>
      <c r="B66" s="3">
        <f t="shared" ref="B66:F66" si="28">SUM(B62:B65)</f>
        <v>114033.49999999999</v>
      </c>
      <c r="C66" s="3">
        <f t="shared" si="28"/>
        <v>114174.5</v>
      </c>
      <c r="D66" s="3">
        <f t="shared" si="28"/>
        <v>114339.50000000001</v>
      </c>
      <c r="E66" s="3">
        <f t="shared" si="28"/>
        <v>114528.50000000003</v>
      </c>
      <c r="F66" s="3">
        <f t="shared" si="28"/>
        <v>114741.5</v>
      </c>
      <c r="G66" s="3">
        <f t="shared" ref="G66:H66" si="29">SUM(G62:G65)</f>
        <v>114978.5</v>
      </c>
      <c r="H66" s="3">
        <f t="shared" si="29"/>
        <v>115239.49999999999</v>
      </c>
      <c r="I66" s="3"/>
      <c r="O66" s="9">
        <f>SUM(O62:O65)</f>
        <v>1</v>
      </c>
      <c r="P66" s="9">
        <f t="shared" ref="P66:AE66" si="30">SUM(P62:P65)</f>
        <v>1</v>
      </c>
      <c r="Q66" s="9">
        <f t="shared" si="30"/>
        <v>0.99999999999999989</v>
      </c>
      <c r="R66" s="9">
        <f t="shared" si="30"/>
        <v>1</v>
      </c>
      <c r="S66" s="9">
        <f t="shared" si="30"/>
        <v>1</v>
      </c>
      <c r="T66" s="9">
        <f t="shared" si="30"/>
        <v>1</v>
      </c>
      <c r="U66" s="9">
        <f t="shared" si="30"/>
        <v>1</v>
      </c>
      <c r="V66" s="9">
        <f t="shared" si="30"/>
        <v>1</v>
      </c>
      <c r="W66" s="9">
        <f t="shared" si="30"/>
        <v>1</v>
      </c>
      <c r="X66" s="9">
        <f t="shared" si="30"/>
        <v>1</v>
      </c>
      <c r="Y66" s="9">
        <f t="shared" si="30"/>
        <v>1.0000000000000002</v>
      </c>
      <c r="Z66" s="9">
        <f t="shared" si="30"/>
        <v>0.99999999999999989</v>
      </c>
      <c r="AA66" s="9">
        <f t="shared" si="30"/>
        <v>1</v>
      </c>
      <c r="AB66" s="9">
        <f t="shared" si="30"/>
        <v>1</v>
      </c>
      <c r="AC66" s="9">
        <f t="shared" si="30"/>
        <v>1</v>
      </c>
      <c r="AD66" s="9">
        <f t="shared" si="30"/>
        <v>1</v>
      </c>
      <c r="AE66" s="9">
        <f t="shared" si="30"/>
        <v>1</v>
      </c>
    </row>
    <row r="67" spans="1:50">
      <c r="A67" t="s">
        <v>27</v>
      </c>
      <c r="B67" s="3">
        <f t="shared" ref="B67:F67" si="31">B66-B49</f>
        <v>0</v>
      </c>
      <c r="C67" s="3">
        <f t="shared" si="31"/>
        <v>0</v>
      </c>
      <c r="D67" s="3">
        <f t="shared" si="31"/>
        <v>0</v>
      </c>
      <c r="E67" s="3">
        <f t="shared" si="31"/>
        <v>0</v>
      </c>
      <c r="F67" s="3">
        <f t="shared" si="31"/>
        <v>0</v>
      </c>
      <c r="G67" s="3">
        <f t="shared" ref="G67:H67" si="32">G66-G49</f>
        <v>0</v>
      </c>
      <c r="H67" s="3">
        <f t="shared" si="32"/>
        <v>0</v>
      </c>
      <c r="I67" s="3"/>
      <c r="AC67" s="1"/>
    </row>
    <row r="69" spans="1:50">
      <c r="B69">
        <v>2018</v>
      </c>
      <c r="C69">
        <v>2019</v>
      </c>
      <c r="D69">
        <v>2020</v>
      </c>
      <c r="E69">
        <v>2021</v>
      </c>
      <c r="F69">
        <v>2022</v>
      </c>
      <c r="AK69" s="5"/>
      <c r="AL69" s="5"/>
      <c r="AM69" s="5"/>
      <c r="AN69" s="5"/>
      <c r="AO69" s="5"/>
    </row>
    <row r="70" spans="1:50">
      <c r="A70" s="1" t="s">
        <v>87</v>
      </c>
      <c r="AK70" s="5"/>
      <c r="AL70" s="5"/>
      <c r="AM70" s="5"/>
      <c r="AN70" s="5"/>
      <c r="AO70" s="5"/>
    </row>
    <row r="71" spans="1:50">
      <c r="A71" t="s">
        <v>18</v>
      </c>
      <c r="B71">
        <v>2021</v>
      </c>
      <c r="C71">
        <v>2022</v>
      </c>
      <c r="D71">
        <v>2023</v>
      </c>
      <c r="E71">
        <v>2024</v>
      </c>
      <c r="F71">
        <v>2025</v>
      </c>
      <c r="G71">
        <v>2026</v>
      </c>
      <c r="H71">
        <v>2027</v>
      </c>
      <c r="AK71" s="5"/>
      <c r="AL71" s="5"/>
      <c r="AM71" s="5"/>
      <c r="AN71" s="5"/>
      <c r="AO71" s="5"/>
    </row>
    <row r="72" spans="1:50">
      <c r="A72" t="s">
        <v>83</v>
      </c>
      <c r="B72" s="5">
        <f>-9</f>
        <v>-9</v>
      </c>
      <c r="C72" s="5">
        <f t="shared" ref="C72:D72" si="33">B72</f>
        <v>-9</v>
      </c>
      <c r="D72" s="5">
        <f t="shared" si="33"/>
        <v>-9</v>
      </c>
      <c r="E72" s="5">
        <f>D72</f>
        <v>-9</v>
      </c>
      <c r="F72" s="5">
        <f t="shared" ref="F72:H72" si="34">E72</f>
        <v>-9</v>
      </c>
      <c r="G72" s="5">
        <f t="shared" si="34"/>
        <v>-9</v>
      </c>
      <c r="H72" s="5">
        <f t="shared" si="34"/>
        <v>-9</v>
      </c>
      <c r="I72" s="5"/>
      <c r="J72" t="s">
        <v>88</v>
      </c>
      <c r="L72" s="5">
        <v>518</v>
      </c>
      <c r="AK72" s="5"/>
      <c r="AL72" s="5"/>
      <c r="AM72" s="5"/>
      <c r="AN72" s="5"/>
      <c r="AO72" s="5"/>
    </row>
    <row r="73" spans="1:50">
      <c r="A73" t="s">
        <v>84</v>
      </c>
      <c r="B73" s="5">
        <f>-518</f>
        <v>-518</v>
      </c>
      <c r="C73" s="5">
        <f t="shared" ref="C73:D74" si="35">B73</f>
        <v>-518</v>
      </c>
      <c r="D73" s="5">
        <f t="shared" si="35"/>
        <v>-518</v>
      </c>
      <c r="E73" s="5">
        <f>D73</f>
        <v>-518</v>
      </c>
      <c r="F73" s="5">
        <f>E73</f>
        <v>-518</v>
      </c>
      <c r="G73" s="5">
        <f t="shared" ref="E73:H75" si="36">F73</f>
        <v>-518</v>
      </c>
      <c r="H73" s="5">
        <f t="shared" si="36"/>
        <v>-518</v>
      </c>
      <c r="I73" s="5"/>
      <c r="J73" t="s">
        <v>89</v>
      </c>
      <c r="L73" s="5">
        <v>9</v>
      </c>
    </row>
    <row r="74" spans="1:50">
      <c r="A74" t="s">
        <v>85</v>
      </c>
      <c r="B74" s="5">
        <f>9</f>
        <v>9</v>
      </c>
      <c r="C74" s="5">
        <f t="shared" si="35"/>
        <v>9</v>
      </c>
      <c r="D74" s="5">
        <f t="shared" si="35"/>
        <v>9</v>
      </c>
      <c r="E74" s="5">
        <f t="shared" si="36"/>
        <v>9</v>
      </c>
      <c r="F74" s="5">
        <f t="shared" si="36"/>
        <v>9</v>
      </c>
      <c r="G74" s="5">
        <f t="shared" si="36"/>
        <v>9</v>
      </c>
      <c r="H74" s="5">
        <f t="shared" si="36"/>
        <v>9</v>
      </c>
      <c r="I74" s="5"/>
      <c r="AC74" s="1"/>
    </row>
    <row r="75" spans="1:50">
      <c r="A75" t="s">
        <v>86</v>
      </c>
      <c r="B75" s="5">
        <f>518</f>
        <v>518</v>
      </c>
      <c r="C75" s="5">
        <f t="shared" ref="C75" si="37">B75</f>
        <v>518</v>
      </c>
      <c r="D75" s="5">
        <f t="shared" ref="D75" si="38">C75</f>
        <v>518</v>
      </c>
      <c r="E75" s="5">
        <f t="shared" si="36"/>
        <v>518</v>
      </c>
      <c r="F75" s="5">
        <f t="shared" si="36"/>
        <v>518</v>
      </c>
      <c r="G75" s="5">
        <f t="shared" si="36"/>
        <v>518</v>
      </c>
      <c r="H75" s="5">
        <f t="shared" si="36"/>
        <v>518</v>
      </c>
      <c r="I75" s="5"/>
    </row>
    <row r="76" spans="1:50">
      <c r="A76" t="s">
        <v>26</v>
      </c>
      <c r="B76" s="5">
        <f t="shared" ref="B76:C76" si="39">SUM(B72:B75)</f>
        <v>0</v>
      </c>
      <c r="C76" s="5">
        <f t="shared" si="39"/>
        <v>0</v>
      </c>
      <c r="D76" s="5">
        <f>SUM(D72:D75)</f>
        <v>0</v>
      </c>
      <c r="E76" s="5">
        <f t="shared" ref="E76:H76" si="40">SUM(E72:E75)</f>
        <v>0</v>
      </c>
      <c r="F76" s="5">
        <f t="shared" si="40"/>
        <v>0</v>
      </c>
      <c r="G76" s="5">
        <f t="shared" si="40"/>
        <v>0</v>
      </c>
      <c r="H76" s="5">
        <f t="shared" si="40"/>
        <v>0</v>
      </c>
      <c r="I76" s="5"/>
      <c r="AK76" s="5"/>
      <c r="AL76" s="5"/>
      <c r="AM76" s="5"/>
      <c r="AN76" s="5"/>
      <c r="AO76" s="5"/>
    </row>
    <row r="77" spans="1:50">
      <c r="AK77" s="5"/>
      <c r="AL77" s="5"/>
      <c r="AM77" s="5"/>
      <c r="AN77" s="5"/>
      <c r="AO77" s="5"/>
    </row>
    <row r="78" spans="1:50">
      <c r="A78" s="1" t="s">
        <v>90</v>
      </c>
      <c r="AK78" s="5"/>
      <c r="AL78" s="5"/>
      <c r="AM78" s="5"/>
      <c r="AN78" s="5"/>
      <c r="AO78" s="5"/>
    </row>
    <row r="79" spans="1:50">
      <c r="A79" t="s">
        <v>18</v>
      </c>
      <c r="B79">
        <v>2021</v>
      </c>
      <c r="C79">
        <v>2022</v>
      </c>
      <c r="D79">
        <v>2023</v>
      </c>
      <c r="E79">
        <v>2024</v>
      </c>
      <c r="F79">
        <v>2025</v>
      </c>
      <c r="G79">
        <v>2026</v>
      </c>
      <c r="H79">
        <v>2027</v>
      </c>
      <c r="AK79" s="5"/>
      <c r="AL79" s="5"/>
      <c r="AM79" s="5"/>
      <c r="AN79" s="5"/>
      <c r="AO79" s="5"/>
    </row>
    <row r="80" spans="1:50">
      <c r="A80" t="s">
        <v>83</v>
      </c>
      <c r="B80" s="3">
        <f t="shared" ref="B80:F80" si="41">B62+B72</f>
        <v>5366.5065177237893</v>
      </c>
      <c r="C80" s="3">
        <f t="shared" si="41"/>
        <v>5419.7591453502164</v>
      </c>
      <c r="D80" s="3">
        <f t="shared" si="41"/>
        <v>5363.5982814367044</v>
      </c>
      <c r="E80" s="3">
        <f t="shared" si="41"/>
        <v>5413.8335205578469</v>
      </c>
      <c r="F80" s="3">
        <f t="shared" si="41"/>
        <v>5460.3095242704903</v>
      </c>
      <c r="G80" s="3">
        <f t="shared" ref="G80:H80" si="42">G62+G72</f>
        <v>5507.9304685052348</v>
      </c>
      <c r="H80" s="3">
        <f t="shared" si="42"/>
        <v>5556.7193271298747</v>
      </c>
      <c r="I80" s="3"/>
      <c r="J80" s="3"/>
      <c r="K80" s="3">
        <v>5366.5065177237893</v>
      </c>
      <c r="L80">
        <v>5419.7591453502164</v>
      </c>
      <c r="M80">
        <v>5342.5982814367044</v>
      </c>
      <c r="N80">
        <v>5392.8335205578469</v>
      </c>
      <c r="O80">
        <v>5439.3095242704903</v>
      </c>
      <c r="P80">
        <v>5486.9304685052348</v>
      </c>
      <c r="Q80">
        <v>5535.7193271298747</v>
      </c>
      <c r="S80" t="s">
        <v>83</v>
      </c>
      <c r="T80" s="3">
        <f>K80-B80</f>
        <v>0</v>
      </c>
      <c r="U80" s="3">
        <f t="shared" ref="U80:Z83" si="43">L80-C80</f>
        <v>0</v>
      </c>
      <c r="V80" s="3">
        <f t="shared" si="43"/>
        <v>-21</v>
      </c>
      <c r="W80" s="3">
        <f t="shared" si="43"/>
        <v>-21</v>
      </c>
      <c r="X80" s="3">
        <f t="shared" si="43"/>
        <v>-21</v>
      </c>
      <c r="Y80" s="3">
        <f t="shared" si="43"/>
        <v>-21</v>
      </c>
      <c r="Z80" s="3">
        <f t="shared" si="43"/>
        <v>-21</v>
      </c>
    </row>
    <row r="81" spans="1:41">
      <c r="A81" t="s">
        <v>84</v>
      </c>
      <c r="B81" s="3">
        <f t="shared" ref="B81:F83" si="44">B63+B73</f>
        <v>88235.804978657208</v>
      </c>
      <c r="C81" s="3">
        <f t="shared" si="44"/>
        <v>88547.360260454661</v>
      </c>
      <c r="D81" s="3">
        <f t="shared" si="44"/>
        <v>88794.916531946306</v>
      </c>
      <c r="E81" s="3">
        <f t="shared" si="44"/>
        <v>88831.126999447559</v>
      </c>
      <c r="F81" s="3">
        <f t="shared" si="44"/>
        <v>88890.895687122989</v>
      </c>
      <c r="G81" s="3">
        <f t="shared" ref="G81:H81" si="45">G63+G73</f>
        <v>88969.585546298942</v>
      </c>
      <c r="H81" s="3">
        <f t="shared" si="45"/>
        <v>89067.129145969404</v>
      </c>
      <c r="I81" s="3"/>
      <c r="J81" s="3"/>
      <c r="K81" s="3">
        <v>88235.804978657208</v>
      </c>
      <c r="L81">
        <v>88547.360260454661</v>
      </c>
      <c r="M81">
        <v>88794.916531946306</v>
      </c>
      <c r="N81">
        <v>88831.126999447559</v>
      </c>
      <c r="O81">
        <v>88890.895687122989</v>
      </c>
      <c r="P81">
        <v>88969.585546298942</v>
      </c>
      <c r="Q81">
        <v>89067.129145969404</v>
      </c>
      <c r="S81" t="s">
        <v>84</v>
      </c>
      <c r="T81" s="3">
        <f t="shared" ref="T81:T83" si="46">K81-B81</f>
        <v>0</v>
      </c>
      <c r="U81" s="3">
        <f t="shared" si="43"/>
        <v>0</v>
      </c>
      <c r="V81" s="3">
        <f t="shared" si="43"/>
        <v>0</v>
      </c>
      <c r="W81" s="3">
        <f t="shared" si="43"/>
        <v>0</v>
      </c>
      <c r="X81" s="3">
        <f t="shared" si="43"/>
        <v>0</v>
      </c>
      <c r="Y81" s="3">
        <f t="shared" si="43"/>
        <v>0</v>
      </c>
      <c r="Z81" s="3">
        <f t="shared" si="43"/>
        <v>0</v>
      </c>
      <c r="AC81" s="1"/>
      <c r="AK81" s="5"/>
      <c r="AL81" s="5"/>
      <c r="AM81" s="5"/>
      <c r="AN81" s="5"/>
      <c r="AO81" s="5"/>
    </row>
    <row r="82" spans="1:41">
      <c r="A82" t="s">
        <v>85</v>
      </c>
      <c r="B82" s="3">
        <f t="shared" si="44"/>
        <v>1752.9658846871052</v>
      </c>
      <c r="C82" s="3">
        <f t="shared" si="44"/>
        <v>1772.7698350629607</v>
      </c>
      <c r="D82" s="3">
        <f t="shared" si="44"/>
        <v>1748.9663843396359</v>
      </c>
      <c r="E82" s="3">
        <f t="shared" si="44"/>
        <v>1759.2592791246648</v>
      </c>
      <c r="F82" s="3">
        <f t="shared" si="44"/>
        <v>1769.8460991639438</v>
      </c>
      <c r="G82" s="3">
        <f t="shared" ref="G82:H82" si="47">G64+G74</f>
        <v>1780.8028133289815</v>
      </c>
      <c r="H82" s="3">
        <f t="shared" si="47"/>
        <v>1792.1340485635178</v>
      </c>
      <c r="I82" s="3"/>
      <c r="J82" s="3"/>
      <c r="K82" s="3">
        <v>1752.9658846871052</v>
      </c>
      <c r="L82">
        <v>1772.7698350629607</v>
      </c>
      <c r="M82">
        <v>1742.9663843396359</v>
      </c>
      <c r="N82">
        <v>1753.2592791246648</v>
      </c>
      <c r="O82">
        <v>1763.8460991639438</v>
      </c>
      <c r="P82">
        <v>1774.8028133289815</v>
      </c>
      <c r="Q82">
        <v>1786.1340485635178</v>
      </c>
      <c r="T82" s="3">
        <f t="shared" si="46"/>
        <v>0</v>
      </c>
      <c r="U82" s="3">
        <f t="shared" si="43"/>
        <v>0</v>
      </c>
      <c r="V82" s="3">
        <f t="shared" si="43"/>
        <v>-6</v>
      </c>
      <c r="W82" s="3">
        <f t="shared" si="43"/>
        <v>-6</v>
      </c>
      <c r="X82" s="3">
        <f t="shared" si="43"/>
        <v>-6</v>
      </c>
      <c r="Y82" s="3">
        <f t="shared" si="43"/>
        <v>-6</v>
      </c>
      <c r="Z82" s="3">
        <f t="shared" si="43"/>
        <v>-6</v>
      </c>
    </row>
    <row r="83" spans="1:41">
      <c r="A83" t="s">
        <v>86</v>
      </c>
      <c r="B83" s="3">
        <f>B65+B75</f>
        <v>18678.22261893189</v>
      </c>
      <c r="C83" s="3">
        <f t="shared" si="44"/>
        <v>18434.610759132167</v>
      </c>
      <c r="D83" s="3">
        <f t="shared" si="44"/>
        <v>18432.018802277362</v>
      </c>
      <c r="E83" s="3">
        <f t="shared" si="44"/>
        <v>18524.280200869944</v>
      </c>
      <c r="F83" s="3">
        <f t="shared" si="44"/>
        <v>18620.448689442575</v>
      </c>
      <c r="G83" s="3">
        <f t="shared" ref="G83:H83" si="48">G65+G75</f>
        <v>18720.181171866847</v>
      </c>
      <c r="H83" s="3">
        <f t="shared" si="48"/>
        <v>18823.517478337188</v>
      </c>
      <c r="I83" s="3"/>
      <c r="J83" s="3"/>
      <c r="K83" s="3">
        <v>18678.22261893189</v>
      </c>
      <c r="L83">
        <v>18434.610759132167</v>
      </c>
      <c r="M83">
        <v>18432.018802277362</v>
      </c>
      <c r="N83">
        <v>18524.280200869944</v>
      </c>
      <c r="O83">
        <v>18620.448689442575</v>
      </c>
      <c r="P83">
        <v>18720.181171866847</v>
      </c>
      <c r="Q83">
        <v>18823.517478337188</v>
      </c>
      <c r="T83" s="3">
        <f t="shared" si="46"/>
        <v>0</v>
      </c>
      <c r="U83" s="3">
        <f t="shared" si="43"/>
        <v>0</v>
      </c>
      <c r="V83" s="3">
        <f t="shared" si="43"/>
        <v>0</v>
      </c>
      <c r="W83" s="3">
        <f t="shared" si="43"/>
        <v>0</v>
      </c>
      <c r="X83" s="3">
        <f t="shared" si="43"/>
        <v>0</v>
      </c>
      <c r="Y83" s="3">
        <f t="shared" si="43"/>
        <v>0</v>
      </c>
      <c r="Z83" s="3">
        <f t="shared" si="43"/>
        <v>0</v>
      </c>
    </row>
    <row r="84" spans="1:41">
      <c r="A84" t="s">
        <v>26</v>
      </c>
      <c r="B84" s="3">
        <f t="shared" ref="B84:F84" si="49">SUM(B80:B83)</f>
        <v>114033.49999999999</v>
      </c>
      <c r="C84" s="3">
        <f t="shared" si="49"/>
        <v>114174.5</v>
      </c>
      <c r="D84" s="3">
        <f t="shared" si="49"/>
        <v>114339.50000000001</v>
      </c>
      <c r="E84" s="3">
        <f t="shared" si="49"/>
        <v>114528.50000000003</v>
      </c>
      <c r="F84" s="3">
        <f t="shared" si="49"/>
        <v>114741.5</v>
      </c>
      <c r="G84" s="3">
        <f t="shared" ref="G84:H84" si="50">SUM(G80:G83)</f>
        <v>114978.5</v>
      </c>
      <c r="H84" s="3">
        <f t="shared" si="50"/>
        <v>115239.49999999999</v>
      </c>
      <c r="I84" s="3"/>
    </row>
    <row r="85" spans="1:41">
      <c r="A85" t="s">
        <v>27</v>
      </c>
      <c r="B85" s="3">
        <f t="shared" ref="B85:F85" si="51">B84-B49</f>
        <v>0</v>
      </c>
      <c r="C85" s="3">
        <f t="shared" si="51"/>
        <v>0</v>
      </c>
      <c r="D85" s="3">
        <f t="shared" si="51"/>
        <v>0</v>
      </c>
      <c r="E85" s="3">
        <f t="shared" si="51"/>
        <v>0</v>
      </c>
      <c r="F85" s="3">
        <f t="shared" si="51"/>
        <v>0</v>
      </c>
      <c r="G85" s="3">
        <f t="shared" ref="G85:H85" si="52">G84-G49</f>
        <v>0</v>
      </c>
      <c r="H85" s="3">
        <f t="shared" si="52"/>
        <v>0</v>
      </c>
      <c r="I85" s="3"/>
    </row>
    <row r="86" spans="1:41">
      <c r="A86" t="s">
        <v>91</v>
      </c>
      <c r="B86" s="3"/>
      <c r="C86" s="3"/>
      <c r="D86" s="3"/>
      <c r="E86" s="3"/>
      <c r="F86" s="3"/>
      <c r="G86" s="3"/>
      <c r="H86" s="3"/>
      <c r="I86" s="3"/>
    </row>
    <row r="88" spans="1:41">
      <c r="A88" s="1" t="s">
        <v>92</v>
      </c>
      <c r="AK88" s="5"/>
      <c r="AL88" s="5"/>
      <c r="AM88" s="5"/>
      <c r="AN88" s="5"/>
      <c r="AO88" s="5"/>
    </row>
    <row r="89" spans="1:41">
      <c r="B89">
        <v>2021</v>
      </c>
      <c r="C89">
        <v>2022</v>
      </c>
      <c r="D89">
        <v>2023</v>
      </c>
      <c r="E89">
        <v>2024</v>
      </c>
      <c r="F89">
        <v>2025</v>
      </c>
      <c r="G89">
        <v>2026</v>
      </c>
      <c r="H89">
        <v>2027</v>
      </c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>
      <c r="A90" s="2" t="s">
        <v>93</v>
      </c>
      <c r="AJ90" s="5"/>
      <c r="AK90" s="5"/>
      <c r="AL90" s="5"/>
      <c r="AM90" s="5"/>
      <c r="AN90" s="5"/>
      <c r="AO90" s="5"/>
    </row>
    <row r="91" spans="1:41">
      <c r="A91" t="s">
        <v>3</v>
      </c>
      <c r="B91" s="3">
        <f t="shared" ref="B91:H91" si="53">B9+B49</f>
        <v>1300238.1230333389</v>
      </c>
      <c r="C91" s="3">
        <f t="shared" si="53"/>
        <v>1310233.4283332585</v>
      </c>
      <c r="D91" s="3">
        <f t="shared" si="53"/>
        <v>1320296.5975387308</v>
      </c>
      <c r="E91" s="3">
        <f t="shared" si="53"/>
        <v>1330359.8242538425</v>
      </c>
      <c r="F91" s="3">
        <f t="shared" si="53"/>
        <v>1340256.4971744455</v>
      </c>
      <c r="G91" s="3">
        <f t="shared" si="53"/>
        <v>1349548.0819268234</v>
      </c>
      <c r="H91" s="3">
        <f t="shared" si="53"/>
        <v>1358726.4779176991</v>
      </c>
      <c r="I91" s="3"/>
      <c r="AJ91" s="5"/>
      <c r="AK91" s="5"/>
      <c r="AL91" s="5"/>
      <c r="AM91" s="5"/>
      <c r="AN91" s="5"/>
      <c r="AO91" s="5"/>
    </row>
    <row r="92" spans="1:41">
      <c r="B92" s="3"/>
      <c r="C92" s="3"/>
      <c r="D92" s="3"/>
      <c r="E92" s="3"/>
      <c r="F92" s="3"/>
      <c r="G92" s="3"/>
      <c r="H92" s="3"/>
      <c r="I92" s="3"/>
      <c r="AC92" s="16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</row>
    <row r="93" spans="1:41">
      <c r="A93" s="2" t="s">
        <v>94</v>
      </c>
      <c r="B93" s="4"/>
      <c r="C93" s="4"/>
      <c r="D93" s="4"/>
      <c r="E93" s="3"/>
      <c r="F93" s="3"/>
      <c r="G93" s="3"/>
      <c r="H93" s="3"/>
      <c r="I93" s="3"/>
    </row>
    <row r="94" spans="1:41">
      <c r="A94" t="s">
        <v>95</v>
      </c>
      <c r="B94" s="10">
        <v>4.1558159722222222E-3</v>
      </c>
      <c r="C94" s="10">
        <f t="shared" ref="C94:F94" si="54">B94</f>
        <v>4.1558159722222222E-3</v>
      </c>
      <c r="D94" s="10">
        <f t="shared" si="54"/>
        <v>4.1558159722222222E-3</v>
      </c>
      <c r="E94" s="10">
        <f t="shared" si="54"/>
        <v>4.1558159722222222E-3</v>
      </c>
      <c r="F94" s="10">
        <f t="shared" si="54"/>
        <v>4.1558159722222222E-3</v>
      </c>
      <c r="G94" s="10">
        <f t="shared" ref="G94" si="55">F94</f>
        <v>4.1558159722222222E-3</v>
      </c>
      <c r="H94" s="10">
        <f t="shared" ref="H94" si="56">G94</f>
        <v>4.1558159722222222E-3</v>
      </c>
      <c r="I94" s="10"/>
      <c r="K94">
        <v>4.1558159722222196E-3</v>
      </c>
      <c r="AC94" s="1"/>
      <c r="AK94" s="5"/>
      <c r="AL94" s="5"/>
      <c r="AM94" s="5"/>
      <c r="AN94" s="5"/>
      <c r="AO94" s="5"/>
    </row>
    <row r="95" spans="1:41">
      <c r="A95" t="s">
        <v>10</v>
      </c>
      <c r="B95" s="3">
        <f>B91*B94</f>
        <v>5403.550359394193</v>
      </c>
      <c r="C95" s="3">
        <f t="shared" ref="C95" si="57">C91*C94</f>
        <v>5445.0890088068363</v>
      </c>
      <c r="D95" s="3">
        <f>D91*D94</f>
        <v>5486.909688122113</v>
      </c>
      <c r="E95" s="3">
        <f t="shared" ref="E95:H95" si="58">E91*E94</f>
        <v>5528.7306064368668</v>
      </c>
      <c r="F95" s="3">
        <f t="shared" si="58"/>
        <v>5569.8593578321688</v>
      </c>
      <c r="G95" s="3">
        <f t="shared" si="58"/>
        <v>5608.4734741533566</v>
      </c>
      <c r="H95" s="3">
        <f t="shared" si="58"/>
        <v>5646.6171988116184</v>
      </c>
      <c r="I95" s="3"/>
    </row>
    <row r="96" spans="1:41">
      <c r="A96" t="s">
        <v>96</v>
      </c>
    </row>
    <row r="97" spans="1:33">
      <c r="A97" t="s">
        <v>97</v>
      </c>
    </row>
    <row r="98" spans="1:33">
      <c r="A98" t="s">
        <v>98</v>
      </c>
    </row>
    <row r="99" spans="1:33">
      <c r="A99" t="s">
        <v>99</v>
      </c>
    </row>
    <row r="103" spans="1:33">
      <c r="B103">
        <v>5403.550359394193</v>
      </c>
      <c r="C103">
        <v>5445.0890088068363</v>
      </c>
      <c r="D103">
        <v>5493.909688122113</v>
      </c>
      <c r="E103">
        <v>5535.7306064368668</v>
      </c>
      <c r="F103">
        <v>5576.8593578321688</v>
      </c>
      <c r="G103">
        <v>5615.4734741533566</v>
      </c>
      <c r="H103">
        <v>5653.6171988116184</v>
      </c>
      <c r="I103" s="11"/>
    </row>
    <row r="104" spans="1:33">
      <c r="B104" s="3">
        <f t="shared" ref="B104:H104" si="59">B103-B95</f>
        <v>0</v>
      </c>
      <c r="C104" s="3">
        <f t="shared" si="59"/>
        <v>0</v>
      </c>
      <c r="D104" s="3">
        <f t="shared" si="59"/>
        <v>7</v>
      </c>
      <c r="E104" s="3">
        <f t="shared" si="59"/>
        <v>7</v>
      </c>
      <c r="F104" s="3">
        <f>F103-F95</f>
        <v>7</v>
      </c>
      <c r="G104" s="3">
        <f t="shared" si="59"/>
        <v>7</v>
      </c>
      <c r="H104" s="3">
        <f t="shared" si="59"/>
        <v>7</v>
      </c>
    </row>
    <row r="106" spans="1:33">
      <c r="A106" s="1" t="s">
        <v>100</v>
      </c>
    </row>
    <row r="107" spans="1:33">
      <c r="B107">
        <v>2021</v>
      </c>
      <c r="C107">
        <v>2022</v>
      </c>
      <c r="D107">
        <v>2023</v>
      </c>
      <c r="E107">
        <v>2024</v>
      </c>
      <c r="F107">
        <v>2025</v>
      </c>
      <c r="G107">
        <v>2026</v>
      </c>
      <c r="H107">
        <v>2027</v>
      </c>
    </row>
    <row r="108" spans="1:33">
      <c r="A108" s="2" t="s">
        <v>93</v>
      </c>
    </row>
    <row r="109" spans="1:33">
      <c r="A109" t="s">
        <v>3</v>
      </c>
      <c r="B109" s="3">
        <f>B91</f>
        <v>1300238.1230333389</v>
      </c>
      <c r="C109" s="3">
        <f t="shared" ref="C109:H109" si="60">C91</f>
        <v>1310233.4283332585</v>
      </c>
      <c r="D109" s="3">
        <f t="shared" si="60"/>
        <v>1320296.5975387308</v>
      </c>
      <c r="E109" s="3">
        <f t="shared" si="60"/>
        <v>1330359.8242538425</v>
      </c>
      <c r="F109" s="3">
        <f t="shared" si="60"/>
        <v>1340256.4971744455</v>
      </c>
      <c r="G109" s="3">
        <f t="shared" si="60"/>
        <v>1349548.0819268234</v>
      </c>
      <c r="H109" s="3">
        <f t="shared" si="60"/>
        <v>1358726.4779176991</v>
      </c>
      <c r="I109" s="3"/>
    </row>
    <row r="110" spans="1:33">
      <c r="B110" s="3"/>
      <c r="C110" s="3"/>
      <c r="D110" s="3"/>
      <c r="E110" s="3"/>
      <c r="F110" s="3"/>
      <c r="G110" s="3"/>
      <c r="H110" s="3"/>
      <c r="I110" s="3"/>
    </row>
    <row r="111" spans="1:33">
      <c r="A111" s="2" t="s">
        <v>101</v>
      </c>
      <c r="B111" s="4"/>
      <c r="K111">
        <v>2020</v>
      </c>
    </row>
    <row r="112" spans="1:33">
      <c r="A112" t="s">
        <v>95</v>
      </c>
      <c r="B112" s="10">
        <f>K112*(1-2.4/100)</f>
        <v>1.529387400793651E-2</v>
      </c>
      <c r="C112" s="10">
        <f>B112*(1-2.4/100)</f>
        <v>1.4926821031746033E-2</v>
      </c>
      <c r="D112" s="10">
        <f t="shared" ref="D112:H112" si="61">C112*(1-2.4/100)</f>
        <v>1.4568577326984128E-2</v>
      </c>
      <c r="E112" s="10">
        <f t="shared" si="61"/>
        <v>1.4218931471136509E-2</v>
      </c>
      <c r="F112" s="10">
        <f t="shared" si="61"/>
        <v>1.3877677115829233E-2</v>
      </c>
      <c r="G112" s="10">
        <f t="shared" si="61"/>
        <v>1.3544612865049332E-2</v>
      </c>
      <c r="H112" s="10">
        <f t="shared" si="61"/>
        <v>1.3219542156288148E-2</v>
      </c>
      <c r="I112" s="10"/>
      <c r="K112">
        <v>1.5669952876984129E-2</v>
      </c>
      <c r="L112">
        <f>100*(B112/K112-1)</f>
        <v>-2.4000000000000021</v>
      </c>
      <c r="AG112" s="10"/>
    </row>
    <row r="113" spans="1:11">
      <c r="A113" t="s">
        <v>10</v>
      </c>
      <c r="B113" s="3">
        <f>B109*B112</f>
        <v>19885.678033987737</v>
      </c>
      <c r="C113" s="3">
        <f t="shared" ref="C113:H113" si="62">C109*C112</f>
        <v>19557.619894541593</v>
      </c>
      <c r="D113" s="3">
        <f t="shared" si="62"/>
        <v>19234.843075797042</v>
      </c>
      <c r="E113" s="3">
        <f t="shared" si="62"/>
        <v>18916.295173018596</v>
      </c>
      <c r="F113" s="3">
        <f t="shared" si="62"/>
        <v>18599.64692017925</v>
      </c>
      <c r="G113" s="3">
        <f t="shared" si="62"/>
        <v>18279.106312468703</v>
      </c>
      <c r="H113" s="3">
        <f t="shared" si="62"/>
        <v>17961.741953697943</v>
      </c>
      <c r="I113" s="3"/>
    </row>
    <row r="114" spans="1:11">
      <c r="A114" t="s">
        <v>102</v>
      </c>
    </row>
    <row r="115" spans="1:11">
      <c r="A115" t="s">
        <v>103</v>
      </c>
    </row>
    <row r="116" spans="1:11">
      <c r="A116" t="s">
        <v>104</v>
      </c>
    </row>
    <row r="117" spans="1:11">
      <c r="A117" s="6" t="s">
        <v>105</v>
      </c>
    </row>
    <row r="118" spans="1:11">
      <c r="A118" s="6" t="s">
        <v>106</v>
      </c>
    </row>
    <row r="119" spans="1:11">
      <c r="A119" s="6" t="s">
        <v>107</v>
      </c>
    </row>
    <row r="120" spans="1:11">
      <c r="A120" t="s">
        <v>108</v>
      </c>
    </row>
    <row r="121" spans="1:11">
      <c r="A121" t="s">
        <v>109</v>
      </c>
      <c r="K121">
        <v>20218</v>
      </c>
    </row>
    <row r="122" spans="1:11">
      <c r="A122" t="s">
        <v>110</v>
      </c>
      <c r="B122" s="11">
        <v>-1.6436935701467204</v>
      </c>
      <c r="C122" s="11">
        <f>100*(C113/B113-1)</f>
        <v>-1.6497206627073102</v>
      </c>
      <c r="D122" s="11">
        <f t="shared" ref="D122:F122" si="63">100*(D113/C113-1)</f>
        <v>-1.6503890579990022</v>
      </c>
      <c r="E122" s="11">
        <f>100*(E113/D113-1)</f>
        <v>-1.6560982666880775</v>
      </c>
      <c r="F122" s="11">
        <f t="shared" si="63"/>
        <v>-1.6739443423942735</v>
      </c>
      <c r="G122" s="11">
        <f t="shared" ref="G122" si="64">100*(G113/F113-1)</f>
        <v>-1.7233693149453555</v>
      </c>
      <c r="H122" s="11">
        <f t="shared" ref="H122" si="65">100*(H113/G113-1)</f>
        <v>-1.7362137587343396</v>
      </c>
      <c r="I122" s="11"/>
    </row>
    <row r="123" spans="1:11">
      <c r="A123" s="9"/>
      <c r="B123" s="9"/>
      <c r="C123" s="9"/>
      <c r="D123" s="9"/>
      <c r="E123" s="9"/>
      <c r="F123" s="9"/>
      <c r="G123" s="9"/>
      <c r="H123" s="9"/>
      <c r="I123" s="9"/>
    </row>
    <row r="125" spans="1:11">
      <c r="B125" s="3"/>
      <c r="C125" s="3"/>
      <c r="D125" s="3"/>
      <c r="E125" s="3"/>
      <c r="F125" s="3"/>
      <c r="G125" s="3"/>
      <c r="H125" s="3"/>
    </row>
    <row r="129" spans="1:9">
      <c r="A129" s="1" t="s">
        <v>111</v>
      </c>
    </row>
    <row r="130" spans="1:9">
      <c r="B130">
        <v>2021</v>
      </c>
      <c r="C130">
        <v>2022</v>
      </c>
      <c r="D130">
        <v>2023</v>
      </c>
      <c r="E130">
        <v>2024</v>
      </c>
      <c r="F130">
        <v>2025</v>
      </c>
      <c r="G130">
        <v>2026</v>
      </c>
      <c r="H130">
        <v>2027</v>
      </c>
    </row>
    <row r="131" spans="1:9">
      <c r="A131" s="2" t="s">
        <v>93</v>
      </c>
    </row>
    <row r="132" spans="1:9">
      <c r="A132" t="s">
        <v>3</v>
      </c>
      <c r="B132" s="3">
        <f t="shared" ref="B132:H132" si="66">B109</f>
        <v>1300238.1230333389</v>
      </c>
      <c r="C132" s="3">
        <f t="shared" si="66"/>
        <v>1310233.4283332585</v>
      </c>
      <c r="D132" s="3">
        <f t="shared" si="66"/>
        <v>1320296.5975387308</v>
      </c>
      <c r="E132" s="3">
        <f t="shared" si="66"/>
        <v>1330359.8242538425</v>
      </c>
      <c r="F132" s="3">
        <f t="shared" si="66"/>
        <v>1340256.4971744455</v>
      </c>
      <c r="G132" s="3">
        <f t="shared" si="66"/>
        <v>1349548.0819268234</v>
      </c>
      <c r="H132" s="3">
        <f t="shared" si="66"/>
        <v>1358726.4779176991</v>
      </c>
      <c r="I132" s="3"/>
    </row>
    <row r="133" spans="1:9">
      <c r="B133" s="3"/>
      <c r="C133" s="3"/>
      <c r="D133" s="3"/>
      <c r="E133" s="3"/>
      <c r="F133" s="3"/>
      <c r="G133" s="3"/>
      <c r="H133" s="3"/>
      <c r="I133" s="3"/>
    </row>
    <row r="134" spans="1:9">
      <c r="A134" s="2" t="s">
        <v>112</v>
      </c>
      <c r="B134" s="4"/>
      <c r="C134" s="4"/>
      <c r="D134" s="4"/>
      <c r="E134" s="3"/>
      <c r="F134" s="3"/>
      <c r="G134" s="3"/>
      <c r="H134" s="3"/>
      <c r="I134" s="3"/>
    </row>
    <row r="135" spans="1:9">
      <c r="A135" t="s">
        <v>95</v>
      </c>
      <c r="B135" s="10">
        <v>4.2658730158730155E-3</v>
      </c>
      <c r="C135" s="10">
        <f t="shared" ref="C135:F135" si="67">B135</f>
        <v>4.2658730158730155E-3</v>
      </c>
      <c r="D135" s="10">
        <f t="shared" si="67"/>
        <v>4.2658730158730155E-3</v>
      </c>
      <c r="E135" s="10">
        <f t="shared" si="67"/>
        <v>4.2658730158730155E-3</v>
      </c>
      <c r="F135" s="10">
        <f t="shared" si="67"/>
        <v>4.2658730158730155E-3</v>
      </c>
      <c r="G135" s="10">
        <f t="shared" ref="G135" si="68">F135</f>
        <v>4.2658730158730155E-3</v>
      </c>
      <c r="H135" s="10">
        <f t="shared" ref="H135" si="69">G135</f>
        <v>4.2658730158730155E-3</v>
      </c>
      <c r="I135" s="10"/>
    </row>
    <row r="136" spans="1:9">
      <c r="A136" t="s">
        <v>10</v>
      </c>
      <c r="B136" s="3">
        <f>B132*B135</f>
        <v>5546.6507232572985</v>
      </c>
      <c r="C136" s="3">
        <f t="shared" ref="C136:H136" si="70">C132*C135</f>
        <v>5589.2894264216375</v>
      </c>
      <c r="D136" s="3">
        <f t="shared" si="70"/>
        <v>5632.2176283894269</v>
      </c>
      <c r="E136" s="3">
        <f t="shared" si="70"/>
        <v>5675.1460756860342</v>
      </c>
      <c r="F136" s="3">
        <f t="shared" si="70"/>
        <v>5717.3640256449553</v>
      </c>
      <c r="G136" s="3">
        <f t="shared" si="70"/>
        <v>5757.0007463148213</v>
      </c>
      <c r="H136" s="3">
        <f t="shared" si="70"/>
        <v>5796.1546181012955</v>
      </c>
      <c r="I136" s="3"/>
    </row>
    <row r="137" spans="1:9">
      <c r="A137" t="s">
        <v>113</v>
      </c>
    </row>
    <row r="138" spans="1:9">
      <c r="A138" t="s">
        <v>114</v>
      </c>
    </row>
    <row r="139" spans="1:9">
      <c r="A139" t="s">
        <v>108</v>
      </c>
    </row>
    <row r="140" spans="1:9">
      <c r="A140" t="s">
        <v>109</v>
      </c>
    </row>
    <row r="143" spans="1:9">
      <c r="B143" s="11"/>
      <c r="C143" s="11"/>
      <c r="D143" s="11"/>
      <c r="E143" s="11"/>
      <c r="F143" s="11"/>
      <c r="G143" s="11"/>
      <c r="H143" s="11"/>
      <c r="I143" s="11"/>
    </row>
    <row r="144" spans="1:9">
      <c r="A144" s="9"/>
      <c r="B144" s="9"/>
      <c r="C144" s="9"/>
      <c r="D144" s="9"/>
      <c r="E144" s="9"/>
      <c r="F144" s="9"/>
      <c r="G144" s="9"/>
      <c r="H144" s="9"/>
      <c r="I144" s="9"/>
    </row>
    <row r="146" spans="1:17">
      <c r="A146" t="s">
        <v>115</v>
      </c>
      <c r="B146" s="5">
        <v>4.4833419514128225</v>
      </c>
      <c r="C146" s="5">
        <v>4.2081549963934872</v>
      </c>
      <c r="D146" s="5">
        <v>2.1784130048468242</v>
      </c>
      <c r="E146" s="5">
        <v>2.0218930003248037</v>
      </c>
      <c r="F146" s="5">
        <v>2.0985735933053196</v>
      </c>
      <c r="G146" s="5">
        <v>1.9853222163586315</v>
      </c>
      <c r="H146" s="5">
        <v>1.8712525809142733</v>
      </c>
      <c r="I146" s="5"/>
    </row>
    <row r="147" spans="1:17">
      <c r="A147" t="s">
        <v>116</v>
      </c>
      <c r="B147" s="5">
        <f>B156+B183</f>
        <v>38576.974266089121</v>
      </c>
      <c r="C147" s="5">
        <f t="shared" ref="C147:H147" si="71">C156+C183</f>
        <v>38783.492704616394</v>
      </c>
      <c r="D147" s="5">
        <f t="shared" si="71"/>
        <v>38990.93040685702</v>
      </c>
      <c r="E147" s="5">
        <f t="shared" si="71"/>
        <v>39197.866342045258</v>
      </c>
      <c r="F147" s="5">
        <f t="shared" si="71"/>
        <v>39400.808807283087</v>
      </c>
      <c r="G147" s="5">
        <f t="shared" si="71"/>
        <v>39590.567359272463</v>
      </c>
      <c r="H147" s="5">
        <f t="shared" si="71"/>
        <v>39777.450821852028</v>
      </c>
      <c r="K147">
        <v>38576.974266089121</v>
      </c>
      <c r="L147">
        <v>38783.492704616394</v>
      </c>
      <c r="M147">
        <v>38990.93040685702</v>
      </c>
      <c r="N147">
        <v>39197.866342045258</v>
      </c>
      <c r="O147">
        <v>39400.808807283087</v>
      </c>
      <c r="P147">
        <v>39590.567359272463</v>
      </c>
      <c r="Q147">
        <v>39777.450821852028</v>
      </c>
    </row>
    <row r="148" spans="1:17">
      <c r="A148" t="s">
        <v>117</v>
      </c>
      <c r="B148" s="5">
        <f>B170+B193</f>
        <v>4239.8944721959215</v>
      </c>
      <c r="C148" s="5">
        <f t="shared" ref="C148:H148" si="72">C170+C193</f>
        <v>4232.5820013508983</v>
      </c>
      <c r="D148" s="5">
        <f t="shared" si="72"/>
        <v>4222.8559568816245</v>
      </c>
      <c r="E148" s="5">
        <f t="shared" si="72"/>
        <v>4212.9459759277916</v>
      </c>
      <c r="F148" s="5">
        <f t="shared" si="72"/>
        <v>4203.1308217093256</v>
      </c>
      <c r="G148" s="5">
        <f t="shared" si="72"/>
        <v>4193.1829472852387</v>
      </c>
      <c r="H148" s="5">
        <f t="shared" si="72"/>
        <v>4183.1008788347499</v>
      </c>
      <c r="K148">
        <v>4239.8944721959215</v>
      </c>
      <c r="L148">
        <v>4232.5820013508983</v>
      </c>
      <c r="M148">
        <v>4222.8559568816245</v>
      </c>
      <c r="N148">
        <v>4212.9459759277916</v>
      </c>
      <c r="O148">
        <v>4203.1308217093256</v>
      </c>
      <c r="P148">
        <v>4193.1829472852387</v>
      </c>
      <c r="Q148">
        <v>4183.1008788347499</v>
      </c>
    </row>
    <row r="149" spans="1:17">
      <c r="A149" t="s">
        <v>118</v>
      </c>
      <c r="B149" s="5">
        <f>B171+B194</f>
        <v>296.80578276561164</v>
      </c>
      <c r="C149" s="5">
        <f t="shared" ref="C149:H149" si="73">C171+C194</f>
        <v>300.50593831793992</v>
      </c>
      <c r="D149" s="5">
        <f t="shared" si="73"/>
        <v>303.16261456646674</v>
      </c>
      <c r="E149" s="5">
        <f t="shared" si="73"/>
        <v>305.74483617932901</v>
      </c>
      <c r="F149" s="5">
        <f t="shared" si="73"/>
        <v>308.37650435822525</v>
      </c>
      <c r="G149" s="5">
        <f t="shared" si="73"/>
        <v>310.95541395073013</v>
      </c>
      <c r="H149" s="5">
        <f t="shared" si="73"/>
        <v>313.47980316652763</v>
      </c>
      <c r="K149">
        <v>296.80578276561164</v>
      </c>
      <c r="L149">
        <v>300.50593831793992</v>
      </c>
      <c r="M149">
        <v>303.16261456646674</v>
      </c>
      <c r="N149">
        <v>305.74483617932901</v>
      </c>
      <c r="O149">
        <v>308.37650435822525</v>
      </c>
      <c r="P149">
        <v>310.95541395073013</v>
      </c>
      <c r="Q149">
        <v>313.47980316652763</v>
      </c>
    </row>
    <row r="150" spans="1:17">
      <c r="A150" s="1" t="s">
        <v>119</v>
      </c>
      <c r="K150" s="5">
        <f>B147-K147</f>
        <v>0</v>
      </c>
      <c r="L150" s="5">
        <f t="shared" ref="L150:Q152" si="74">C147-L147</f>
        <v>0</v>
      </c>
      <c r="M150" s="5">
        <f t="shared" si="74"/>
        <v>0</v>
      </c>
      <c r="N150" s="5">
        <f t="shared" si="74"/>
        <v>0</v>
      </c>
      <c r="O150" s="5">
        <f t="shared" si="74"/>
        <v>0</v>
      </c>
      <c r="P150" s="5">
        <f t="shared" si="74"/>
        <v>0</v>
      </c>
      <c r="Q150" s="5">
        <f t="shared" si="74"/>
        <v>0</v>
      </c>
    </row>
    <row r="151" spans="1:17">
      <c r="A151" s="2" t="s">
        <v>1</v>
      </c>
      <c r="K151" s="5">
        <f t="shared" ref="K151:K152" si="75">B148-K148</f>
        <v>0</v>
      </c>
      <c r="L151" s="5">
        <f t="shared" si="74"/>
        <v>0</v>
      </c>
      <c r="M151" s="5">
        <f t="shared" si="74"/>
        <v>0</v>
      </c>
      <c r="N151" s="5">
        <f t="shared" si="74"/>
        <v>0</v>
      </c>
      <c r="O151" s="5">
        <f t="shared" si="74"/>
        <v>0</v>
      </c>
      <c r="P151" s="5">
        <f t="shared" si="74"/>
        <v>0</v>
      </c>
      <c r="Q151" s="5">
        <f t="shared" si="74"/>
        <v>0</v>
      </c>
    </row>
    <row r="152" spans="1:17">
      <c r="A152" t="s">
        <v>7</v>
      </c>
      <c r="B152" s="3">
        <f t="shared" ref="B152:H152" si="76">B$5</f>
        <v>57065.964140656404</v>
      </c>
      <c r="C152" s="3">
        <f t="shared" si="76"/>
        <v>57495.870248699561</v>
      </c>
      <c r="D152" s="3">
        <f t="shared" si="76"/>
        <v>57751.798327391967</v>
      </c>
      <c r="E152" s="3">
        <f t="shared" si="76"/>
        <v>57612.103617586195</v>
      </c>
      <c r="F152" s="3">
        <f t="shared" si="76"/>
        <v>56500.299597820267</v>
      </c>
      <c r="G152" s="3">
        <f t="shared" si="76"/>
        <v>52829.825566984713</v>
      </c>
      <c r="H152" s="3">
        <f t="shared" si="76"/>
        <v>52029.384846828878</v>
      </c>
      <c r="I152" s="3"/>
      <c r="K152" s="5">
        <f t="shared" si="75"/>
        <v>0</v>
      </c>
      <c r="L152" s="5">
        <f t="shared" si="74"/>
        <v>0</v>
      </c>
      <c r="M152" s="5">
        <f t="shared" si="74"/>
        <v>0</v>
      </c>
      <c r="N152" s="5">
        <f t="shared" si="74"/>
        <v>0</v>
      </c>
      <c r="O152" s="5">
        <f t="shared" si="74"/>
        <v>0</v>
      </c>
      <c r="P152" s="5">
        <f t="shared" si="74"/>
        <v>0</v>
      </c>
      <c r="Q152" s="5">
        <f t="shared" si="74"/>
        <v>0</v>
      </c>
    </row>
    <row r="153" spans="1:17">
      <c r="A153" s="2" t="s">
        <v>120</v>
      </c>
      <c r="K153">
        <v>2019</v>
      </c>
      <c r="L153">
        <v>2020</v>
      </c>
      <c r="M153" t="s">
        <v>121</v>
      </c>
    </row>
    <row r="154" spans="1:17">
      <c r="A154" t="s">
        <v>4</v>
      </c>
      <c r="B154" s="12">
        <f>(L154-K154)/M154</f>
        <v>6.907467294673742E-4</v>
      </c>
      <c r="C154" s="12">
        <f>B154</f>
        <v>6.907467294673742E-4</v>
      </c>
      <c r="D154" s="12">
        <f t="shared" ref="D154:H154" si="77">C154</f>
        <v>6.907467294673742E-4</v>
      </c>
      <c r="E154" s="12">
        <f t="shared" si="77"/>
        <v>6.907467294673742E-4</v>
      </c>
      <c r="F154" s="12">
        <f t="shared" si="77"/>
        <v>6.907467294673742E-4</v>
      </c>
      <c r="G154" s="12">
        <f t="shared" si="77"/>
        <v>6.907467294673742E-4</v>
      </c>
      <c r="H154" s="12">
        <f t="shared" si="77"/>
        <v>6.907467294673742E-4</v>
      </c>
      <c r="K154" s="5">
        <v>18178</v>
      </c>
      <c r="L154">
        <v>18218</v>
      </c>
      <c r="M154">
        <v>57908.345119264595</v>
      </c>
    </row>
    <row r="155" spans="1:17">
      <c r="A155" t="s">
        <v>7</v>
      </c>
      <c r="B155" s="5">
        <f>B154*B152</f>
        <v>39.418128094060869</v>
      </c>
      <c r="C155" s="5">
        <f t="shared" ref="C155:F155" si="78">C154*C152</f>
        <v>39.715084332169724</v>
      </c>
      <c r="D155" s="5">
        <f t="shared" si="78"/>
        <v>39.891865815505376</v>
      </c>
      <c r="E155" s="5">
        <f t="shared" si="78"/>
        <v>39.795372151583145</v>
      </c>
      <c r="F155" s="5">
        <f t="shared" si="78"/>
        <v>39.027397161121151</v>
      </c>
      <c r="G155" s="5">
        <f t="shared" ref="G155:H155" si="79">G154*G152</f>
        <v>36.492029228726558</v>
      </c>
      <c r="H155" s="5">
        <f t="shared" si="79"/>
        <v>35.939127419146409</v>
      </c>
      <c r="I155" s="5"/>
    </row>
    <row r="156" spans="1:17">
      <c r="A156" t="s">
        <v>3</v>
      </c>
      <c r="B156" s="5">
        <f>L154+B155</f>
        <v>18257.418128094061</v>
      </c>
      <c r="C156" s="5">
        <f t="shared" ref="C156:F156" si="80">B156+C155</f>
        <v>18297.13321242623</v>
      </c>
      <c r="D156" s="5">
        <f t="shared" si="80"/>
        <v>18337.025078241735</v>
      </c>
      <c r="E156" s="5">
        <f t="shared" si="80"/>
        <v>18376.820450393319</v>
      </c>
      <c r="F156" s="5">
        <f t="shared" si="80"/>
        <v>18415.84784755444</v>
      </c>
      <c r="G156" s="5">
        <f t="shared" ref="G156" si="81">F156+G155</f>
        <v>18452.339876783168</v>
      </c>
      <c r="H156" s="5">
        <f t="shared" ref="H156" si="82">G156+H155</f>
        <v>18488.279004202315</v>
      </c>
      <c r="I156" s="5"/>
      <c r="J156" s="15"/>
      <c r="K156" s="15"/>
      <c r="L156" s="5"/>
    </row>
    <row r="157" spans="1:17">
      <c r="B157" s="5"/>
      <c r="C157" s="15"/>
      <c r="D157" s="15"/>
      <c r="E157" s="15"/>
      <c r="F157" s="15"/>
      <c r="G157" s="15"/>
      <c r="H157" s="15"/>
      <c r="I157" s="5"/>
    </row>
    <row r="158" spans="1:17">
      <c r="A158" s="2" t="s">
        <v>122</v>
      </c>
      <c r="B158" s="12"/>
      <c r="C158" s="12"/>
      <c r="D158" s="12"/>
      <c r="E158" s="12"/>
      <c r="F158" s="12"/>
      <c r="G158" s="12"/>
      <c r="H158" s="12"/>
      <c r="I158" s="12"/>
    </row>
    <row r="159" spans="1:17">
      <c r="A159" t="s">
        <v>123</v>
      </c>
      <c r="B159" s="13">
        <f>B146*0.06</f>
        <v>0.26900051708476935</v>
      </c>
      <c r="C159" s="13">
        <f t="shared" ref="C159:H159" si="83">C146*0.06</f>
        <v>0.25248929978360923</v>
      </c>
      <c r="D159" s="13">
        <f t="shared" si="83"/>
        <v>0.13070478029080945</v>
      </c>
      <c r="E159" s="13">
        <f t="shared" si="83"/>
        <v>0.12131358001948822</v>
      </c>
      <c r="F159" s="13">
        <f t="shared" si="83"/>
        <v>0.12591441559831917</v>
      </c>
      <c r="G159" s="13">
        <f t="shared" si="83"/>
        <v>0.11911933298151789</v>
      </c>
      <c r="H159" s="13">
        <f t="shared" si="83"/>
        <v>0.1122751548548564</v>
      </c>
      <c r="I159" s="13"/>
    </row>
    <row r="160" spans="1:17">
      <c r="A160" t="s">
        <v>124</v>
      </c>
      <c r="B160" s="13">
        <f>B146*0.37</f>
        <v>1.6588365220227443</v>
      </c>
      <c r="C160" s="13">
        <f t="shared" ref="C160:H160" si="84">C146*0.37</f>
        <v>1.5570173486655903</v>
      </c>
      <c r="D160" s="13">
        <f t="shared" si="84"/>
        <v>0.80601281179332496</v>
      </c>
      <c r="E160" s="13">
        <f t="shared" si="84"/>
        <v>0.74810041012017736</v>
      </c>
      <c r="F160" s="13">
        <f t="shared" si="84"/>
        <v>0.77647222952296824</v>
      </c>
      <c r="G160" s="13">
        <f t="shared" si="84"/>
        <v>0.73456922005269365</v>
      </c>
      <c r="H160" s="13">
        <f t="shared" si="84"/>
        <v>0.69236345493828111</v>
      </c>
      <c r="I160" s="13"/>
    </row>
    <row r="161" spans="1:13">
      <c r="B161" s="5"/>
      <c r="C161" s="5"/>
      <c r="D161" s="5"/>
      <c r="E161" s="5"/>
      <c r="F161" s="5"/>
      <c r="G161" s="5"/>
      <c r="H161" s="5"/>
      <c r="I161" s="5"/>
    </row>
    <row r="162" spans="1:13">
      <c r="A162" s="2" t="s">
        <v>125</v>
      </c>
    </row>
    <row r="163" spans="1:13">
      <c r="A163" t="s">
        <v>126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/>
    </row>
    <row r="164" spans="1:13">
      <c r="A164" t="s">
        <v>127</v>
      </c>
      <c r="B164" s="13">
        <v>-0.4</v>
      </c>
      <c r="C164" s="13">
        <v>-0.39999999999999997</v>
      </c>
      <c r="D164" s="13">
        <v>-0.39999999999999997</v>
      </c>
      <c r="E164" s="13">
        <v>-0.39999999999999997</v>
      </c>
      <c r="F164" s="13">
        <v>-0.39999999999999997</v>
      </c>
      <c r="G164" s="13">
        <v>-0.4</v>
      </c>
      <c r="H164" s="13">
        <v>-0.4</v>
      </c>
      <c r="K164" s="13">
        <v>40</v>
      </c>
      <c r="L164" s="13">
        <v>37</v>
      </c>
      <c r="M164" s="13"/>
    </row>
    <row r="165" spans="1:13">
      <c r="B165" s="5"/>
      <c r="C165" s="5"/>
      <c r="D165" s="5"/>
      <c r="E165" s="5"/>
      <c r="F165" s="5"/>
      <c r="G165" s="5"/>
      <c r="H165" s="5"/>
      <c r="I165" s="5"/>
    </row>
    <row r="166" spans="1:13">
      <c r="A166" s="2" t="s">
        <v>128</v>
      </c>
      <c r="B166" s="5"/>
      <c r="C166" s="5"/>
      <c r="D166" s="5"/>
      <c r="E166" s="5"/>
      <c r="F166" s="5"/>
      <c r="G166" s="5"/>
      <c r="H166" s="5"/>
      <c r="I166" s="5"/>
    </row>
    <row r="167" spans="1:13">
      <c r="A167" t="s">
        <v>129</v>
      </c>
      <c r="B167" s="13">
        <f>1.9*B122</f>
        <v>-3.1230177832787684</v>
      </c>
      <c r="C167" s="13">
        <f t="shared" ref="C167:H167" si="85">1.9*C122</f>
        <v>-3.1344692591438892</v>
      </c>
      <c r="D167" s="13">
        <f t="shared" si="85"/>
        <v>-3.1357392101981039</v>
      </c>
      <c r="E167" s="13">
        <f t="shared" si="85"/>
        <v>-3.146586706707347</v>
      </c>
      <c r="F167" s="13">
        <f t="shared" si="85"/>
        <v>-3.1804942505491196</v>
      </c>
      <c r="G167" s="13">
        <f t="shared" si="85"/>
        <v>-3.2744016983961752</v>
      </c>
      <c r="H167" s="13">
        <f t="shared" si="85"/>
        <v>-3.2988061415952452</v>
      </c>
      <c r="I167" s="13"/>
    </row>
    <row r="168" spans="1:13">
      <c r="B168" s="13"/>
      <c r="C168" s="13"/>
      <c r="D168" s="13"/>
      <c r="E168" s="13"/>
      <c r="F168" s="13"/>
      <c r="G168" s="13"/>
      <c r="H168" s="13"/>
      <c r="I168" s="13"/>
    </row>
    <row r="169" spans="1:13">
      <c r="A169" s="2" t="s">
        <v>130</v>
      </c>
    </row>
    <row r="170" spans="1:13">
      <c r="A170" t="s">
        <v>131</v>
      </c>
      <c r="B170" s="5">
        <v>1987.2244721959216</v>
      </c>
      <c r="C170" s="5">
        <f>B170*(1+C159/100)</f>
        <v>1992.2420013508977</v>
      </c>
      <c r="D170" s="5">
        <f t="shared" ref="D170:F171" si="86">C170*(1+D159/100)</f>
        <v>1994.8459568816245</v>
      </c>
      <c r="E170" s="5">
        <f t="shared" si="86"/>
        <v>1997.2659759277915</v>
      </c>
      <c r="F170" s="5">
        <f t="shared" si="86"/>
        <v>1999.7808217093252</v>
      </c>
      <c r="G170" s="5">
        <f t="shared" ref="G170:G171" si="87">F170*(1+G159/100)</f>
        <v>2002.1629472852378</v>
      </c>
      <c r="H170" s="5">
        <f t="shared" ref="H170:H171" si="88">G170*(1+H159/100)</f>
        <v>2004.4108788347489</v>
      </c>
      <c r="K170" s="5">
        <v>1970</v>
      </c>
      <c r="L170">
        <v>1903</v>
      </c>
    </row>
    <row r="171" spans="1:13">
      <c r="A171" t="s">
        <v>132</v>
      </c>
      <c r="B171" s="5">
        <f>L171*(1+B160/100)</f>
        <v>141.30578276561161</v>
      </c>
      <c r="C171" s="5">
        <f>B171*(1+C160/100)</f>
        <v>143.50593831793992</v>
      </c>
      <c r="D171" s="5">
        <f>C171*(1+D160/100)</f>
        <v>144.66261456646674</v>
      </c>
      <c r="E171" s="5">
        <f t="shared" si="86"/>
        <v>145.74483617932904</v>
      </c>
      <c r="F171" s="5">
        <f t="shared" si="86"/>
        <v>146.87650435822528</v>
      </c>
      <c r="G171" s="5">
        <f t="shared" si="87"/>
        <v>147.95541395073013</v>
      </c>
      <c r="H171" s="5">
        <f t="shared" si="88"/>
        <v>148.97980316652766</v>
      </c>
      <c r="K171" s="5">
        <v>138</v>
      </c>
      <c r="L171">
        <v>139</v>
      </c>
    </row>
    <row r="172" spans="1:13">
      <c r="A172" t="s">
        <v>126</v>
      </c>
      <c r="B172" s="5">
        <v>2</v>
      </c>
      <c r="C172" s="5">
        <f t="shared" ref="C172:F172" si="89">B172+C163</f>
        <v>2</v>
      </c>
      <c r="D172" s="5">
        <f t="shared" si="89"/>
        <v>2</v>
      </c>
      <c r="E172" s="5">
        <f t="shared" si="89"/>
        <v>2</v>
      </c>
      <c r="F172" s="5">
        <f t="shared" si="89"/>
        <v>2</v>
      </c>
      <c r="G172" s="5">
        <f t="shared" ref="G172" si="90">F172+G163</f>
        <v>2</v>
      </c>
      <c r="H172" s="5">
        <f t="shared" ref="H172" si="91">G172+H163</f>
        <v>2</v>
      </c>
      <c r="K172" s="5"/>
    </row>
    <row r="173" spans="1:13">
      <c r="A173" t="s">
        <v>133</v>
      </c>
      <c r="B173" s="5">
        <f>L173*(1+B167/100)</f>
        <v>155.97194136892119</v>
      </c>
      <c r="C173" s="5">
        <f>B173*(1+C167/100)</f>
        <v>151.08304881382242</v>
      </c>
      <c r="D173" s="5">
        <f t="shared" ref="D173:F173" si="92">C173*(1+D167/100)</f>
        <v>146.34547841220464</v>
      </c>
      <c r="E173" s="5">
        <f t="shared" si="92"/>
        <v>141.74059104261895</v>
      </c>
      <c r="F173" s="5">
        <f t="shared" si="92"/>
        <v>137.23253969381412</v>
      </c>
      <c r="G173" s="5">
        <f t="shared" ref="G173" si="93">F173*(1+G167/100)</f>
        <v>132.73899508332767</v>
      </c>
      <c r="H173" s="5">
        <f t="shared" ref="H173" si="94">G173*(1+H167/100)</f>
        <v>128.36019296122703</v>
      </c>
      <c r="K173" s="5">
        <v>167</v>
      </c>
      <c r="L173">
        <v>161</v>
      </c>
    </row>
    <row r="174" spans="1:13">
      <c r="A174" t="s">
        <v>134</v>
      </c>
      <c r="B174" s="5">
        <v>39.6</v>
      </c>
      <c r="C174" s="5">
        <f t="shared" ref="C174:F174" si="95">B174+C164</f>
        <v>39.200000000000003</v>
      </c>
      <c r="D174" s="5">
        <f t="shared" si="95"/>
        <v>38.800000000000004</v>
      </c>
      <c r="E174" s="5">
        <f t="shared" si="95"/>
        <v>38.400000000000006</v>
      </c>
      <c r="F174" s="5">
        <f t="shared" si="95"/>
        <v>38.000000000000007</v>
      </c>
      <c r="G174" s="5">
        <f t="shared" ref="G174" si="96">F174+G164</f>
        <v>37.600000000000009</v>
      </c>
      <c r="H174" s="5">
        <f t="shared" ref="H174" si="97">G174+H164</f>
        <v>37.20000000000001</v>
      </c>
      <c r="I174" s="5"/>
    </row>
    <row r="175" spans="1:13">
      <c r="B175" s="5"/>
      <c r="C175" s="5"/>
      <c r="D175" s="5"/>
      <c r="E175" s="5"/>
      <c r="F175" s="5"/>
      <c r="G175" s="5"/>
      <c r="H175" s="5"/>
      <c r="I175" s="5"/>
    </row>
    <row r="177" spans="1:14">
      <c r="A177" s="1" t="s">
        <v>135</v>
      </c>
    </row>
    <row r="178" spans="1:14">
      <c r="A178" s="2" t="s">
        <v>1</v>
      </c>
    </row>
    <row r="179" spans="1:14">
      <c r="A179" t="s">
        <v>7</v>
      </c>
      <c r="B179" s="3">
        <f t="shared" ref="B179:H179" si="98">B$5</f>
        <v>57065.964140656404</v>
      </c>
      <c r="C179" s="3">
        <f t="shared" si="98"/>
        <v>57495.870248699561</v>
      </c>
      <c r="D179" s="3">
        <f t="shared" si="98"/>
        <v>57751.798327391967</v>
      </c>
      <c r="E179" s="3">
        <f t="shared" si="98"/>
        <v>57612.103617586195</v>
      </c>
      <c r="F179" s="3">
        <f t="shared" si="98"/>
        <v>56500.299597820267</v>
      </c>
      <c r="G179" s="3">
        <f t="shared" si="98"/>
        <v>52829.825566984713</v>
      </c>
      <c r="H179" s="3">
        <f t="shared" si="98"/>
        <v>52029.384846828878</v>
      </c>
      <c r="I179" s="3"/>
    </row>
    <row r="180" spans="1:14">
      <c r="A180" s="2" t="s">
        <v>136</v>
      </c>
      <c r="M180">
        <v>57908.345119264595</v>
      </c>
      <c r="N180" t="s">
        <v>121</v>
      </c>
    </row>
    <row r="181" spans="1:14">
      <c r="A181" t="s">
        <v>4</v>
      </c>
      <c r="B181" s="14">
        <f>M181/M180</f>
        <v>2.9011362637629714E-3</v>
      </c>
      <c r="C181" s="14">
        <f t="shared" ref="C181:F181" si="99">B181</f>
        <v>2.9011362637629714E-3</v>
      </c>
      <c r="D181" s="14">
        <f t="shared" si="99"/>
        <v>2.9011362637629714E-3</v>
      </c>
      <c r="E181" s="14">
        <f t="shared" si="99"/>
        <v>2.9011362637629714E-3</v>
      </c>
      <c r="F181" s="14">
        <f t="shared" si="99"/>
        <v>2.9011362637629714E-3</v>
      </c>
      <c r="G181" s="14">
        <f t="shared" ref="G181" si="100">F181</f>
        <v>2.9011362637629714E-3</v>
      </c>
      <c r="H181" s="14">
        <f t="shared" ref="H181" si="101">G181</f>
        <v>2.9011362637629714E-3</v>
      </c>
      <c r="K181" s="5">
        <v>19986</v>
      </c>
      <c r="L181">
        <v>20154</v>
      </c>
      <c r="M181" s="14">
        <f>L181-K181</f>
        <v>168</v>
      </c>
      <c r="N181" t="s">
        <v>137</v>
      </c>
    </row>
    <row r="182" spans="1:14">
      <c r="A182" t="s">
        <v>7</v>
      </c>
      <c r="B182" s="5">
        <f>B181*B179</f>
        <v>165.55613799505562</v>
      </c>
      <c r="C182" s="5">
        <f t="shared" ref="C182:F182" si="102">C181*C179</f>
        <v>166.80335419511283</v>
      </c>
      <c r="D182" s="5">
        <f t="shared" si="102"/>
        <v>167.54583642512256</v>
      </c>
      <c r="E182" s="5">
        <f t="shared" si="102"/>
        <v>167.14056303664918</v>
      </c>
      <c r="F182" s="5">
        <f t="shared" si="102"/>
        <v>163.91506807670882</v>
      </c>
      <c r="G182" s="5">
        <f t="shared" ref="G182:H182" si="103">G181*G179</f>
        <v>153.26652276065153</v>
      </c>
      <c r="H182" s="5">
        <f t="shared" si="103"/>
        <v>150.94433516041488</v>
      </c>
      <c r="I182" s="5"/>
    </row>
    <row r="183" spans="1:14">
      <c r="A183" t="s">
        <v>3</v>
      </c>
      <c r="B183" s="5">
        <f>L181+B182</f>
        <v>20319.556137995056</v>
      </c>
      <c r="C183" s="5">
        <f t="shared" ref="C183:F183" si="104">B183+C182</f>
        <v>20486.359492190168</v>
      </c>
      <c r="D183" s="5">
        <f t="shared" si="104"/>
        <v>20653.905328615288</v>
      </c>
      <c r="E183" s="5">
        <f t="shared" si="104"/>
        <v>20821.045891651938</v>
      </c>
      <c r="F183" s="5">
        <f t="shared" si="104"/>
        <v>20984.960959728647</v>
      </c>
      <c r="G183" s="5">
        <f t="shared" ref="G183" si="105">F183+G182</f>
        <v>21138.227482489299</v>
      </c>
      <c r="H183" s="5">
        <f t="shared" ref="H183" si="106">G183+H182</f>
        <v>21289.171817649712</v>
      </c>
      <c r="I183" s="5"/>
    </row>
    <row r="184" spans="1:14">
      <c r="B184" s="5"/>
      <c r="C184" s="5"/>
      <c r="D184" s="5"/>
      <c r="E184" s="5"/>
      <c r="F184" s="5"/>
      <c r="G184" s="5"/>
      <c r="H184" s="5"/>
      <c r="I184" s="5"/>
    </row>
    <row r="185" spans="1:14">
      <c r="A185" s="2" t="s">
        <v>138</v>
      </c>
    </row>
    <row r="186" spans="1:14">
      <c r="A186" t="s">
        <v>131</v>
      </c>
      <c r="B186" s="5">
        <v>-12.33</v>
      </c>
      <c r="C186" s="5">
        <f>B186</f>
        <v>-12.33</v>
      </c>
      <c r="D186" s="5">
        <f t="shared" ref="D186:H186" si="107">C186</f>
        <v>-12.33</v>
      </c>
      <c r="E186" s="5">
        <f t="shared" si="107"/>
        <v>-12.33</v>
      </c>
      <c r="F186" s="5">
        <f t="shared" si="107"/>
        <v>-12.33</v>
      </c>
      <c r="G186" s="5">
        <f t="shared" si="107"/>
        <v>-12.33</v>
      </c>
      <c r="H186" s="5">
        <f t="shared" si="107"/>
        <v>-12.33</v>
      </c>
      <c r="K186" s="5"/>
      <c r="L186">
        <v>2265</v>
      </c>
    </row>
    <row r="187" spans="1:14">
      <c r="A187" t="s">
        <v>132</v>
      </c>
      <c r="B187" s="5">
        <v>1.5</v>
      </c>
      <c r="C187" s="5">
        <f>B187</f>
        <v>1.5</v>
      </c>
      <c r="D187" s="5">
        <f t="shared" ref="D187:H187" si="108">C187</f>
        <v>1.5</v>
      </c>
      <c r="E187" s="5">
        <f t="shared" si="108"/>
        <v>1.5</v>
      </c>
      <c r="F187" s="5">
        <f t="shared" si="108"/>
        <v>1.5</v>
      </c>
      <c r="G187" s="5">
        <f t="shared" si="108"/>
        <v>1.5</v>
      </c>
      <c r="H187" s="5">
        <f t="shared" si="108"/>
        <v>1.5</v>
      </c>
      <c r="K187" s="5"/>
      <c r="L187">
        <v>154</v>
      </c>
    </row>
    <row r="188" spans="1:14">
      <c r="A188" t="s">
        <v>126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/>
    </row>
    <row r="189" spans="1:14">
      <c r="A189" t="s">
        <v>133</v>
      </c>
      <c r="B189" s="13">
        <v>-0.25</v>
      </c>
      <c r="C189" s="13">
        <f>B189</f>
        <v>-0.25</v>
      </c>
      <c r="D189" s="13">
        <f t="shared" ref="D189:H189" si="109">C189</f>
        <v>-0.25</v>
      </c>
      <c r="E189" s="13">
        <f t="shared" si="109"/>
        <v>-0.25</v>
      </c>
      <c r="F189" s="13">
        <f t="shared" si="109"/>
        <v>-0.25</v>
      </c>
      <c r="G189" s="13">
        <f t="shared" si="109"/>
        <v>-0.25</v>
      </c>
      <c r="H189" s="13">
        <f t="shared" si="109"/>
        <v>-0.25</v>
      </c>
      <c r="I189" s="13"/>
      <c r="L189" t="s">
        <v>139</v>
      </c>
    </row>
    <row r="190" spans="1:14">
      <c r="A190" t="s">
        <v>134</v>
      </c>
      <c r="B190" s="5">
        <v>-1.67</v>
      </c>
      <c r="C190" s="5">
        <v>-2.2000000000000002</v>
      </c>
      <c r="D190" s="5">
        <v>-2.2000000000000002</v>
      </c>
      <c r="E190" s="5">
        <v>-2.2000000000000002</v>
      </c>
      <c r="F190" s="5">
        <v>-2.2000000000000002</v>
      </c>
      <c r="G190" s="5">
        <v>-2.2000000000000002</v>
      </c>
      <c r="H190" s="5">
        <v>-2.2000000000000002</v>
      </c>
      <c r="I190" s="5"/>
    </row>
    <row r="191" spans="1:14">
      <c r="B191" s="5"/>
      <c r="C191" s="5"/>
      <c r="D191" s="5"/>
      <c r="E191" s="5"/>
      <c r="F191" s="5"/>
      <c r="G191" s="5"/>
      <c r="H191" s="5"/>
      <c r="I191" s="5"/>
    </row>
    <row r="192" spans="1:14">
      <c r="A192" s="2" t="s">
        <v>130</v>
      </c>
    </row>
    <row r="193" spans="1:17">
      <c r="A193" t="s">
        <v>131</v>
      </c>
      <c r="B193" s="5">
        <f>L186+B186</f>
        <v>2252.67</v>
      </c>
      <c r="C193" s="5">
        <f>B193+C186</f>
        <v>2240.34</v>
      </c>
      <c r="D193" s="5">
        <f t="shared" ref="C193:F197" si="110">C193+D186</f>
        <v>2228.0100000000002</v>
      </c>
      <c r="E193" s="5">
        <f t="shared" si="110"/>
        <v>2215.6800000000003</v>
      </c>
      <c r="F193" s="5">
        <f t="shared" si="110"/>
        <v>2203.3500000000004</v>
      </c>
      <c r="G193" s="5">
        <f t="shared" ref="G193:G197" si="111">F193+G186</f>
        <v>2191.0200000000004</v>
      </c>
      <c r="H193" s="5">
        <f t="shared" ref="H193:H197" si="112">G193+H186</f>
        <v>2178.6900000000005</v>
      </c>
      <c r="I193" s="5"/>
    </row>
    <row r="194" spans="1:17">
      <c r="A194" t="s">
        <v>132</v>
      </c>
      <c r="B194" s="5">
        <f>L187+B187</f>
        <v>155.5</v>
      </c>
      <c r="C194" s="5">
        <f t="shared" si="110"/>
        <v>157</v>
      </c>
      <c r="D194" s="5">
        <f t="shared" si="110"/>
        <v>158.5</v>
      </c>
      <c r="E194" s="5">
        <f t="shared" si="110"/>
        <v>160</v>
      </c>
      <c r="F194" s="5">
        <f t="shared" si="110"/>
        <v>161.5</v>
      </c>
      <c r="G194" s="5">
        <f t="shared" si="111"/>
        <v>163</v>
      </c>
      <c r="H194" s="5">
        <f t="shared" si="112"/>
        <v>164.5</v>
      </c>
      <c r="I194" s="5"/>
    </row>
    <row r="195" spans="1:17">
      <c r="A195" t="s">
        <v>126</v>
      </c>
      <c r="B195" s="5">
        <v>2</v>
      </c>
      <c r="C195" s="5">
        <f t="shared" si="110"/>
        <v>2</v>
      </c>
      <c r="D195" s="5">
        <f t="shared" si="110"/>
        <v>2</v>
      </c>
      <c r="E195" s="5">
        <f t="shared" si="110"/>
        <v>2</v>
      </c>
      <c r="F195" s="5">
        <f t="shared" si="110"/>
        <v>2</v>
      </c>
      <c r="G195" s="5">
        <f t="shared" si="111"/>
        <v>2</v>
      </c>
      <c r="H195" s="5">
        <f t="shared" si="112"/>
        <v>2</v>
      </c>
      <c r="I195" s="5"/>
    </row>
    <row r="196" spans="1:17">
      <c r="A196" t="s">
        <v>133</v>
      </c>
      <c r="B196" s="5">
        <v>28.75</v>
      </c>
      <c r="C196" s="5">
        <f t="shared" si="110"/>
        <v>28.5</v>
      </c>
      <c r="D196" s="5">
        <f t="shared" si="110"/>
        <v>28.25</v>
      </c>
      <c r="E196" s="5">
        <f t="shared" si="110"/>
        <v>28</v>
      </c>
      <c r="F196" s="5">
        <f t="shared" si="110"/>
        <v>27.75</v>
      </c>
      <c r="G196" s="5">
        <f t="shared" si="111"/>
        <v>27.5</v>
      </c>
      <c r="H196" s="5">
        <f t="shared" si="112"/>
        <v>27.25</v>
      </c>
      <c r="I196" s="5"/>
    </row>
    <row r="197" spans="1:17">
      <c r="A197" t="s">
        <v>134</v>
      </c>
      <c r="B197" s="5">
        <v>51.8</v>
      </c>
      <c r="C197" s="5">
        <f t="shared" si="110"/>
        <v>49.599999999999994</v>
      </c>
      <c r="D197" s="5">
        <f t="shared" si="110"/>
        <v>47.399999999999991</v>
      </c>
      <c r="E197" s="5">
        <f t="shared" si="110"/>
        <v>45.199999999999989</v>
      </c>
      <c r="F197" s="5">
        <f t="shared" si="110"/>
        <v>42.999999999999986</v>
      </c>
      <c r="G197" s="5">
        <f t="shared" si="111"/>
        <v>40.799999999999983</v>
      </c>
      <c r="H197" s="5">
        <f t="shared" si="112"/>
        <v>38.59999999999998</v>
      </c>
      <c r="I197" s="5"/>
    </row>
    <row r="198" spans="1:17">
      <c r="A198" t="s">
        <v>116</v>
      </c>
      <c r="B198" s="5">
        <f>B207</f>
        <v>15328.923536974013</v>
      </c>
      <c r="C198" s="5">
        <f t="shared" ref="C198:H198" si="113">C207</f>
        <v>15402.396442988527</v>
      </c>
      <c r="D198" s="5">
        <f t="shared" si="113"/>
        <v>15476.196394747212</v>
      </c>
      <c r="E198" s="5">
        <f t="shared" si="113"/>
        <v>15549.81783322764</v>
      </c>
      <c r="F198" s="5">
        <f t="shared" si="113"/>
        <v>15622.018517975714</v>
      </c>
      <c r="G198" s="5">
        <f t="shared" si="113"/>
        <v>15689.528772048858</v>
      </c>
      <c r="H198" s="5">
        <f t="shared" si="113"/>
        <v>15756.016157774278</v>
      </c>
      <c r="I198" s="5"/>
      <c r="K198">
        <v>15328.923536974013</v>
      </c>
      <c r="L198">
        <v>15402.396442988527</v>
      </c>
      <c r="M198">
        <v>15476.196394747212</v>
      </c>
      <c r="N198">
        <v>15549.81783322764</v>
      </c>
      <c r="O198">
        <v>15622.018517975714</v>
      </c>
      <c r="P198">
        <v>15689.528772048858</v>
      </c>
      <c r="Q198">
        <v>15756.016157774278</v>
      </c>
    </row>
    <row r="199" spans="1:17">
      <c r="A199" t="s">
        <v>117</v>
      </c>
      <c r="B199" s="15">
        <f>B219</f>
        <v>1343.8368177424368</v>
      </c>
      <c r="C199" s="15">
        <f t="shared" ref="C199:H199" si="114">C219</f>
        <v>1367.5881269419024</v>
      </c>
      <c r="D199" s="15">
        <f t="shared" si="114"/>
        <v>1380.1006483381207</v>
      </c>
      <c r="E199" s="15">
        <f t="shared" si="114"/>
        <v>1391.8203948687185</v>
      </c>
      <c r="F199" s="15">
        <f t="shared" si="114"/>
        <v>1404.0879124833584</v>
      </c>
      <c r="G199" s="15">
        <f t="shared" si="114"/>
        <v>1415.7956935741286</v>
      </c>
      <c r="H199" s="15">
        <f t="shared" si="114"/>
        <v>1426.9228012258498</v>
      </c>
      <c r="I199" s="15"/>
      <c r="K199">
        <v>1343.8368177424368</v>
      </c>
      <c r="L199">
        <v>1367.5881269419024</v>
      </c>
      <c r="M199">
        <v>1380.1006483381207</v>
      </c>
      <c r="N199">
        <v>1391.8203948687185</v>
      </c>
      <c r="O199">
        <v>1404.0879124833584</v>
      </c>
      <c r="P199">
        <v>1415.7956935741286</v>
      </c>
      <c r="Q199">
        <v>1426.9228012258498</v>
      </c>
    </row>
    <row r="200" spans="1:17">
      <c r="A200" t="s">
        <v>118</v>
      </c>
      <c r="B200" s="15">
        <f>B220+B223</f>
        <v>213.1</v>
      </c>
      <c r="C200" s="15">
        <f t="shared" ref="C200:H200" si="115">C220</f>
        <v>213.2</v>
      </c>
      <c r="D200" s="15">
        <f t="shared" si="115"/>
        <v>207.29999999999998</v>
      </c>
      <c r="E200" s="15">
        <f t="shared" si="115"/>
        <v>207.39999999999998</v>
      </c>
      <c r="F200" s="15">
        <f t="shared" si="115"/>
        <v>207.49999999999997</v>
      </c>
      <c r="G200" s="15">
        <f t="shared" si="115"/>
        <v>207.59999999999997</v>
      </c>
      <c r="H200" s="15">
        <f t="shared" si="115"/>
        <v>207.69999999999996</v>
      </c>
      <c r="I200" s="15"/>
      <c r="K200">
        <v>213.1</v>
      </c>
      <c r="L200">
        <v>213.2</v>
      </c>
      <c r="M200">
        <v>207.29999999999998</v>
      </c>
      <c r="N200">
        <v>207.39999999999998</v>
      </c>
      <c r="O200">
        <v>207.49999999999997</v>
      </c>
      <c r="P200">
        <v>207.59999999999997</v>
      </c>
      <c r="Q200">
        <v>207.69999999999996</v>
      </c>
    </row>
    <row r="201" spans="1:17">
      <c r="A201" s="1" t="s">
        <v>140</v>
      </c>
      <c r="K201" s="5">
        <f>K198-B198</f>
        <v>0</v>
      </c>
      <c r="L201" s="5">
        <f t="shared" ref="L201:Q203" si="116">L198-C198</f>
        <v>0</v>
      </c>
      <c r="M201" s="5">
        <f t="shared" si="116"/>
        <v>0</v>
      </c>
      <c r="N201" s="5">
        <f t="shared" si="116"/>
        <v>0</v>
      </c>
      <c r="O201" s="5">
        <f t="shared" si="116"/>
        <v>0</v>
      </c>
      <c r="P201" s="5">
        <f t="shared" si="116"/>
        <v>0</v>
      </c>
      <c r="Q201" s="5">
        <f t="shared" si="116"/>
        <v>0</v>
      </c>
    </row>
    <row r="202" spans="1:17">
      <c r="A202" s="2" t="s">
        <v>1</v>
      </c>
      <c r="K202" s="5">
        <f t="shared" ref="K202:K203" si="117">K199-B199</f>
        <v>0</v>
      </c>
      <c r="L202" s="5">
        <f t="shared" si="116"/>
        <v>0</v>
      </c>
      <c r="M202" s="5">
        <f t="shared" si="116"/>
        <v>0</v>
      </c>
      <c r="N202" s="5">
        <f t="shared" si="116"/>
        <v>0</v>
      </c>
      <c r="O202" s="5">
        <f t="shared" si="116"/>
        <v>0</v>
      </c>
      <c r="P202" s="5">
        <f t="shared" si="116"/>
        <v>0</v>
      </c>
      <c r="Q202" s="5">
        <f t="shared" si="116"/>
        <v>0</v>
      </c>
    </row>
    <row r="203" spans="1:17">
      <c r="A203" t="s">
        <v>7</v>
      </c>
      <c r="B203" s="3">
        <f>B$5</f>
        <v>57065.964140656404</v>
      </c>
      <c r="C203" s="3">
        <f t="shared" ref="C203:H203" si="118">C$5</f>
        <v>57495.870248699561</v>
      </c>
      <c r="D203" s="3">
        <f t="shared" si="118"/>
        <v>57751.798327391967</v>
      </c>
      <c r="E203" s="3">
        <f t="shared" si="118"/>
        <v>57612.103617586195</v>
      </c>
      <c r="F203" s="3">
        <f t="shared" si="118"/>
        <v>56500.299597820267</v>
      </c>
      <c r="G203" s="3">
        <f t="shared" si="118"/>
        <v>52829.825566984713</v>
      </c>
      <c r="H203" s="3">
        <f t="shared" si="118"/>
        <v>52029.384846828878</v>
      </c>
      <c r="I203" s="3"/>
      <c r="K203" s="5">
        <f t="shared" si="117"/>
        <v>0</v>
      </c>
      <c r="L203" s="5">
        <f t="shared" si="116"/>
        <v>0</v>
      </c>
      <c r="M203" s="5">
        <f t="shared" si="116"/>
        <v>0</v>
      </c>
      <c r="N203" s="5">
        <f t="shared" si="116"/>
        <v>0</v>
      </c>
      <c r="O203" s="5">
        <f t="shared" si="116"/>
        <v>0</v>
      </c>
      <c r="P203" s="5">
        <f t="shared" si="116"/>
        <v>0</v>
      </c>
      <c r="Q203" s="5">
        <f t="shared" si="116"/>
        <v>0</v>
      </c>
    </row>
    <row r="204" spans="1:17">
      <c r="A204" s="2" t="s">
        <v>141</v>
      </c>
      <c r="K204">
        <v>2019</v>
      </c>
      <c r="L204">
        <v>2020</v>
      </c>
      <c r="M204" t="s">
        <v>142</v>
      </c>
      <c r="N204" t="s">
        <v>143</v>
      </c>
    </row>
    <row r="205" spans="1:17">
      <c r="A205" t="s">
        <v>4</v>
      </c>
      <c r="B205" s="12">
        <f>M205/N205</f>
        <v>1.2778814495146423E-3</v>
      </c>
      <c r="C205" s="12">
        <f t="shared" ref="C205:F205" si="119">B205</f>
        <v>1.2778814495146423E-3</v>
      </c>
      <c r="D205" s="12">
        <f t="shared" si="119"/>
        <v>1.2778814495146423E-3</v>
      </c>
      <c r="E205" s="12">
        <f t="shared" si="119"/>
        <v>1.2778814495146423E-3</v>
      </c>
      <c r="F205" s="12">
        <f t="shared" si="119"/>
        <v>1.2778814495146423E-3</v>
      </c>
      <c r="G205" s="12">
        <f t="shared" ref="G205" si="120">F205</f>
        <v>1.2778814495146423E-3</v>
      </c>
      <c r="H205" s="12">
        <f t="shared" ref="H205" si="121">G205</f>
        <v>1.2778814495146423E-3</v>
      </c>
      <c r="K205" s="5">
        <v>15182</v>
      </c>
      <c r="L205">
        <v>15256</v>
      </c>
      <c r="M205" s="12">
        <f>L205-K205</f>
        <v>74</v>
      </c>
      <c r="N205">
        <v>57908.345119264595</v>
      </c>
    </row>
    <row r="206" spans="1:17">
      <c r="A206" t="s">
        <v>7</v>
      </c>
      <c r="B206" s="5">
        <f>B205*B203</f>
        <v>72.923536974012606</v>
      </c>
      <c r="C206" s="5">
        <f t="shared" ref="C206:F206" si="122">C205*C203</f>
        <v>73.472906014513995</v>
      </c>
      <c r="D206" s="5">
        <f t="shared" si="122"/>
        <v>73.799951758684941</v>
      </c>
      <c r="E206" s="5">
        <f t="shared" si="122"/>
        <v>73.621438480428822</v>
      </c>
      <c r="F206" s="5">
        <f t="shared" si="122"/>
        <v>72.200684748074124</v>
      </c>
      <c r="G206" s="5">
        <f t="shared" ref="G206:H206" si="123">G205*G203</f>
        <v>67.510254073144139</v>
      </c>
      <c r="H206" s="5">
        <f t="shared" si="123"/>
        <v>66.48738572542085</v>
      </c>
      <c r="I206" s="5"/>
    </row>
    <row r="207" spans="1:17">
      <c r="A207" t="s">
        <v>3</v>
      </c>
      <c r="B207" s="5">
        <f>L205+B206</f>
        <v>15328.923536974013</v>
      </c>
      <c r="C207" s="5">
        <f t="shared" ref="C207:F207" si="124">B207+C206</f>
        <v>15402.396442988527</v>
      </c>
      <c r="D207" s="5">
        <f t="shared" si="124"/>
        <v>15476.196394747212</v>
      </c>
      <c r="E207" s="5">
        <f t="shared" si="124"/>
        <v>15549.81783322764</v>
      </c>
      <c r="F207" s="5">
        <f t="shared" si="124"/>
        <v>15622.018517975714</v>
      </c>
      <c r="G207" s="5">
        <f t="shared" ref="G207" si="125">F207+G206</f>
        <v>15689.528772048858</v>
      </c>
      <c r="H207" s="5">
        <f t="shared" ref="H207" si="126">G207+H206</f>
        <v>15756.016157774278</v>
      </c>
      <c r="I207" s="5"/>
    </row>
    <row r="208" spans="1:17">
      <c r="B208" s="5"/>
      <c r="C208" s="5"/>
      <c r="D208" s="5"/>
      <c r="E208" s="5"/>
      <c r="F208" s="5"/>
      <c r="G208" s="5"/>
      <c r="H208" s="5"/>
      <c r="I208" s="5"/>
    </row>
    <row r="209" spans="1:13">
      <c r="A209" s="2" t="s">
        <v>122</v>
      </c>
      <c r="B209" s="12"/>
      <c r="C209" s="12"/>
      <c r="D209" s="12"/>
      <c r="E209" s="12"/>
      <c r="F209" s="12"/>
      <c r="G209" s="12"/>
      <c r="H209" s="12"/>
      <c r="I209" s="12"/>
    </row>
    <row r="210" spans="1:13">
      <c r="A210" t="s">
        <v>144</v>
      </c>
      <c r="B210" s="13">
        <f>0.42*B146</f>
        <v>1.8830036195933855</v>
      </c>
      <c r="C210" s="13">
        <f t="shared" ref="C210:H210" si="127">0.42*C146</f>
        <v>1.7674250984852646</v>
      </c>
      <c r="D210" s="13">
        <f t="shared" si="127"/>
        <v>0.91493346203566617</v>
      </c>
      <c r="E210" s="13">
        <f t="shared" si="127"/>
        <v>0.84919506013641755</v>
      </c>
      <c r="F210" s="13">
        <f t="shared" si="127"/>
        <v>0.88140090918823422</v>
      </c>
      <c r="G210" s="13">
        <f t="shared" si="127"/>
        <v>0.83383533087062522</v>
      </c>
      <c r="H210" s="13">
        <f t="shared" si="127"/>
        <v>0.78592608398399477</v>
      </c>
      <c r="I210" s="13"/>
    </row>
    <row r="211" spans="1:13">
      <c r="B211" s="5"/>
      <c r="C211" s="5"/>
      <c r="D211" s="5"/>
      <c r="E211" s="5"/>
      <c r="F211" s="5"/>
      <c r="G211" s="5"/>
      <c r="H211" s="5"/>
      <c r="I211" s="5"/>
    </row>
    <row r="212" spans="1:13">
      <c r="A212" s="2" t="s">
        <v>138</v>
      </c>
    </row>
    <row r="213" spans="1:13">
      <c r="A213" t="s">
        <v>132</v>
      </c>
      <c r="B213">
        <v>0.1</v>
      </c>
      <c r="C213">
        <v>0.1</v>
      </c>
      <c r="D213">
        <v>0.1</v>
      </c>
      <c r="E213">
        <v>0.1</v>
      </c>
      <c r="F213">
        <v>0.1</v>
      </c>
      <c r="G213">
        <v>0.1</v>
      </c>
      <c r="H213">
        <v>0.1</v>
      </c>
    </row>
    <row r="214" spans="1:13">
      <c r="A214" t="s">
        <v>145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/>
      <c r="K214" s="5">
        <v>2019</v>
      </c>
      <c r="L214">
        <v>2020</v>
      </c>
    </row>
    <row r="215" spans="1:13">
      <c r="A215" t="s">
        <v>134</v>
      </c>
      <c r="B215" s="13">
        <v>0</v>
      </c>
      <c r="C215" s="13">
        <f>B215</f>
        <v>0</v>
      </c>
      <c r="D215" s="13">
        <f t="shared" ref="D215:H215" si="128">C215</f>
        <v>0</v>
      </c>
      <c r="E215" s="13">
        <f t="shared" si="128"/>
        <v>0</v>
      </c>
      <c r="F215" s="13">
        <f t="shared" si="128"/>
        <v>0</v>
      </c>
      <c r="G215" s="13">
        <f t="shared" si="128"/>
        <v>0</v>
      </c>
      <c r="H215" s="13">
        <f t="shared" si="128"/>
        <v>0</v>
      </c>
      <c r="I215" s="13"/>
      <c r="K215" s="5">
        <v>34</v>
      </c>
      <c r="L215">
        <v>34</v>
      </c>
      <c r="M215" s="5">
        <f>L215-K215</f>
        <v>0</v>
      </c>
    </row>
    <row r="216" spans="1:13">
      <c r="B216" s="13"/>
      <c r="C216" s="13"/>
      <c r="D216" s="13"/>
      <c r="E216" s="13"/>
      <c r="F216" s="13"/>
      <c r="G216" s="13"/>
      <c r="H216" s="13"/>
      <c r="I216" s="13"/>
    </row>
    <row r="217" spans="1:13">
      <c r="B217" s="5"/>
      <c r="C217" s="5"/>
      <c r="D217" s="5"/>
      <c r="E217" s="5"/>
      <c r="F217" s="5"/>
      <c r="G217" s="5"/>
      <c r="H217" s="5"/>
      <c r="I217" s="5"/>
    </row>
    <row r="218" spans="1:13">
      <c r="A218" s="2" t="s">
        <v>130</v>
      </c>
      <c r="L218">
        <v>2020</v>
      </c>
    </row>
    <row r="219" spans="1:13">
      <c r="A219" t="s">
        <v>131</v>
      </c>
      <c r="B219" s="5">
        <f>L219*(1+B210/100)</f>
        <v>1343.8368177424368</v>
      </c>
      <c r="C219" s="5">
        <f>B219*(1+C210/100)</f>
        <v>1367.5881269419024</v>
      </c>
      <c r="D219" s="5">
        <f>C219*(1+D210/100)</f>
        <v>1380.1006483381207</v>
      </c>
      <c r="E219" s="5">
        <f>D219*(1+E210/100)</f>
        <v>1391.8203948687185</v>
      </c>
      <c r="F219" s="5">
        <f>E219*(1+F210/100)</f>
        <v>1404.0879124833584</v>
      </c>
      <c r="G219" s="5">
        <f t="shared" ref="G219:H219" si="129">F219*(1+G210/100)</f>
        <v>1415.7956935741286</v>
      </c>
      <c r="H219" s="5">
        <f t="shared" si="129"/>
        <v>1426.9228012258498</v>
      </c>
      <c r="K219" s="5"/>
      <c r="L219">
        <v>1319</v>
      </c>
    </row>
    <row r="220" spans="1:13">
      <c r="A220" t="s">
        <v>146</v>
      </c>
      <c r="B220" s="5">
        <f>L221+B213</f>
        <v>213.1</v>
      </c>
      <c r="C220" s="5">
        <f>B220+C213</f>
        <v>213.2</v>
      </c>
      <c r="D220" s="5">
        <f>C220+D213-6</f>
        <v>207.29999999999998</v>
      </c>
      <c r="E220" s="5">
        <f t="shared" ref="C220:F222" si="130">D220+E213</f>
        <v>207.39999999999998</v>
      </c>
      <c r="F220" s="5">
        <f t="shared" si="130"/>
        <v>207.49999999999997</v>
      </c>
      <c r="G220" s="5">
        <f t="shared" ref="G220:G222" si="131">F220+G213</f>
        <v>207.59999999999997</v>
      </c>
      <c r="H220" s="5">
        <f t="shared" ref="H220:H222" si="132">G220+H213</f>
        <v>207.69999999999996</v>
      </c>
      <c r="K220" s="5"/>
    </row>
    <row r="221" spans="1:13">
      <c r="A221" t="s">
        <v>145</v>
      </c>
      <c r="B221" s="5">
        <v>3</v>
      </c>
      <c r="C221" s="5">
        <f t="shared" si="130"/>
        <v>3</v>
      </c>
      <c r="D221" s="5">
        <f t="shared" si="130"/>
        <v>3</v>
      </c>
      <c r="E221" s="5">
        <f t="shared" si="130"/>
        <v>3</v>
      </c>
      <c r="F221" s="5">
        <f t="shared" si="130"/>
        <v>3</v>
      </c>
      <c r="G221" s="5">
        <f t="shared" si="131"/>
        <v>3</v>
      </c>
      <c r="H221" s="5">
        <f t="shared" si="132"/>
        <v>3</v>
      </c>
      <c r="K221" s="5"/>
      <c r="L221">
        <v>213</v>
      </c>
    </row>
    <row r="222" spans="1:13">
      <c r="A222" t="s">
        <v>134</v>
      </c>
      <c r="B222" s="5">
        <v>34</v>
      </c>
      <c r="C222" s="5">
        <f>B222+C215</f>
        <v>34</v>
      </c>
      <c r="D222" s="5">
        <f t="shared" si="130"/>
        <v>34</v>
      </c>
      <c r="E222" s="5">
        <f t="shared" si="130"/>
        <v>34</v>
      </c>
      <c r="F222" s="5">
        <f t="shared" si="130"/>
        <v>34</v>
      </c>
      <c r="G222" s="5">
        <f t="shared" si="131"/>
        <v>34</v>
      </c>
      <c r="H222" s="5">
        <f t="shared" si="132"/>
        <v>34</v>
      </c>
    </row>
    <row r="223" spans="1:13">
      <c r="A223" t="s">
        <v>147</v>
      </c>
      <c r="B223" s="5"/>
      <c r="C223" s="5"/>
      <c r="D223" s="5"/>
      <c r="E223" s="5"/>
      <c r="F223" s="5"/>
      <c r="G223" s="5"/>
      <c r="H223" s="5"/>
      <c r="I223" s="5"/>
    </row>
    <row r="226" spans="1:9">
      <c r="A226" s="1" t="s">
        <v>148</v>
      </c>
    </row>
    <row r="227" spans="1:9">
      <c r="A227" t="s">
        <v>149</v>
      </c>
      <c r="B227" s="5">
        <f t="shared" ref="B227:F227" si="133">B156+B183</f>
        <v>38576.974266089121</v>
      </c>
      <c r="C227" s="5">
        <f t="shared" si="133"/>
        <v>38783.492704616394</v>
      </c>
      <c r="D227" s="5">
        <f t="shared" si="133"/>
        <v>38990.93040685702</v>
      </c>
      <c r="E227" s="5">
        <f t="shared" si="133"/>
        <v>39197.866342045258</v>
      </c>
      <c r="F227" s="5">
        <f t="shared" si="133"/>
        <v>39400.808807283087</v>
      </c>
      <c r="G227" s="5">
        <f t="shared" ref="G227:H227" si="134">G156+G183</f>
        <v>39590.567359272463</v>
      </c>
      <c r="H227" s="5">
        <f t="shared" si="134"/>
        <v>39777.450821852028</v>
      </c>
      <c r="I227" s="5"/>
    </row>
    <row r="228" spans="1:9">
      <c r="A228" t="s">
        <v>150</v>
      </c>
      <c r="B228" s="5">
        <f t="shared" ref="B228:F229" si="135">B170+B193</f>
        <v>4239.8944721959215</v>
      </c>
      <c r="C228" s="5">
        <f t="shared" si="135"/>
        <v>4232.5820013508983</v>
      </c>
      <c r="D228" s="5">
        <f t="shared" si="135"/>
        <v>4222.8559568816245</v>
      </c>
      <c r="E228" s="5">
        <f t="shared" si="135"/>
        <v>4212.9459759277916</v>
      </c>
      <c r="F228" s="5">
        <f t="shared" si="135"/>
        <v>4203.1308217093256</v>
      </c>
      <c r="G228" s="5">
        <f t="shared" ref="G228:H228" si="136">G170+G193</f>
        <v>4193.1829472852387</v>
      </c>
      <c r="H228" s="5">
        <f t="shared" si="136"/>
        <v>4183.1008788347499</v>
      </c>
      <c r="I228" s="5"/>
    </row>
    <row r="229" spans="1:9">
      <c r="A229" t="s">
        <v>151</v>
      </c>
      <c r="B229" s="5">
        <f>B171+B194</f>
        <v>296.80578276561164</v>
      </c>
      <c r="C229" s="5">
        <f t="shared" si="135"/>
        <v>300.50593831793992</v>
      </c>
      <c r="D229" s="5">
        <f t="shared" si="135"/>
        <v>303.16261456646674</v>
      </c>
      <c r="E229" s="5">
        <f t="shared" si="135"/>
        <v>305.74483617932901</v>
      </c>
      <c r="F229" s="5">
        <f t="shared" si="135"/>
        <v>308.37650435822525</v>
      </c>
      <c r="G229" s="5">
        <f t="shared" ref="G229:H229" si="137">G171+G194</f>
        <v>310.95541395073013</v>
      </c>
      <c r="H229" s="5">
        <f t="shared" si="137"/>
        <v>313.47980316652763</v>
      </c>
      <c r="I229" s="5"/>
    </row>
    <row r="230" spans="1:9">
      <c r="A230" t="s">
        <v>152</v>
      </c>
      <c r="B230" s="5">
        <f t="shared" ref="B230:F230" si="138">B207</f>
        <v>15328.923536974013</v>
      </c>
      <c r="C230" s="5">
        <f t="shared" si="138"/>
        <v>15402.396442988527</v>
      </c>
      <c r="D230" s="5">
        <f t="shared" si="138"/>
        <v>15476.196394747212</v>
      </c>
      <c r="E230" s="5">
        <f t="shared" si="138"/>
        <v>15549.81783322764</v>
      </c>
      <c r="F230" s="5">
        <f t="shared" si="138"/>
        <v>15622.018517975714</v>
      </c>
      <c r="G230" s="5">
        <f t="shared" ref="G230:H230" si="139">G207</f>
        <v>15689.528772048858</v>
      </c>
      <c r="H230" s="5">
        <f t="shared" si="139"/>
        <v>15756.016157774278</v>
      </c>
      <c r="I230" s="5"/>
    </row>
    <row r="231" spans="1:9">
      <c r="A231" t="s">
        <v>153</v>
      </c>
      <c r="B231" s="5">
        <f t="shared" ref="B231:F232" si="140">B219</f>
        <v>1343.8368177424368</v>
      </c>
      <c r="C231" s="5">
        <f t="shared" si="140"/>
        <v>1367.5881269419024</v>
      </c>
      <c r="D231" s="5">
        <f t="shared" si="140"/>
        <v>1380.1006483381207</v>
      </c>
      <c r="E231" s="5">
        <f t="shared" si="140"/>
        <v>1391.8203948687185</v>
      </c>
      <c r="F231" s="5">
        <f t="shared" si="140"/>
        <v>1404.0879124833584</v>
      </c>
      <c r="G231" s="5">
        <f t="shared" ref="G231:H231" si="141">G219</f>
        <v>1415.7956935741286</v>
      </c>
      <c r="H231" s="5">
        <f t="shared" si="141"/>
        <v>1426.9228012258498</v>
      </c>
      <c r="I231" s="5"/>
    </row>
    <row r="232" spans="1:9">
      <c r="A232" t="s">
        <v>154</v>
      </c>
      <c r="B232" s="5">
        <f>B220</f>
        <v>213.1</v>
      </c>
      <c r="C232" s="5">
        <f t="shared" si="140"/>
        <v>213.2</v>
      </c>
      <c r="D232" s="5">
        <f t="shared" si="140"/>
        <v>207.29999999999998</v>
      </c>
      <c r="E232" s="5">
        <f t="shared" si="140"/>
        <v>207.39999999999998</v>
      </c>
      <c r="F232" s="5">
        <f t="shared" si="140"/>
        <v>207.49999999999997</v>
      </c>
      <c r="G232" s="5">
        <f t="shared" ref="G232:H232" si="142">G220</f>
        <v>207.59999999999997</v>
      </c>
      <c r="H232" s="5">
        <f t="shared" si="142"/>
        <v>207.69999999999996</v>
      </c>
      <c r="I232" s="5"/>
    </row>
    <row r="233" spans="1:9">
      <c r="A233" s="1" t="s">
        <v>155</v>
      </c>
    </row>
    <row r="234" spans="1:9">
      <c r="A234" t="s">
        <v>149</v>
      </c>
      <c r="B234" s="5">
        <v>38576.974266089121</v>
      </c>
      <c r="C234" s="5">
        <v>38783.492704616394</v>
      </c>
      <c r="D234" s="5">
        <v>38990.93040685702</v>
      </c>
      <c r="E234" s="5">
        <v>39197.866342045258</v>
      </c>
      <c r="F234" s="5">
        <v>39400.808807283087</v>
      </c>
      <c r="G234" s="5">
        <v>39590.567359272463</v>
      </c>
      <c r="H234" s="5">
        <v>39777.450821852028</v>
      </c>
      <c r="I234" s="5"/>
    </row>
    <row r="235" spans="1:9">
      <c r="A235" t="s">
        <v>150</v>
      </c>
      <c r="B235" s="5">
        <v>4239.8944721959215</v>
      </c>
      <c r="C235" s="5">
        <v>4232.5820013508983</v>
      </c>
      <c r="D235" s="5">
        <v>4222.8559568816245</v>
      </c>
      <c r="E235" s="5">
        <v>4212.9459759277916</v>
      </c>
      <c r="F235" s="5">
        <v>4203.1308217093256</v>
      </c>
      <c r="G235" s="5">
        <v>4193.1829472852387</v>
      </c>
      <c r="H235" s="5">
        <v>4183.1008788347499</v>
      </c>
      <c r="I235" s="5"/>
    </row>
    <row r="236" spans="1:9">
      <c r="A236" t="s">
        <v>151</v>
      </c>
      <c r="B236" s="5">
        <v>296.80578276561164</v>
      </c>
      <c r="C236" s="5">
        <v>300.50593831793992</v>
      </c>
      <c r="D236" s="5">
        <v>303.16261456646674</v>
      </c>
      <c r="E236" s="5">
        <v>305.74483617932901</v>
      </c>
      <c r="F236" s="5">
        <v>308.37650435822525</v>
      </c>
      <c r="G236" s="5">
        <v>310.95541395073013</v>
      </c>
      <c r="H236" s="5">
        <v>313.47980316652763</v>
      </c>
      <c r="I236" s="5"/>
    </row>
    <row r="237" spans="1:9">
      <c r="A237" t="s">
        <v>152</v>
      </c>
      <c r="B237" s="5">
        <v>15328.923536974013</v>
      </c>
      <c r="C237" s="5">
        <v>15402.396442988527</v>
      </c>
      <c r="D237" s="5">
        <v>15476.196394747212</v>
      </c>
      <c r="E237" s="5">
        <v>15549.81783322764</v>
      </c>
      <c r="F237" s="5">
        <v>15622.018517975714</v>
      </c>
      <c r="G237" s="5">
        <v>15689.528772048858</v>
      </c>
      <c r="H237" s="5">
        <v>15756.016157774278</v>
      </c>
      <c r="I237" s="5"/>
    </row>
    <row r="238" spans="1:9">
      <c r="A238" t="s">
        <v>153</v>
      </c>
      <c r="B238" s="5">
        <v>1343.8368177424368</v>
      </c>
      <c r="C238" s="5">
        <v>1367.5881269419024</v>
      </c>
      <c r="D238" s="5">
        <v>1380.1006483381207</v>
      </c>
      <c r="E238" s="5">
        <v>1391.8203948687185</v>
      </c>
      <c r="F238" s="5">
        <v>1404.0879124833584</v>
      </c>
      <c r="G238" s="5">
        <v>1415.7956935741286</v>
      </c>
      <c r="H238" s="5">
        <v>1426.9228012258498</v>
      </c>
      <c r="I238" s="5"/>
    </row>
    <row r="239" spans="1:9">
      <c r="A239" t="s">
        <v>154</v>
      </c>
      <c r="B239" s="5">
        <v>213.1</v>
      </c>
      <c r="C239" s="5">
        <v>213.2</v>
      </c>
      <c r="D239" s="5">
        <v>207.29999999999998</v>
      </c>
      <c r="E239" s="5">
        <v>207.39999999999998</v>
      </c>
      <c r="F239" s="5">
        <v>207.49999999999997</v>
      </c>
      <c r="G239" s="5">
        <v>207.59999999999997</v>
      </c>
      <c r="H239" s="5">
        <v>207.69999999999996</v>
      </c>
      <c r="I239" s="5"/>
    </row>
    <row r="240" spans="1:9">
      <c r="A240" s="1" t="s">
        <v>156</v>
      </c>
    </row>
    <row r="241" spans="1:9">
      <c r="A241" t="s">
        <v>149</v>
      </c>
      <c r="B241" s="15">
        <f t="shared" ref="B241:F241" si="143">B234-B227</f>
        <v>0</v>
      </c>
      <c r="C241" s="15">
        <f t="shared" si="143"/>
        <v>0</v>
      </c>
      <c r="D241" s="15">
        <f t="shared" si="143"/>
        <v>0</v>
      </c>
      <c r="E241" s="15">
        <f t="shared" si="143"/>
        <v>0</v>
      </c>
      <c r="F241" s="15">
        <f t="shared" si="143"/>
        <v>0</v>
      </c>
      <c r="G241" s="15">
        <f t="shared" ref="G241:H241" si="144">G234-G227</f>
        <v>0</v>
      </c>
      <c r="H241" s="15">
        <f t="shared" si="144"/>
        <v>0</v>
      </c>
      <c r="I241" s="15"/>
    </row>
    <row r="242" spans="1:9">
      <c r="A242" t="s">
        <v>150</v>
      </c>
      <c r="B242" s="15">
        <f t="shared" ref="B242:F247" si="145">B235-B228</f>
        <v>0</v>
      </c>
      <c r="C242" s="15">
        <f t="shared" si="145"/>
        <v>0</v>
      </c>
      <c r="D242" s="15">
        <f t="shared" si="145"/>
        <v>0</v>
      </c>
      <c r="E242" s="15">
        <f t="shared" si="145"/>
        <v>0</v>
      </c>
      <c r="F242" s="15">
        <f t="shared" si="145"/>
        <v>0</v>
      </c>
      <c r="G242" s="15">
        <f t="shared" ref="G242:H242" si="146">G235-G228</f>
        <v>0</v>
      </c>
      <c r="H242" s="15">
        <f t="shared" si="146"/>
        <v>0</v>
      </c>
      <c r="I242" s="15"/>
    </row>
    <row r="243" spans="1:9">
      <c r="A243" t="s">
        <v>151</v>
      </c>
      <c r="B243" s="15">
        <f t="shared" si="145"/>
        <v>0</v>
      </c>
      <c r="C243" s="15">
        <f t="shared" si="145"/>
        <v>0</v>
      </c>
      <c r="D243" s="15">
        <f t="shared" si="145"/>
        <v>0</v>
      </c>
      <c r="E243" s="15">
        <f t="shared" si="145"/>
        <v>0</v>
      </c>
      <c r="F243" s="15">
        <f t="shared" si="145"/>
        <v>0</v>
      </c>
      <c r="G243" s="15">
        <f t="shared" ref="G243:H243" si="147">G236-G229</f>
        <v>0</v>
      </c>
      <c r="H243" s="15">
        <f t="shared" si="147"/>
        <v>0</v>
      </c>
      <c r="I243" s="15"/>
    </row>
    <row r="244" spans="1:9">
      <c r="A244" t="s">
        <v>152</v>
      </c>
      <c r="B244" s="15">
        <f t="shared" si="145"/>
        <v>0</v>
      </c>
      <c r="C244" s="15">
        <f t="shared" si="145"/>
        <v>0</v>
      </c>
      <c r="D244" s="15">
        <f t="shared" si="145"/>
        <v>0</v>
      </c>
      <c r="E244" s="15">
        <f t="shared" si="145"/>
        <v>0</v>
      </c>
      <c r="F244" s="15">
        <f t="shared" si="145"/>
        <v>0</v>
      </c>
      <c r="G244" s="15">
        <f t="shared" ref="G244:H244" si="148">G237-G230</f>
        <v>0</v>
      </c>
      <c r="H244" s="15">
        <f t="shared" si="148"/>
        <v>0</v>
      </c>
      <c r="I244" s="15"/>
    </row>
    <row r="245" spans="1:9">
      <c r="A245" t="s">
        <v>153</v>
      </c>
      <c r="B245" s="15">
        <f t="shared" si="145"/>
        <v>0</v>
      </c>
      <c r="C245" s="15">
        <f t="shared" si="145"/>
        <v>0</v>
      </c>
      <c r="D245" s="15">
        <f t="shared" si="145"/>
        <v>0</v>
      </c>
      <c r="E245" s="15">
        <f t="shared" si="145"/>
        <v>0</v>
      </c>
      <c r="F245" s="15">
        <f t="shared" si="145"/>
        <v>0</v>
      </c>
      <c r="G245" s="15">
        <f t="shared" ref="G245:H245" si="149">G238-G231</f>
        <v>0</v>
      </c>
      <c r="H245" s="15">
        <f t="shared" si="149"/>
        <v>0</v>
      </c>
      <c r="I245" s="15"/>
    </row>
    <row r="246" spans="1:9">
      <c r="A246" t="s">
        <v>154</v>
      </c>
      <c r="B246" s="15">
        <f t="shared" si="145"/>
        <v>0</v>
      </c>
      <c r="C246" s="15">
        <f t="shared" si="145"/>
        <v>0</v>
      </c>
      <c r="D246" s="15">
        <f t="shared" si="145"/>
        <v>0</v>
      </c>
      <c r="E246" s="15">
        <f t="shared" si="145"/>
        <v>0</v>
      </c>
      <c r="F246" s="15">
        <f t="shared" si="145"/>
        <v>0</v>
      </c>
      <c r="G246" s="15">
        <f t="shared" ref="G246:H246" si="150">G239-G232</f>
        <v>0</v>
      </c>
      <c r="H246" s="15">
        <f t="shared" si="150"/>
        <v>0</v>
      </c>
      <c r="I246" s="15"/>
    </row>
    <row r="247" spans="1:9">
      <c r="B247" s="15">
        <f t="shared" si="145"/>
        <v>0</v>
      </c>
      <c r="C247" s="15">
        <f t="shared" si="145"/>
        <v>0</v>
      </c>
      <c r="D247" s="15">
        <f t="shared" si="145"/>
        <v>0</v>
      </c>
      <c r="E247" s="15">
        <f t="shared" si="145"/>
        <v>0</v>
      </c>
      <c r="F247" s="15">
        <f t="shared" si="145"/>
        <v>0</v>
      </c>
      <c r="G247" s="15">
        <f t="shared" ref="G247:H247" si="151">G240-G233</f>
        <v>0</v>
      </c>
      <c r="H247" s="15">
        <f t="shared" si="151"/>
        <v>0</v>
      </c>
      <c r="I247" s="15"/>
    </row>
    <row r="248" spans="1:9">
      <c r="B248" s="15"/>
      <c r="C248" s="15"/>
      <c r="D248" s="15"/>
      <c r="E248" s="15"/>
      <c r="F248" s="15"/>
      <c r="G248" s="15"/>
      <c r="H248" s="15"/>
      <c r="I248" s="15"/>
    </row>
    <row r="249" spans="1:9">
      <c r="A249" s="1" t="s">
        <v>157</v>
      </c>
    </row>
    <row r="250" spans="1:9">
      <c r="A250" t="s">
        <v>158</v>
      </c>
      <c r="B250" s="5">
        <f>B173+B196</f>
        <v>184.72194136892119</v>
      </c>
      <c r="C250" s="5">
        <f t="shared" ref="C250:F250" si="152">C173+C196</f>
        <v>179.58304881382242</v>
      </c>
      <c r="D250" s="5">
        <f t="shared" si="152"/>
        <v>174.59547841220464</v>
      </c>
      <c r="E250" s="5">
        <f t="shared" si="152"/>
        <v>169.74059104261895</v>
      </c>
      <c r="F250" s="5">
        <f t="shared" si="152"/>
        <v>164.98253969381412</v>
      </c>
      <c r="G250" s="5">
        <f t="shared" ref="G250:H250" si="153">G173+G196</f>
        <v>160.23899508332767</v>
      </c>
      <c r="H250" s="5">
        <f t="shared" si="153"/>
        <v>155.61019296122703</v>
      </c>
      <c r="I250" s="5"/>
    </row>
    <row r="251" spans="1:9">
      <c r="A251" t="s">
        <v>159</v>
      </c>
      <c r="B251">
        <f t="shared" ref="B251:F251" si="154">B172+B195+B221</f>
        <v>7</v>
      </c>
      <c r="C251">
        <f t="shared" si="154"/>
        <v>7</v>
      </c>
      <c r="D251">
        <f t="shared" si="154"/>
        <v>7</v>
      </c>
      <c r="E251">
        <f t="shared" si="154"/>
        <v>7</v>
      </c>
      <c r="F251">
        <f t="shared" si="154"/>
        <v>7</v>
      </c>
      <c r="G251">
        <f t="shared" ref="G251:H251" si="155">G172+G195+G221</f>
        <v>7</v>
      </c>
      <c r="H251">
        <f t="shared" si="155"/>
        <v>7</v>
      </c>
    </row>
    <row r="252" spans="1:9">
      <c r="A252" t="s">
        <v>134</v>
      </c>
      <c r="B252" s="5">
        <f t="shared" ref="B252:F252" si="156">B174+B197+B222</f>
        <v>125.4</v>
      </c>
      <c r="C252" s="5">
        <f t="shared" si="156"/>
        <v>122.8</v>
      </c>
      <c r="D252" s="5">
        <f t="shared" si="156"/>
        <v>120.19999999999999</v>
      </c>
      <c r="E252" s="5">
        <f t="shared" si="156"/>
        <v>117.6</v>
      </c>
      <c r="F252" s="5">
        <f t="shared" si="156"/>
        <v>115</v>
      </c>
      <c r="G252" s="5">
        <f t="shared" ref="G252:H252" si="157">G174+G197+G222</f>
        <v>112.39999999999999</v>
      </c>
      <c r="H252" s="5">
        <f t="shared" si="157"/>
        <v>109.79999999999998</v>
      </c>
      <c r="I252" s="5"/>
    </row>
    <row r="255" spans="1:9">
      <c r="A255" s="1" t="s">
        <v>160</v>
      </c>
    </row>
    <row r="256" spans="1:9">
      <c r="A256" t="s">
        <v>161</v>
      </c>
      <c r="B256" s="5">
        <f>B113</f>
        <v>19885.678033987737</v>
      </c>
      <c r="C256" s="5">
        <f>C113</f>
        <v>19557.619894541593</v>
      </c>
      <c r="D256" s="5">
        <f>D250+D113</f>
        <v>19409.438554209246</v>
      </c>
      <c r="E256" s="5">
        <f>E250+E113</f>
        <v>19086.035764061216</v>
      </c>
      <c r="F256" s="5">
        <f>F250+F113</f>
        <v>18764.629459873064</v>
      </c>
      <c r="G256" s="5">
        <f t="shared" ref="G256:H256" si="158">G250+G113</f>
        <v>18439.34530755203</v>
      </c>
      <c r="H256" s="5">
        <f t="shared" si="158"/>
        <v>18117.35214665917</v>
      </c>
      <c r="I256" s="5"/>
    </row>
    <row r="257" spans="1:9">
      <c r="A257" t="s">
        <v>162</v>
      </c>
      <c r="B257" s="3">
        <f>B95</f>
        <v>5403.550359394193</v>
      </c>
      <c r="C257" s="3">
        <f>C95</f>
        <v>5445.0890088068363</v>
      </c>
      <c r="D257" s="3">
        <f>D251+D95</f>
        <v>5493.909688122113</v>
      </c>
      <c r="E257" s="3">
        <f>E251+E95</f>
        <v>5535.7306064368668</v>
      </c>
      <c r="F257" s="3">
        <f>F251+F95</f>
        <v>5576.8593578321688</v>
      </c>
      <c r="G257" s="3">
        <f t="shared" ref="G257:H257" si="159">G251+G95</f>
        <v>5615.4734741533566</v>
      </c>
      <c r="H257" s="3">
        <f t="shared" si="159"/>
        <v>5653.6171988116184</v>
      </c>
      <c r="I257" s="3"/>
    </row>
    <row r="258" spans="1:9">
      <c r="A258" t="s">
        <v>163</v>
      </c>
      <c r="B258" s="5">
        <f>B136</f>
        <v>5546.6507232572985</v>
      </c>
      <c r="C258" s="5">
        <f>C136</f>
        <v>5589.2894264216375</v>
      </c>
      <c r="D258" s="5">
        <f>D252+D136</f>
        <v>5752.4176283894267</v>
      </c>
      <c r="E258" s="5">
        <f>E252+E136</f>
        <v>5792.7460756860346</v>
      </c>
      <c r="F258" s="5">
        <f>F252+F136</f>
        <v>5832.3640256449553</v>
      </c>
      <c r="G258" s="5">
        <f>G252+G136</f>
        <v>5869.4007463148209</v>
      </c>
      <c r="H258" s="5">
        <f t="shared" ref="H258" si="160">H252+H136</f>
        <v>5905.9546181012956</v>
      </c>
      <c r="I258" s="5"/>
    </row>
    <row r="259" spans="1:9">
      <c r="A259" t="s">
        <v>164</v>
      </c>
    </row>
    <row r="260" spans="1:9">
      <c r="A260" s="1" t="s">
        <v>165</v>
      </c>
    </row>
    <row r="261" spans="1:9">
      <c r="A261" t="s">
        <v>166</v>
      </c>
      <c r="B261" s="5">
        <v>19885.678033987737</v>
      </c>
      <c r="C261" s="5">
        <v>19557.619894541593</v>
      </c>
      <c r="D261" s="5">
        <v>19409.438554209246</v>
      </c>
      <c r="E261" s="5">
        <v>19086.035764061216</v>
      </c>
      <c r="F261" s="5">
        <v>18764.629459873064</v>
      </c>
      <c r="G261" s="5">
        <v>18439.34530755203</v>
      </c>
      <c r="H261" s="5">
        <v>18117.35214665917</v>
      </c>
      <c r="I261" s="5"/>
    </row>
    <row r="262" spans="1:9">
      <c r="A262" t="s">
        <v>167</v>
      </c>
      <c r="B262" s="5">
        <v>5403.550359394193</v>
      </c>
      <c r="C262" s="5">
        <v>5445.0890088068363</v>
      </c>
      <c r="D262" s="5">
        <v>5493.909688122113</v>
      </c>
      <c r="E262" s="5">
        <v>5535.7306064368668</v>
      </c>
      <c r="F262" s="5">
        <v>5576.8593578321688</v>
      </c>
      <c r="G262" s="5">
        <v>5615.4734741533566</v>
      </c>
      <c r="H262" s="5">
        <v>5653.6171988116184</v>
      </c>
      <c r="I262" s="5"/>
    </row>
    <row r="263" spans="1:9">
      <c r="A263" t="s">
        <v>168</v>
      </c>
      <c r="B263" s="5">
        <v>5546.6507232572985</v>
      </c>
      <c r="C263" s="5">
        <v>5589.2894264216375</v>
      </c>
      <c r="D263" s="5">
        <v>5752.4176283894267</v>
      </c>
      <c r="E263" s="5">
        <v>5792.7460756860337</v>
      </c>
      <c r="F263" s="5">
        <v>5832.3640256449553</v>
      </c>
      <c r="G263" s="5">
        <v>5869.4007463148218</v>
      </c>
      <c r="H263" s="5">
        <v>5905.9546181012956</v>
      </c>
      <c r="I263" s="5"/>
    </row>
    <row r="265" spans="1:9">
      <c r="A265" s="1" t="s">
        <v>156</v>
      </c>
    </row>
    <row r="266" spans="1:9">
      <c r="A266" t="s">
        <v>169</v>
      </c>
      <c r="B266" s="15">
        <f t="shared" ref="B266:C266" si="161">B256-B261</f>
        <v>0</v>
      </c>
      <c r="C266" s="15">
        <f t="shared" si="161"/>
        <v>0</v>
      </c>
      <c r="D266" s="15">
        <f>D256-D261</f>
        <v>0</v>
      </c>
      <c r="E266" s="15">
        <f>E256-E261</f>
        <v>0</v>
      </c>
      <c r="F266" s="15">
        <f t="shared" ref="D266:F268" si="162">F256-F261</f>
        <v>0</v>
      </c>
      <c r="G266" s="15">
        <f t="shared" ref="G266:H266" si="163">G256-G261</f>
        <v>0</v>
      </c>
      <c r="H266" s="15">
        <f t="shared" si="163"/>
        <v>0</v>
      </c>
      <c r="I266" s="15"/>
    </row>
    <row r="267" spans="1:9">
      <c r="A267" t="s">
        <v>170</v>
      </c>
      <c r="B267" s="15">
        <f t="shared" ref="B267:D267" si="164">B257-B262</f>
        <v>0</v>
      </c>
      <c r="C267" s="15">
        <f t="shared" si="164"/>
        <v>0</v>
      </c>
      <c r="D267" s="15">
        <f t="shared" si="164"/>
        <v>0</v>
      </c>
      <c r="E267" s="15">
        <f t="shared" si="162"/>
        <v>0</v>
      </c>
      <c r="F267" s="15">
        <f t="shared" si="162"/>
        <v>0</v>
      </c>
      <c r="G267" s="15">
        <f t="shared" ref="G267:H267" si="165">G257-G262</f>
        <v>0</v>
      </c>
      <c r="H267" s="15">
        <f t="shared" si="165"/>
        <v>0</v>
      </c>
      <c r="I267" s="15"/>
    </row>
    <row r="268" spans="1:9">
      <c r="A268" t="s">
        <v>171</v>
      </c>
      <c r="B268" s="15">
        <f t="shared" ref="B268:C268" si="166">B258-B263</f>
        <v>0</v>
      </c>
      <c r="C268" s="15">
        <f t="shared" si="166"/>
        <v>0</v>
      </c>
      <c r="D268" s="15">
        <f t="shared" si="162"/>
        <v>0</v>
      </c>
      <c r="E268" s="15">
        <f t="shared" si="162"/>
        <v>0</v>
      </c>
      <c r="F268" s="15">
        <f t="shared" si="162"/>
        <v>0</v>
      </c>
      <c r="G268" s="15">
        <f t="shared" ref="G268" si="167">G258-G263</f>
        <v>0</v>
      </c>
      <c r="H268" s="15">
        <f>H258-H263</f>
        <v>0</v>
      </c>
      <c r="I268" s="15"/>
    </row>
    <row r="270" spans="1:9">
      <c r="A270" s="34" t="s">
        <v>172</v>
      </c>
      <c r="B270" s="35">
        <v>879</v>
      </c>
      <c r="C270" s="35">
        <v>881</v>
      </c>
      <c r="D270" s="35">
        <v>882</v>
      </c>
      <c r="E270" s="35">
        <v>889</v>
      </c>
      <c r="F270" s="35">
        <v>896</v>
      </c>
      <c r="G270" s="35">
        <v>903</v>
      </c>
      <c r="H270" s="35">
        <v>910</v>
      </c>
    </row>
    <row r="271" spans="1:9">
      <c r="A271" s="36" t="s">
        <v>173</v>
      </c>
      <c r="B271" s="36"/>
      <c r="C271" s="36"/>
      <c r="D271" s="36">
        <v>21</v>
      </c>
      <c r="E271" s="36">
        <v>21</v>
      </c>
      <c r="F271" s="36">
        <v>21</v>
      </c>
      <c r="G271" s="36">
        <v>21</v>
      </c>
      <c r="H271" s="36">
        <v>21</v>
      </c>
    </row>
    <row r="272" spans="1:9">
      <c r="A272" s="36" t="s">
        <v>174</v>
      </c>
      <c r="B272" s="36"/>
      <c r="C272" s="36"/>
      <c r="D272" s="36">
        <v>6</v>
      </c>
      <c r="E272" s="36">
        <v>6</v>
      </c>
      <c r="F272" s="36">
        <v>6</v>
      </c>
      <c r="G272" s="36">
        <v>6</v>
      </c>
      <c r="H272" s="36">
        <v>6</v>
      </c>
    </row>
    <row r="273" spans="1:8">
      <c r="A273" s="36" t="s">
        <v>175</v>
      </c>
      <c r="B273" s="36"/>
      <c r="C273" s="36"/>
      <c r="D273" s="36">
        <v>6</v>
      </c>
      <c r="E273" s="36">
        <v>6</v>
      </c>
      <c r="F273" s="36">
        <v>6</v>
      </c>
      <c r="G273" s="36">
        <v>6</v>
      </c>
      <c r="H273" s="36">
        <v>6</v>
      </c>
    </row>
    <row r="274" spans="1:8">
      <c r="A274" s="36" t="s">
        <v>176</v>
      </c>
      <c r="B274" s="36"/>
      <c r="C274" s="36"/>
      <c r="D274" s="36">
        <v>-5</v>
      </c>
      <c r="E274" s="36">
        <v>-5</v>
      </c>
      <c r="F274" s="36">
        <v>-5</v>
      </c>
      <c r="G274" s="36">
        <v>-5</v>
      </c>
      <c r="H274" s="36">
        <v>-5</v>
      </c>
    </row>
    <row r="275" spans="1:8">
      <c r="A275" s="34" t="s">
        <v>177</v>
      </c>
      <c r="B275" s="36">
        <v>879</v>
      </c>
      <c r="C275" s="36">
        <v>881</v>
      </c>
      <c r="D275" s="36">
        <v>910</v>
      </c>
      <c r="E275" s="36">
        <v>917</v>
      </c>
      <c r="F275" s="36">
        <v>924</v>
      </c>
      <c r="G275" s="36">
        <v>931</v>
      </c>
      <c r="H275" s="36">
        <v>938</v>
      </c>
    </row>
    <row r="276" spans="1:8">
      <c r="A276" s="34" t="s">
        <v>155</v>
      </c>
      <c r="B276" s="37">
        <v>879</v>
      </c>
      <c r="C276" s="37">
        <v>881</v>
      </c>
      <c r="D276" s="37">
        <v>910</v>
      </c>
      <c r="E276" s="37">
        <v>917</v>
      </c>
      <c r="F276" s="37">
        <v>924</v>
      </c>
      <c r="G276" s="37">
        <v>931</v>
      </c>
      <c r="H276" s="37">
        <v>938</v>
      </c>
    </row>
    <row r="277" spans="1:8">
      <c r="A277" s="34" t="s">
        <v>156</v>
      </c>
      <c r="B277" s="36">
        <v>0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2" ma:contentTypeDescription="Create a new document." ma:contentTypeScope="" ma:versionID="21d59457b66960e8c15923019cec9c6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5e740588a1269f5b41866aa20ec1764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B55D6FC5-2CD3-440A-AB5F-A2C418F165C1}"/>
</file>

<file path=customXml/itemProps2.xml><?xml version="1.0" encoding="utf-8"?>
<ds:datastoreItem xmlns:ds="http://schemas.openxmlformats.org/officeDocument/2006/customXml" ds:itemID="{FE442590-8E7F-4A94-86C5-FFDC2BD423C0}"/>
</file>

<file path=customXml/itemProps3.xml><?xml version="1.0" encoding="utf-8"?>
<ds:datastoreItem xmlns:ds="http://schemas.openxmlformats.org/officeDocument/2006/customXml" ds:itemID="{FC737151-4E49-4C87-9E39-3767D765EF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JT-VECC-TCQ-09_01</dc:title>
  <dc:subject/>
  <dc:creator>ALAGHEBAND Bijan</dc:creator>
  <cp:keywords/>
  <dc:description/>
  <cp:lastModifiedBy>MACKINNON Eryn</cp:lastModifiedBy>
  <cp:revision/>
  <dcterms:created xsi:type="dcterms:W3CDTF">2018-01-29T15:30:29Z</dcterms:created>
  <dcterms:modified xsi:type="dcterms:W3CDTF">2022-01-04T14:18:45Z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IntervenorAcronym">
    <vt:lpwstr>VECC</vt:lpwstr>
  </property>
  <property fmtid="{D5CDD505-2E9C-101B-9397-08002B2CF9AE}" pid="4" name="WitnessApproved">
    <vt:lpwstr>Approved</vt:lpwstr>
  </property>
  <property fmtid="{D5CDD505-2E9C-101B-9397-08002B2CF9AE}" pid="5" name="ConfidentialFlag">
    <vt:bool>false</vt:bool>
  </property>
  <property fmtid="{D5CDD505-2E9C-101B-9397-08002B2CF9AE}" pid="6" name="Witness">
    <vt:lpwstr>ALAGHEBAND Bijan; LI Clement</vt:lpwstr>
  </property>
  <property fmtid="{D5CDD505-2E9C-101B-9397-08002B2CF9AE}" pid="9" name="Internal">
    <vt:lpwstr>No</vt:lpwstr>
  </property>
  <property fmtid="{D5CDD505-2E9C-101B-9397-08002B2CF9AE}" pid="11" name="IssueDate">
    <vt:filetime>2022-01-05T05:00:00Z</vt:filetime>
  </property>
  <property fmtid="{D5CDD505-2E9C-101B-9397-08002B2CF9AE}" pid="12" name="UTAuthors">
    <vt:lpwstr>159;#Tian.Zhou@HydroOne.com</vt:lpwstr>
  </property>
  <property fmtid="{D5CDD505-2E9C-101B-9397-08002B2CF9AE}" pid="15" name="Exhibit">
    <vt:lpwstr>JT-VECC-TCQ-09</vt:lpwstr>
  </property>
  <property fmtid="{D5CDD505-2E9C-101B-9397-08002B2CF9AE}" pid="16" name="RAApproved">
    <vt:bool>true</vt:bool>
  </property>
  <property fmtid="{D5CDD505-2E9C-101B-9397-08002B2CF9AE}" pid="17" name="FormattingComplete">
    <vt:bool>false</vt:bool>
  </property>
  <property fmtid="{D5CDD505-2E9C-101B-9397-08002B2CF9AE}" pid="18" name="RA">
    <vt:lpwstr>25;#Heloise.Apesteguy-Reux@HydroOne.com</vt:lpwstr>
  </property>
  <property fmtid="{D5CDD505-2E9C-101B-9397-08002B2CF9AE}" pid="19" name="RegDirectorApproved">
    <vt:bool>false</vt:bool>
  </property>
  <property fmtid="{D5CDD505-2E9C-101B-9397-08002B2CF9AE}" pid="20" name="DraftReady">
    <vt:lpwstr>Ready</vt:lpwstr>
  </property>
</Properties>
</file>