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- RA\MISC\"/>
    </mc:Choice>
  </mc:AlternateContent>
  <xr:revisionPtr revIDLastSave="3" documentId="11_D03A2A6B47D15A21343B25D7870219AD1B740090" xr6:coauthVersionLast="47" xr6:coauthVersionMax="47" xr10:uidLastSave="{018FDD9B-9090-482C-BE1D-51FFB59DBD8E}"/>
  <bookViews>
    <workbookView xWindow="1008" yWindow="60" windowWidth="22980" windowHeight="9288" xr2:uid="{00000000-000D-0000-FFFF-FFFF00000000}"/>
  </bookViews>
  <sheets>
    <sheet name="Hydro One Transmission Mod." sheetId="5" r:id="rId1"/>
    <sheet name="Hydro One Distribution" sheetId="6" r:id="rId2"/>
  </sheets>
  <definedNames>
    <definedName name="_xlnm.Print_Area" localSheetId="1">'Hydro One Distribution'!$A$1:$J$67</definedName>
    <definedName name="_xlnm.Print_Area" localSheetId="0">'Hydro One Transmission Mod.'!$A$1:$J$70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F6" i="6"/>
  <c r="E6" i="6"/>
  <c r="D6" i="6"/>
  <c r="C6" i="6"/>
  <c r="B6" i="6"/>
  <c r="F10" i="6" l="1"/>
  <c r="D10" i="6"/>
  <c r="E10" i="6"/>
  <c r="D13" i="6"/>
  <c r="C10" i="6"/>
  <c r="C13" i="6"/>
  <c r="B13" i="6"/>
  <c r="B10" i="6"/>
  <c r="B59" i="6" s="1"/>
  <c r="E13" i="6"/>
  <c r="F13" i="6"/>
  <c r="F6" i="5"/>
  <c r="E6" i="5"/>
  <c r="D6" i="5"/>
  <c r="C6" i="5"/>
  <c r="B6" i="5"/>
  <c r="F59" i="5" l="1"/>
  <c r="D59" i="5"/>
  <c r="D60" i="5" s="1"/>
  <c r="D51" i="5" s="1"/>
  <c r="D18" i="5"/>
  <c r="F13" i="5"/>
  <c r="B10" i="5"/>
  <c r="B18" i="5" s="1"/>
  <c r="B34" i="5" s="1"/>
  <c r="C13" i="5"/>
  <c r="C10" i="5"/>
  <c r="C18" i="5" s="1"/>
  <c r="C34" i="5" s="1"/>
  <c r="B18" i="6"/>
  <c r="B19" i="6" s="1"/>
  <c r="B28" i="6" s="1"/>
  <c r="E18" i="5"/>
  <c r="E34" i="5" s="1"/>
  <c r="E25" i="5" s="1"/>
  <c r="E13" i="5"/>
  <c r="E59" i="6"/>
  <c r="E18" i="6"/>
  <c r="E19" i="6" s="1"/>
  <c r="E28" i="6" s="1"/>
  <c r="C18" i="6"/>
  <c r="C59" i="6"/>
  <c r="D59" i="6"/>
  <c r="D18" i="6"/>
  <c r="F59" i="6"/>
  <c r="F18" i="6"/>
  <c r="F34" i="6" s="1"/>
  <c r="B60" i="6"/>
  <c r="B51" i="6" s="1"/>
  <c r="F18" i="5"/>
  <c r="F34" i="5" s="1"/>
  <c r="B13" i="5"/>
  <c r="D13" i="5"/>
  <c r="B34" i="6" l="1"/>
  <c r="D34" i="5"/>
  <c r="D25" i="5" s="1"/>
  <c r="C59" i="5"/>
  <c r="C60" i="5" s="1"/>
  <c r="C51" i="5" s="1"/>
  <c r="B50" i="6"/>
  <c r="B25" i="6"/>
  <c r="B26" i="6" s="1"/>
  <c r="B29" i="6" s="1"/>
  <c r="B30" i="6" s="1"/>
  <c r="B32" i="6" s="1"/>
  <c r="D34" i="6"/>
  <c r="D19" i="6"/>
  <c r="D28" i="6" s="1"/>
  <c r="D60" i="6"/>
  <c r="D51" i="6" s="1"/>
  <c r="F19" i="6"/>
  <c r="F28" i="6" s="1"/>
  <c r="C60" i="6"/>
  <c r="C51" i="6" s="1"/>
  <c r="B61" i="6"/>
  <c r="F60" i="6"/>
  <c r="F51" i="6" s="1"/>
  <c r="C34" i="6"/>
  <c r="C19" i="6"/>
  <c r="C28" i="6" s="1"/>
  <c r="E34" i="6"/>
  <c r="E60" i="6"/>
  <c r="E51" i="6" s="1"/>
  <c r="E59" i="5"/>
  <c r="B59" i="5"/>
  <c r="D50" i="5" l="1"/>
  <c r="E60" i="5"/>
  <c r="E51" i="5" s="1"/>
  <c r="F61" i="6"/>
  <c r="C61" i="6"/>
  <c r="C50" i="6"/>
  <c r="C25" i="6"/>
  <c r="C26" i="6" s="1"/>
  <c r="C29" i="6" s="1"/>
  <c r="C30" i="6" s="1"/>
  <c r="C32" i="6" s="1"/>
  <c r="D25" i="6"/>
  <c r="D26" i="6" s="1"/>
  <c r="D29" i="6" s="1"/>
  <c r="D30" i="6" s="1"/>
  <c r="D32" i="6" s="1"/>
  <c r="D50" i="6"/>
  <c r="D61" i="6"/>
  <c r="E50" i="6"/>
  <c r="E25" i="6"/>
  <c r="E26" i="6" s="1"/>
  <c r="E29" i="6" s="1"/>
  <c r="E30" i="6" s="1"/>
  <c r="E32" i="6" s="1"/>
  <c r="E35" i="6" s="1"/>
  <c r="F50" i="6"/>
  <c r="F25" i="6"/>
  <c r="F26" i="6" s="1"/>
  <c r="F29" i="6" s="1"/>
  <c r="F30" i="6" s="1"/>
  <c r="F32" i="6" s="1"/>
  <c r="F35" i="6" s="1"/>
  <c r="B35" i="6"/>
  <c r="B37" i="6"/>
  <c r="B49" i="6" s="1"/>
  <c r="B52" i="6" s="1"/>
  <c r="B54" i="6" s="1"/>
  <c r="B55" i="6" s="1"/>
  <c r="B39" i="6" s="1"/>
  <c r="B36" i="6"/>
  <c r="E61" i="6"/>
  <c r="B50" i="5"/>
  <c r="B19" i="5"/>
  <c r="B28" i="5" s="1"/>
  <c r="B60" i="5"/>
  <c r="B51" i="5" s="1"/>
  <c r="B61" i="5" l="1"/>
  <c r="C61" i="5" s="1"/>
  <c r="E36" i="6"/>
  <c r="E37" i="6"/>
  <c r="E49" i="6" s="1"/>
  <c r="E52" i="6" s="1"/>
  <c r="E54" i="6" s="1"/>
  <c r="E55" i="6" s="1"/>
  <c r="E39" i="6" s="1"/>
  <c r="D37" i="6"/>
  <c r="D49" i="6" s="1"/>
  <c r="D52" i="6" s="1"/>
  <c r="D54" i="6" s="1"/>
  <c r="D55" i="6" s="1"/>
  <c r="D39" i="6" s="1"/>
  <c r="D36" i="6"/>
  <c r="D35" i="6"/>
  <c r="C37" i="6"/>
  <c r="C49" i="6" s="1"/>
  <c r="C52" i="6" s="1"/>
  <c r="C54" i="6" s="1"/>
  <c r="C55" i="6" s="1"/>
  <c r="C39" i="6" s="1"/>
  <c r="C36" i="6"/>
  <c r="C35" i="6"/>
  <c r="B42" i="6"/>
  <c r="B43" i="6" s="1"/>
  <c r="F37" i="6"/>
  <c r="F49" i="6" s="1"/>
  <c r="F52" i="6" s="1"/>
  <c r="F54" i="6" s="1"/>
  <c r="F55" i="6" s="1"/>
  <c r="F39" i="6" s="1"/>
  <c r="F36" i="6"/>
  <c r="D61" i="5"/>
  <c r="B25" i="5"/>
  <c r="B26" i="5" s="1"/>
  <c r="C42" i="6" l="1"/>
  <c r="E42" i="6"/>
  <c r="E43" i="6" s="1"/>
  <c r="F42" i="6"/>
  <c r="F43" i="6" s="1"/>
  <c r="D42" i="6"/>
  <c r="D43" i="6" s="1"/>
  <c r="C43" i="6"/>
  <c r="C19" i="5"/>
  <c r="C28" i="5" s="1"/>
  <c r="B29" i="5"/>
  <c r="B30" i="5" s="1"/>
  <c r="B32" i="5" s="1"/>
  <c r="E61" i="5" l="1"/>
  <c r="F60" i="5" s="1"/>
  <c r="B37" i="5"/>
  <c r="B36" i="5"/>
  <c r="B35" i="5"/>
  <c r="C50" i="5"/>
  <c r="C25" i="5"/>
  <c r="C26" i="5" s="1"/>
  <c r="B49" i="5" l="1"/>
  <c r="B52" i="5" s="1"/>
  <c r="B54" i="5" s="1"/>
  <c r="B55" i="5" s="1"/>
  <c r="B39" i="5" s="1"/>
  <c r="B42" i="5" s="1"/>
  <c r="B43" i="5" s="1"/>
  <c r="F51" i="5"/>
  <c r="F61" i="5"/>
  <c r="C29" i="5"/>
  <c r="C30" i="5" s="1"/>
  <c r="C32" i="5" s="1"/>
  <c r="D19" i="5"/>
  <c r="D28" i="5" s="1"/>
  <c r="C35" i="5" l="1"/>
  <c r="C36" i="5"/>
  <c r="D26" i="5"/>
  <c r="D29" i="5" s="1"/>
  <c r="C37" i="5" l="1"/>
  <c r="D30" i="5"/>
  <c r="D32" i="5" s="1"/>
  <c r="E19" i="5"/>
  <c r="E28" i="5" s="1"/>
  <c r="C49" i="5" l="1"/>
  <c r="C52" i="5" s="1"/>
  <c r="C54" i="5" s="1"/>
  <c r="C55" i="5" s="1"/>
  <c r="C39" i="5" s="1"/>
  <c r="C42" i="5" s="1"/>
  <c r="C43" i="5" s="1"/>
  <c r="D37" i="5"/>
  <c r="D49" i="5" s="1"/>
  <c r="D52" i="5" s="1"/>
  <c r="D54" i="5" s="1"/>
  <c r="E50" i="5"/>
  <c r="E26" i="5"/>
  <c r="D36" i="5" l="1"/>
  <c r="D55" i="5"/>
  <c r="D39" i="5" s="1"/>
  <c r="D35" i="5"/>
  <c r="F19" i="5"/>
  <c r="F28" i="5" s="1"/>
  <c r="E29" i="5"/>
  <c r="E30" i="5" s="1"/>
  <c r="E32" i="5" s="1"/>
  <c r="D42" i="5" l="1"/>
  <c r="D43" i="5" s="1"/>
  <c r="E36" i="5"/>
  <c r="E35" i="5"/>
  <c r="E37" i="5"/>
  <c r="E49" i="5" s="1"/>
  <c r="E52" i="5" s="1"/>
  <c r="E54" i="5" s="1"/>
  <c r="E55" i="5" s="1"/>
  <c r="E39" i="5" s="1"/>
  <c r="F25" i="5"/>
  <c r="F26" i="5" s="1"/>
  <c r="F29" i="5" s="1"/>
  <c r="F30" i="5" s="1"/>
  <c r="F32" i="5" s="1"/>
  <c r="F50" i="5"/>
  <c r="E42" i="5" l="1"/>
  <c r="E43" i="5" s="1"/>
  <c r="F37" i="5"/>
  <c r="F49" i="5" s="1"/>
  <c r="F52" i="5" s="1"/>
  <c r="F54" i="5" s="1"/>
  <c r="F55" i="5" s="1"/>
  <c r="F39" i="5" s="1"/>
  <c r="F36" i="5"/>
  <c r="F35" i="5"/>
  <c r="F42" i="5" l="1"/>
  <c r="F43" i="5" s="1"/>
</calcChain>
</file>

<file path=xl/sharedStrings.xml><?xml version="1.0" encoding="utf-8"?>
<sst xmlns="http://schemas.openxmlformats.org/spreadsheetml/2006/main" count="109" uniqueCount="58">
  <si>
    <t>Hydro One Transmission CISVA Calculation - Illustrative Example</t>
  </si>
  <si>
    <t>$M</t>
  </si>
  <si>
    <t>Assumptions for all years:</t>
  </si>
  <si>
    <t>Transmission ISA OEB Approved per Rate Application</t>
  </si>
  <si>
    <t>ROE</t>
  </si>
  <si>
    <t xml:space="preserve">2% Deadband </t>
  </si>
  <si>
    <t>Short-term debt</t>
  </si>
  <si>
    <t>Transmission ISA OEB Approved per Rate Application (adjusted for 2% deadband)</t>
  </si>
  <si>
    <t>Long-term debt</t>
  </si>
  <si>
    <t>Average depreciation rate</t>
  </si>
  <si>
    <t>Transmission ISA Actuals</t>
  </si>
  <si>
    <t>Average CCA Rate</t>
  </si>
  <si>
    <t>Cumulative Difference</t>
  </si>
  <si>
    <t>Cumulative ISA Percentage of Forecast Adjusted for 2% Deadband</t>
  </si>
  <si>
    <t>Gross Fixed Assets</t>
  </si>
  <si>
    <t>Opening</t>
  </si>
  <si>
    <t>Additions</t>
  </si>
  <si>
    <t>closing</t>
  </si>
  <si>
    <t>Acc. Dep</t>
  </si>
  <si>
    <t>Rate base</t>
  </si>
  <si>
    <t>Gross</t>
  </si>
  <si>
    <t>Net</t>
  </si>
  <si>
    <t xml:space="preserve"> avg.</t>
  </si>
  <si>
    <t>Depreciation</t>
  </si>
  <si>
    <t>Fixed Rate Debt (56%)</t>
  </si>
  <si>
    <t>Floating Rate Debt (4%)</t>
  </si>
  <si>
    <t>ROE (40%)</t>
  </si>
  <si>
    <t>Tax Impact (Note 1)</t>
  </si>
  <si>
    <t>Total Modified Revenue Requirement Impact
Balance for the Year</t>
  </si>
  <si>
    <t>IF POSITIVE - ADJUST TO HAVE $0</t>
  </si>
  <si>
    <t>By the end of the Custom IR term, there is $0 balance in this account</t>
  </si>
  <si>
    <t>This is an asymmetrical account to the benefit of ratepayers</t>
  </si>
  <si>
    <t>Adjustment Entry Required</t>
  </si>
  <si>
    <t>Tax Impacts:</t>
  </si>
  <si>
    <t>Lower depreciation add-back</t>
  </si>
  <si>
    <t>Lower CCA</t>
  </si>
  <si>
    <t>Taxable Income</t>
  </si>
  <si>
    <t>Tax Rate</t>
  </si>
  <si>
    <t>Additional Tax Expense</t>
  </si>
  <si>
    <t>Grossed up Tax Expense</t>
  </si>
  <si>
    <t>CCA Impact - Cumulative</t>
  </si>
  <si>
    <t>Opening UCC</t>
  </si>
  <si>
    <t>Addition</t>
  </si>
  <si>
    <t>CCA Reduction/(Addition)</t>
  </si>
  <si>
    <t>Ending UCC</t>
  </si>
  <si>
    <t>Notes:</t>
  </si>
  <si>
    <t>1) ISA amounts and modified revenue requirement impact are intended for demonstrational purposes only.</t>
  </si>
  <si>
    <t>2) Illustration assumes that there is no ISA actual to forecast impact flowing into opening 2023 rate base.</t>
  </si>
  <si>
    <t>3) Interest improvement is not included in these calculations.</t>
  </si>
  <si>
    <t>4) This illustrative example highlights the proposed modification to enable the balance in the account to be calculated, on a yearly basis, using the cumulative in-service additions over the Custom IR term. It provides an opportunity for Hydro One to “catch-up” in later years within the term on any shortfalls in in-service additions that may occur in earlier years in the term, and to reverse applicable impacts recorded in a prior years of under in-servicing to the extent it makes up for such shortfalls.</t>
  </si>
  <si>
    <t>Hydro One Distribution CISVA Calculation - Illustrative Example</t>
  </si>
  <si>
    <t>Distribution ISA OEB Approved per Rate Application</t>
  </si>
  <si>
    <t>Distribution ISA OEB Approved per Rate Application (adjusted for 2% deadband)</t>
  </si>
  <si>
    <t>Distribution ISA Actuals</t>
  </si>
  <si>
    <t>Total Revenue Requirement Impact
Entry for the Year</t>
  </si>
  <si>
    <t>IF POSITIVE - NO ENTRY REQUIRED</t>
  </si>
  <si>
    <t>By the end of the Custom IR term, there is a -$5.3M balance in this account</t>
  </si>
  <si>
    <t>1) ISA amounts and revenue requirement impact are intended for demonstrational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</si>
</sst>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7" fontId="4" fillId="0" borderId="0"/>
    <xf numFmtId="37" fontId="5" fillId="2" borderId="0">
      <alignment horizontal="right"/>
    </xf>
    <xf numFmtId="0" fontId="6" fillId="0" borderId="0" applyNumberFormat="0" applyFont="0" applyFill="0" applyBorder="0" applyAlignment="0" applyProtection="0">
      <alignment horizontal="left"/>
    </xf>
    <xf numFmtId="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10" fontId="0" fillId="0" borderId="0" xfId="0" applyNumberFormat="1"/>
    <xf numFmtId="0" fontId="0" fillId="0" borderId="0" xfId="6" applyFont="1"/>
    <xf numFmtId="0" fontId="0" fillId="0" borderId="0" xfId="0" applyAlignment="1">
      <alignment horizontal="center"/>
    </xf>
    <xf numFmtId="43" fontId="0" fillId="0" borderId="0" xfId="0" applyNumberFormat="1"/>
    <xf numFmtId="0" fontId="2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0" fillId="0" borderId="0" xfId="1" applyNumberFormat="1" applyFont="1"/>
    <xf numFmtId="0" fontId="9" fillId="0" borderId="0" xfId="0" applyFont="1"/>
    <xf numFmtId="43" fontId="0" fillId="0" borderId="0" xfId="1" applyFont="1"/>
    <xf numFmtId="9" fontId="0" fillId="0" borderId="1" xfId="0" applyNumberFormat="1" applyBorder="1"/>
    <xf numFmtId="0" fontId="2" fillId="0" borderId="0" xfId="0" applyFont="1" applyAlignment="1">
      <alignment wrapText="1"/>
    </xf>
    <xf numFmtId="164" fontId="2" fillId="0" borderId="0" xfId="1" applyNumberFormat="1" applyFont="1" applyFill="1"/>
    <xf numFmtId="164" fontId="2" fillId="0" borderId="1" xfId="1" applyNumberFormat="1" applyFont="1" applyBorder="1"/>
    <xf numFmtId="0" fontId="2" fillId="0" borderId="0" xfId="1" applyNumberFormat="1" applyFont="1"/>
    <xf numFmtId="0" fontId="2" fillId="0" borderId="1" xfId="0" applyFont="1" applyBorder="1" applyAlignment="1">
      <alignment horizontal="center"/>
    </xf>
    <xf numFmtId="0" fontId="0" fillId="0" borderId="4" xfId="0" applyBorder="1"/>
    <xf numFmtId="43" fontId="0" fillId="0" borderId="0" xfId="1" applyFont="1" applyFill="1"/>
    <xf numFmtId="165" fontId="0" fillId="0" borderId="0" xfId="1" applyNumberFormat="1" applyFont="1" applyFill="1"/>
    <xf numFmtId="165" fontId="0" fillId="0" borderId="0" xfId="1" applyNumberFormat="1" applyFont="1"/>
    <xf numFmtId="165" fontId="0" fillId="0" borderId="4" xfId="1" applyNumberFormat="1" applyFont="1" applyBorder="1"/>
    <xf numFmtId="165" fontId="0" fillId="0" borderId="1" xfId="1" applyNumberFormat="1" applyFont="1" applyBorder="1"/>
    <xf numFmtId="43" fontId="0" fillId="0" borderId="4" xfId="1" applyFont="1" applyFill="1" applyBorder="1"/>
    <xf numFmtId="0" fontId="10" fillId="0" borderId="0" xfId="0" applyFont="1"/>
    <xf numFmtId="43" fontId="10" fillId="0" borderId="0" xfId="6" applyNumberFormat="1" applyFont="1"/>
    <xf numFmtId="43" fontId="10" fillId="0" borderId="0" xfId="1" applyFont="1"/>
    <xf numFmtId="0" fontId="10" fillId="0" borderId="0" xfId="6" applyFont="1"/>
    <xf numFmtId="10" fontId="10" fillId="0" borderId="0" xfId="2" applyNumberFormat="1" applyFont="1"/>
    <xf numFmtId="10" fontId="10" fillId="3" borderId="0" xfId="2" applyNumberFormat="1" applyFont="1" applyFill="1"/>
    <xf numFmtId="0" fontId="8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43" fontId="10" fillId="0" borderId="0" xfId="0" applyNumberFormat="1" applyFont="1"/>
    <xf numFmtId="43" fontId="10" fillId="0" borderId="0" xfId="1" applyFont="1" applyBorder="1" applyAlignment="1"/>
    <xf numFmtId="43" fontId="10" fillId="0" borderId="0" xfId="1" applyFont="1" applyBorder="1"/>
    <xf numFmtId="43" fontId="0" fillId="0" borderId="0" xfId="1" applyFont="1" applyBorder="1"/>
    <xf numFmtId="43" fontId="0" fillId="0" borderId="1" xfId="1" applyFont="1" applyFill="1" applyBorder="1"/>
    <xf numFmtId="43" fontId="0" fillId="0" borderId="3" xfId="0" applyNumberFormat="1" applyBorder="1"/>
    <xf numFmtId="164" fontId="0" fillId="0" borderId="3" xfId="0" applyNumberFormat="1" applyBorder="1"/>
    <xf numFmtId="9" fontId="0" fillId="0" borderId="1" xfId="2" applyFont="1" applyFill="1" applyBorder="1"/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0" fontId="0" fillId="0" borderId="0" xfId="0" applyNumberFormat="1" applyAlignment="1">
      <alignment horizontal="center"/>
    </xf>
    <xf numFmtId="43" fontId="10" fillId="3" borderId="0" xfId="1" applyFont="1" applyFill="1"/>
    <xf numFmtId="43" fontId="1" fillId="0" borderId="0" xfId="1" applyFont="1" applyFill="1"/>
    <xf numFmtId="43" fontId="1" fillId="0" borderId="0" xfId="1" applyFont="1"/>
    <xf numFmtId="0" fontId="1" fillId="0" borderId="0" xfId="6"/>
    <xf numFmtId="43" fontId="10" fillId="0" borderId="5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0" fontId="0" fillId="0" borderId="0" xfId="0" applyAlignment="1">
      <alignment horizontal="left" wrapText="1"/>
    </xf>
    <xf numFmtId="0" fontId="8" fillId="4" borderId="8" xfId="1" applyNumberFormat="1" applyFont="1" applyFill="1" applyBorder="1" applyAlignment="1">
      <alignment horizontal="left" wrapText="1"/>
    </xf>
    <xf numFmtId="0" fontId="8" fillId="4" borderId="9" xfId="1" applyNumberFormat="1" applyFont="1" applyFill="1" applyBorder="1" applyAlignment="1">
      <alignment horizontal="left" wrapText="1"/>
    </xf>
    <xf numFmtId="0" fontId="8" fillId="4" borderId="10" xfId="1" applyNumberFormat="1" applyFont="1" applyFill="1" applyBorder="1" applyAlignment="1">
      <alignment horizontal="left" wrapText="1"/>
    </xf>
  </cellXfs>
  <cellStyles count="12">
    <cellStyle name="Comma" xfId="1" builtinId="3"/>
    <cellStyle name="Comma 2" xfId="7" xr:uid="{00000000-0005-0000-0000-000001000000}"/>
    <cellStyle name="Comma 3" xfId="4" xr:uid="{00000000-0005-0000-0000-000002000000}"/>
    <cellStyle name="Normal" xfId="0" builtinId="0"/>
    <cellStyle name="Normal 2" xfId="6" xr:uid="{00000000-0005-0000-0000-000004000000}"/>
    <cellStyle name="Normal 3" xfId="3" xr:uid="{00000000-0005-0000-0000-000005000000}"/>
    <cellStyle name="OH01" xfId="8" xr:uid="{00000000-0005-0000-0000-000006000000}"/>
    <cellStyle name="OHnplode" xfId="9" xr:uid="{00000000-0005-0000-0000-000007000000}"/>
    <cellStyle name="Percent" xfId="2" builtinId="5"/>
    <cellStyle name="Percent 2" xfId="5" xr:uid="{00000000-0005-0000-0000-000009000000}"/>
    <cellStyle name="PSChar" xfId="10" xr:uid="{00000000-0005-0000-0000-00000A000000}"/>
    <cellStyle name="PSDec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view="pageBreakPreview" zoomScale="70" zoomScaleNormal="90" zoomScaleSheetLayoutView="70" workbookViewId="0">
      <pane xSplit="1" ySplit="3" topLeftCell="B4" activePane="bottomRight" state="frozen"/>
      <selection pane="bottomRight" activeCell="F11" sqref="F11"/>
      <selection pane="bottomLeft" activeCell="A6" sqref="A6"/>
      <selection pane="topRight" activeCell="A6" sqref="A6"/>
    </sheetView>
  </sheetViews>
  <sheetFormatPr defaultRowHeight="14.45"/>
  <cols>
    <col min="1" max="1" width="61.140625" customWidth="1"/>
    <col min="2" max="2" width="23.42578125" customWidth="1"/>
    <col min="3" max="3" width="20.5703125" customWidth="1"/>
    <col min="4" max="4" width="21" customWidth="1"/>
    <col min="5" max="5" width="23.42578125" customWidth="1"/>
    <col min="6" max="6" width="24.5703125" customWidth="1"/>
    <col min="9" max="9" width="24.5703125" customWidth="1"/>
    <col min="10" max="10" width="7" bestFit="1" customWidth="1"/>
    <col min="14" max="14" width="21.140625" customWidth="1"/>
  </cols>
  <sheetData>
    <row r="1" spans="1:10" ht="21">
      <c r="A1" s="8" t="s">
        <v>0</v>
      </c>
    </row>
    <row r="2" spans="1:10">
      <c r="A2" t="s">
        <v>1</v>
      </c>
    </row>
    <row r="3" spans="1:10">
      <c r="B3" s="17">
        <v>2023</v>
      </c>
      <c r="C3" s="17">
        <v>2024</v>
      </c>
      <c r="D3" s="17">
        <v>2025</v>
      </c>
      <c r="E3" s="17">
        <v>2026</v>
      </c>
      <c r="F3" s="17">
        <v>2027</v>
      </c>
      <c r="I3" s="1" t="s">
        <v>2</v>
      </c>
    </row>
    <row r="4" spans="1:10">
      <c r="A4" t="s">
        <v>3</v>
      </c>
      <c r="B4">
        <v>920</v>
      </c>
      <c r="C4">
        <v>950</v>
      </c>
      <c r="D4">
        <v>980</v>
      </c>
      <c r="E4">
        <v>1000</v>
      </c>
      <c r="F4">
        <v>1100</v>
      </c>
      <c r="I4" t="s">
        <v>4</v>
      </c>
      <c r="J4" s="2">
        <v>8.3400000000000002E-2</v>
      </c>
    </row>
    <row r="5" spans="1:10">
      <c r="A5" t="s">
        <v>5</v>
      </c>
      <c r="B5" s="12">
        <v>0.98</v>
      </c>
      <c r="C5" s="12">
        <v>0.98</v>
      </c>
      <c r="D5" s="12">
        <v>0.98</v>
      </c>
      <c r="E5" s="12">
        <v>0.98</v>
      </c>
      <c r="F5" s="12">
        <v>0.98</v>
      </c>
      <c r="I5" t="s">
        <v>6</v>
      </c>
      <c r="J5" s="2">
        <v>1.5599999999999999E-2</v>
      </c>
    </row>
    <row r="6" spans="1:10" ht="28.9">
      <c r="A6" s="13" t="s">
        <v>7</v>
      </c>
      <c r="B6" s="14">
        <f>B4*B5</f>
        <v>901.6</v>
      </c>
      <c r="C6" s="14">
        <f>C4*C5</f>
        <v>931</v>
      </c>
      <c r="D6" s="14">
        <f>D4*D5</f>
        <v>960.4</v>
      </c>
      <c r="E6" s="14">
        <f>E4*E5</f>
        <v>980</v>
      </c>
      <c r="F6" s="14">
        <f>F4*F5</f>
        <v>1078</v>
      </c>
      <c r="I6" t="s">
        <v>8</v>
      </c>
      <c r="J6" s="2">
        <v>4.0399999999999998E-2</v>
      </c>
    </row>
    <row r="7" spans="1:10">
      <c r="I7" t="s">
        <v>9</v>
      </c>
      <c r="J7" s="2">
        <v>2.5499999999999998E-2</v>
      </c>
    </row>
    <row r="8" spans="1:10">
      <c r="A8" s="16" t="s">
        <v>10</v>
      </c>
      <c r="B8" s="15">
        <v>902</v>
      </c>
      <c r="C8" s="15">
        <v>932</v>
      </c>
      <c r="D8" s="15">
        <v>840</v>
      </c>
      <c r="E8" s="15">
        <v>982</v>
      </c>
      <c r="F8" s="15">
        <v>1200</v>
      </c>
      <c r="I8" t="s">
        <v>11</v>
      </c>
      <c r="J8" s="2">
        <v>0.08</v>
      </c>
    </row>
    <row r="10" spans="1:10" s="25" customFormat="1" ht="21">
      <c r="A10" s="25" t="s">
        <v>12</v>
      </c>
      <c r="B10" s="34">
        <f>B8-B6</f>
        <v>0.39999999999997726</v>
      </c>
      <c r="C10" s="34">
        <f>SUM(B8:C8)-SUM(B6:C6)</f>
        <v>1.4000000000000909</v>
      </c>
      <c r="D10" s="34">
        <f>SUM(B8:D8)-SUM(B6:D6)</f>
        <v>-119</v>
      </c>
      <c r="E10" s="34">
        <f>SUM(B8:E8)-SUM(B6:E6)</f>
        <v>-117</v>
      </c>
      <c r="F10" s="34">
        <f>SUM(B8:F8)-SUM(B6:F6)</f>
        <v>5</v>
      </c>
    </row>
    <row r="13" spans="1:10" s="25" customFormat="1" ht="42">
      <c r="A13" s="33" t="s">
        <v>13</v>
      </c>
      <c r="B13" s="29">
        <f>B8/B6</f>
        <v>1.0004436557231589</v>
      </c>
      <c r="C13" s="29">
        <f>SUM(B8:C8)/SUM(B6:C6)</f>
        <v>1.0007639419404126</v>
      </c>
      <c r="D13" s="30">
        <f>SUM(B8:D8)/SUM(B6:D6)</f>
        <v>0.95739348370927313</v>
      </c>
      <c r="E13" s="30">
        <f>SUM(B8:E8)/SUM(B6:E6)</f>
        <v>0.96899019347998938</v>
      </c>
      <c r="F13" s="29">
        <f>SUM(B8:F8)/SUM(B6:F6)</f>
        <v>1.0010307153164295</v>
      </c>
    </row>
    <row r="14" spans="1:10" s="25" customFormat="1" ht="21">
      <c r="A14" s="31"/>
      <c r="B14" s="32"/>
      <c r="C14" s="32"/>
      <c r="D14" s="32"/>
      <c r="E14" s="32"/>
      <c r="F14" s="32"/>
    </row>
    <row r="15" spans="1:10">
      <c r="B15" s="4"/>
      <c r="C15" s="4"/>
      <c r="D15" s="4"/>
      <c r="E15" s="4"/>
      <c r="F15" s="4"/>
    </row>
    <row r="16" spans="1:10">
      <c r="A16" s="6" t="s">
        <v>14</v>
      </c>
      <c r="B16" s="17">
        <v>2023</v>
      </c>
      <c r="C16" s="17">
        <v>2024</v>
      </c>
      <c r="D16" s="17">
        <v>2025</v>
      </c>
      <c r="E16" s="17">
        <v>2026</v>
      </c>
      <c r="F16" s="17">
        <v>2027</v>
      </c>
    </row>
    <row r="17" spans="1:9">
      <c r="A17" t="s">
        <v>15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9">
      <c r="A18" t="s">
        <v>16</v>
      </c>
      <c r="B18" s="21">
        <f>+B10</f>
        <v>0.39999999999997726</v>
      </c>
      <c r="C18" s="21">
        <f>+C10</f>
        <v>1.4000000000000909</v>
      </c>
      <c r="D18" s="21">
        <f>+D10</f>
        <v>-119</v>
      </c>
      <c r="E18" s="21">
        <f>+E10</f>
        <v>-117</v>
      </c>
      <c r="F18" s="21">
        <f>+F10</f>
        <v>5</v>
      </c>
    </row>
    <row r="19" spans="1:9" ht="15" thickBot="1">
      <c r="A19" s="18" t="s">
        <v>17</v>
      </c>
      <c r="B19" s="22">
        <f>SUM(B17:B18)</f>
        <v>0.39999999999997726</v>
      </c>
      <c r="C19" s="22">
        <f>SUM(C17:C18)</f>
        <v>1.4000000000000909</v>
      </c>
      <c r="D19" s="22">
        <f>SUM(D17:D18)</f>
        <v>-119</v>
      </c>
      <c r="E19" s="22">
        <f>SUM(E17:E18)</f>
        <v>-117</v>
      </c>
      <c r="F19" s="22">
        <f>SUM(F17:F18)</f>
        <v>5</v>
      </c>
    </row>
    <row r="22" spans="1:9">
      <c r="I22" s="5"/>
    </row>
    <row r="23" spans="1:9">
      <c r="A23" s="6" t="s">
        <v>18</v>
      </c>
      <c r="B23" s="17">
        <v>2023</v>
      </c>
      <c r="C23" s="17">
        <v>2024</v>
      </c>
      <c r="D23" s="17">
        <v>2025</v>
      </c>
      <c r="E23" s="17">
        <v>2026</v>
      </c>
      <c r="F23" s="17">
        <v>2027</v>
      </c>
    </row>
    <row r="24" spans="1:9">
      <c r="A24" t="s">
        <v>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9">
      <c r="A25" t="s">
        <v>16</v>
      </c>
      <c r="B25" s="21">
        <f>+B34</f>
        <v>5.0999999999997098E-3</v>
      </c>
      <c r="C25" s="21">
        <f>+C34</f>
        <v>1.785000000000116E-2</v>
      </c>
      <c r="D25" s="21">
        <f>+D34</f>
        <v>-1.51725</v>
      </c>
      <c r="E25" s="21">
        <f>+E34</f>
        <v>-1.4917499999999999</v>
      </c>
      <c r="F25" s="21">
        <f>+F34</f>
        <v>6.3750000000000001E-2</v>
      </c>
    </row>
    <row r="26" spans="1:9" ht="15" thickBot="1">
      <c r="A26" s="18" t="s">
        <v>17</v>
      </c>
      <c r="B26" s="22">
        <f>SUM(B24:B25)</f>
        <v>5.0999999999997098E-3</v>
      </c>
      <c r="C26" s="22">
        <f t="shared" ref="C26:F26" si="0">SUM(C24:C25)</f>
        <v>1.785000000000116E-2</v>
      </c>
      <c r="D26" s="22">
        <f t="shared" si="0"/>
        <v>-1.51725</v>
      </c>
      <c r="E26" s="22">
        <f t="shared" si="0"/>
        <v>-1.4917499999999999</v>
      </c>
      <c r="F26" s="22">
        <f t="shared" si="0"/>
        <v>6.3750000000000001E-2</v>
      </c>
    </row>
    <row r="27" spans="1:9">
      <c r="A27" s="6" t="s">
        <v>19</v>
      </c>
      <c r="B27" s="17">
        <v>2023</v>
      </c>
      <c r="C27" s="17">
        <v>2024</v>
      </c>
      <c r="D27" s="17">
        <v>2025</v>
      </c>
      <c r="E27" s="17">
        <v>2026</v>
      </c>
      <c r="F27" s="17">
        <v>2027</v>
      </c>
    </row>
    <row r="28" spans="1:9">
      <c r="A28" t="s">
        <v>20</v>
      </c>
      <c r="B28" s="21">
        <f>+B19</f>
        <v>0.39999999999997726</v>
      </c>
      <c r="C28" s="21">
        <f>+C19</f>
        <v>1.4000000000000909</v>
      </c>
      <c r="D28" s="21">
        <f>+D19</f>
        <v>-119</v>
      </c>
      <c r="E28" s="21">
        <f>+E19</f>
        <v>-117</v>
      </c>
      <c r="F28" s="21">
        <f>+F19</f>
        <v>5</v>
      </c>
    </row>
    <row r="29" spans="1:9">
      <c r="A29" s="1" t="s">
        <v>18</v>
      </c>
      <c r="B29" s="23">
        <f>+B26</f>
        <v>5.0999999999997098E-3</v>
      </c>
      <c r="C29" s="23">
        <f>+C26</f>
        <v>1.785000000000116E-2</v>
      </c>
      <c r="D29" s="23">
        <f>+D26</f>
        <v>-1.51725</v>
      </c>
      <c r="E29" s="23">
        <f>+E26</f>
        <v>-1.4917499999999999</v>
      </c>
      <c r="F29" s="23">
        <f>+F26</f>
        <v>6.3750000000000001E-2</v>
      </c>
    </row>
    <row r="30" spans="1:9">
      <c r="A30" t="s">
        <v>21</v>
      </c>
      <c r="B30" s="20">
        <f>+B28-B29</f>
        <v>0.39489999999997755</v>
      </c>
      <c r="C30" s="20">
        <f t="shared" ref="C30:F30" si="1">+C28-C29</f>
        <v>1.3821500000000897</v>
      </c>
      <c r="D30" s="20">
        <f t="shared" si="1"/>
        <v>-117.48275</v>
      </c>
      <c r="E30" s="20">
        <f>+E28-E29</f>
        <v>-115.50825</v>
      </c>
      <c r="F30" s="20">
        <f t="shared" si="1"/>
        <v>4.9362500000000002</v>
      </c>
    </row>
    <row r="32" spans="1:9" ht="15" thickBot="1">
      <c r="A32" s="18" t="s">
        <v>22</v>
      </c>
      <c r="B32" s="24">
        <f>B30/2</f>
        <v>0.19744999999998877</v>
      </c>
      <c r="C32" s="24">
        <f>C30/2</f>
        <v>0.69107500000004485</v>
      </c>
      <c r="D32" s="24">
        <f>D30/2</f>
        <v>-58.741374999999998</v>
      </c>
      <c r="E32" s="24">
        <f>E30/2</f>
        <v>-57.754125000000002</v>
      </c>
      <c r="F32" s="24">
        <f>F30/2</f>
        <v>2.4681250000000001</v>
      </c>
    </row>
    <row r="33" spans="1:19">
      <c r="A33" s="6"/>
      <c r="B33" s="6"/>
      <c r="C33" s="6"/>
      <c r="D33" s="6"/>
      <c r="E33" s="6"/>
      <c r="F33" s="6"/>
      <c r="N33" s="3"/>
      <c r="O33" s="11"/>
      <c r="P33" s="11"/>
      <c r="Q33" s="11"/>
      <c r="R33" s="11"/>
      <c r="S33" s="11"/>
    </row>
    <row r="34" spans="1:19">
      <c r="A34" t="s">
        <v>23</v>
      </c>
      <c r="B34" s="47">
        <f>(B17*$J$7)+(B18*$J$7)/2</f>
        <v>5.0999999999997098E-3</v>
      </c>
      <c r="C34" s="47">
        <f>(C17*$J$7)+(C18*$J$7)/2</f>
        <v>1.785000000000116E-2</v>
      </c>
      <c r="D34" s="47">
        <f>(D17*$J$7)+(D18*$J$7)/2</f>
        <v>-1.51725</v>
      </c>
      <c r="E34" s="47">
        <f>(E17*$J$7)+(E18*$J$7)/2</f>
        <v>-1.4917499999999999</v>
      </c>
      <c r="F34" s="47">
        <f>(F17*$J$7)+(F18*$J$7)/2</f>
        <v>6.3750000000000001E-2</v>
      </c>
    </row>
    <row r="35" spans="1:19">
      <c r="A35" s="3" t="s">
        <v>24</v>
      </c>
      <c r="B35" s="48">
        <f>+B32*56%*$J$6</f>
        <v>4.4671087999997462E-3</v>
      </c>
      <c r="C35" s="48">
        <f>+C32*56%*$J$6</f>
        <v>1.5634880800001017E-2</v>
      </c>
      <c r="D35" s="48">
        <f>+D32*56%*$J$6</f>
        <v>-1.3289648679999999</v>
      </c>
      <c r="E35" s="48">
        <f>+E32*56%*$J$6</f>
        <v>-1.3066293240000002</v>
      </c>
      <c r="F35" s="48">
        <f t="shared" ref="F35" si="2">+F32*56%*$J$6</f>
        <v>5.5838860000000004E-2</v>
      </c>
      <c r="N35" s="3"/>
      <c r="O35" s="11"/>
      <c r="P35" s="11"/>
      <c r="Q35" s="11"/>
      <c r="R35" s="11"/>
      <c r="S35" s="11"/>
    </row>
    <row r="36" spans="1:19">
      <c r="A36" s="3" t="s">
        <v>25</v>
      </c>
      <c r="B36" s="48">
        <f>B32*4%*$J$5</f>
        <v>1.2320879999999299E-4</v>
      </c>
      <c r="C36" s="48">
        <f>C32*4%*$J$5</f>
        <v>4.3123080000002798E-4</v>
      </c>
      <c r="D36" s="48">
        <f t="shared" ref="D36:F36" si="3">D32*4%*$J$5</f>
        <v>-3.6654617999999993E-2</v>
      </c>
      <c r="E36" s="48">
        <f>E32*4%*$J$5</f>
        <v>-3.6038573999999997E-2</v>
      </c>
      <c r="F36" s="48">
        <f t="shared" si="3"/>
        <v>1.5401100000000001E-3</v>
      </c>
      <c r="N36" s="3"/>
      <c r="O36" s="11"/>
      <c r="P36" s="11"/>
      <c r="Q36" s="11"/>
      <c r="R36" s="11"/>
      <c r="S36" s="11"/>
    </row>
    <row r="37" spans="1:19">
      <c r="A37" s="3" t="s">
        <v>26</v>
      </c>
      <c r="B37" s="48">
        <f>B32*40%*$J$4</f>
        <v>6.5869319999996255E-3</v>
      </c>
      <c r="C37" s="48">
        <f>C32*40%*$J$4</f>
        <v>2.3054262000001498E-2</v>
      </c>
      <c r="D37" s="48">
        <f>D32*40%*$J$4</f>
        <v>-1.95961227</v>
      </c>
      <c r="E37" s="48">
        <f>E32*40%*$J$4</f>
        <v>-1.9266776100000003</v>
      </c>
      <c r="F37" s="48">
        <f>F32*40%*$J$4</f>
        <v>8.2336650000000011E-2</v>
      </c>
      <c r="N37" s="3"/>
      <c r="O37" s="11"/>
      <c r="P37" s="11"/>
      <c r="Q37" s="11"/>
      <c r="R37" s="11"/>
      <c r="S37" s="11"/>
    </row>
    <row r="38" spans="1:19">
      <c r="B38" s="3"/>
      <c r="C38" s="11"/>
      <c r="D38" s="11"/>
      <c r="E38" s="11"/>
      <c r="F38" s="11"/>
      <c r="G38" s="11"/>
      <c r="N38" s="3"/>
      <c r="O38" s="11"/>
      <c r="P38" s="11"/>
      <c r="Q38" s="11"/>
      <c r="R38" s="11"/>
      <c r="S38" s="11"/>
    </row>
    <row r="39" spans="1:19">
      <c r="A39" t="s">
        <v>27</v>
      </c>
      <c r="B39" s="5">
        <f>+B55</f>
        <v>-1.3092466693876807E-2</v>
      </c>
      <c r="C39" s="5">
        <f>+C55</f>
        <v>-2.56331572380969E-2</v>
      </c>
      <c r="D39" s="5">
        <f>D55</f>
        <v>2.1788183652380955</v>
      </c>
      <c r="E39" s="5">
        <f>E55</f>
        <v>2.1421995691836733</v>
      </c>
      <c r="F39" s="5">
        <f>F55</f>
        <v>-9.154699013605444E-2</v>
      </c>
      <c r="G39" s="11"/>
      <c r="N39" s="3"/>
      <c r="O39" s="11"/>
      <c r="P39" s="11"/>
      <c r="Q39" s="11"/>
      <c r="R39" s="11"/>
      <c r="S39" s="11"/>
    </row>
    <row r="40" spans="1:19">
      <c r="B40" s="3"/>
      <c r="C40" s="11"/>
      <c r="D40" s="11"/>
      <c r="E40" s="11"/>
      <c r="F40" s="11"/>
      <c r="G40" s="11"/>
      <c r="N40" s="3"/>
      <c r="O40" s="11"/>
      <c r="P40" s="11"/>
      <c r="Q40" s="11"/>
      <c r="R40" s="11"/>
      <c r="S40" s="11"/>
    </row>
    <row r="41" spans="1:19">
      <c r="B41" s="3"/>
      <c r="C41" s="11"/>
      <c r="D41" s="11"/>
      <c r="E41" s="11"/>
      <c r="F41" s="11"/>
      <c r="G41" s="11"/>
      <c r="N41" s="3"/>
      <c r="O41" s="11"/>
      <c r="P41" s="11"/>
      <c r="Q41" s="11"/>
      <c r="R41" s="11"/>
      <c r="S41" s="11"/>
    </row>
    <row r="42" spans="1:19" s="25" customFormat="1" ht="42.6" thickBot="1">
      <c r="A42" s="33" t="s">
        <v>28</v>
      </c>
      <c r="B42" s="26">
        <f>B34+SUM(B35:B39)</f>
        <v>3.1847829061222672E-3</v>
      </c>
      <c r="C42" s="26">
        <f>C34+SUM(C35:C39)</f>
        <v>3.1337216361906811E-2</v>
      </c>
      <c r="D42" s="26">
        <f>D34+SUM(D35:D39)</f>
        <v>-2.6636633907619043</v>
      </c>
      <c r="E42" s="26">
        <f>E34+SUM(E35:E39)</f>
        <v>-2.6188959388163271</v>
      </c>
      <c r="F42" s="26">
        <f>F34+SUM(F35:F39)</f>
        <v>0.11191862986394557</v>
      </c>
      <c r="G42" s="27"/>
      <c r="N42" s="28"/>
      <c r="O42" s="27"/>
      <c r="P42" s="27"/>
      <c r="Q42" s="27"/>
      <c r="R42" s="27"/>
      <c r="S42" s="27"/>
    </row>
    <row r="43" spans="1:19" s="25" customFormat="1" ht="64.5" customHeight="1" thickBot="1">
      <c r="A43" s="8" t="s">
        <v>29</v>
      </c>
      <c r="B43" s="27">
        <f>B42*1000000</f>
        <v>3184.7829061222674</v>
      </c>
      <c r="C43" s="27">
        <f>C42*1000000</f>
        <v>31337.216361906812</v>
      </c>
      <c r="D43" s="27">
        <f>D42*1000000</f>
        <v>-2663663.3907619044</v>
      </c>
      <c r="E43" s="27">
        <f>E42*1000000</f>
        <v>-2618895.9388163271</v>
      </c>
      <c r="F43" s="27">
        <f>F42*1000000</f>
        <v>111918.62986394558</v>
      </c>
      <c r="G43" s="54" t="s">
        <v>30</v>
      </c>
      <c r="H43" s="55"/>
      <c r="I43" s="55"/>
      <c r="J43" s="56"/>
      <c r="N43" s="28"/>
      <c r="O43" s="27"/>
      <c r="P43" s="27"/>
      <c r="Q43" s="27"/>
      <c r="R43" s="27"/>
      <c r="S43" s="27"/>
    </row>
    <row r="44" spans="1:19" s="25" customFormat="1" ht="21" customHeight="1">
      <c r="A44" s="25" t="s">
        <v>31</v>
      </c>
      <c r="B44" s="28"/>
      <c r="C44" s="27"/>
      <c r="D44" s="50" t="s">
        <v>32</v>
      </c>
      <c r="E44" s="51"/>
      <c r="F44" s="27"/>
      <c r="G44" s="27"/>
      <c r="N44" s="28"/>
      <c r="O44" s="27"/>
      <c r="P44" s="27"/>
      <c r="Q44" s="27"/>
      <c r="R44" s="27"/>
      <c r="S44" s="27"/>
    </row>
    <row r="45" spans="1:19" s="25" customFormat="1" ht="21">
      <c r="B45" s="28"/>
      <c r="C45" s="27"/>
      <c r="D45" s="27"/>
      <c r="E45" s="50" t="s">
        <v>32</v>
      </c>
      <c r="F45" s="52"/>
      <c r="G45" s="27"/>
      <c r="O45" s="27"/>
      <c r="P45" s="27"/>
      <c r="Q45" s="27"/>
      <c r="R45" s="27"/>
      <c r="S45" s="27"/>
    </row>
    <row r="46" spans="1:19">
      <c r="B46" s="3"/>
      <c r="C46" s="11"/>
      <c r="D46" s="11"/>
      <c r="E46" s="11"/>
      <c r="F46" s="11"/>
      <c r="G46" s="11"/>
      <c r="N46" s="3"/>
      <c r="O46" s="11"/>
      <c r="P46" s="11"/>
      <c r="Q46" s="11"/>
      <c r="R46" s="11"/>
      <c r="S46" s="11"/>
    </row>
    <row r="47" spans="1:19">
      <c r="B47" s="3"/>
      <c r="C47" s="11"/>
      <c r="D47" s="11"/>
      <c r="E47" s="11"/>
      <c r="F47" s="11"/>
      <c r="G47" s="11"/>
      <c r="N47" s="3"/>
      <c r="O47" s="11"/>
      <c r="P47" s="11"/>
      <c r="Q47" s="11"/>
      <c r="R47" s="11"/>
      <c r="S47" s="11"/>
    </row>
    <row r="48" spans="1:19">
      <c r="A48" s="10" t="s">
        <v>33</v>
      </c>
      <c r="G48" s="11"/>
      <c r="N48" s="3"/>
      <c r="O48" s="11"/>
      <c r="P48" s="11"/>
      <c r="Q48" s="11"/>
      <c r="R48" s="11"/>
      <c r="S48" s="11"/>
    </row>
    <row r="49" spans="1:19">
      <c r="A49" t="s">
        <v>4</v>
      </c>
      <c r="B49" s="11">
        <f>+B37</f>
        <v>6.5869319999996255E-3</v>
      </c>
      <c r="C49" s="11">
        <f>+C37</f>
        <v>2.3054262000001498E-2</v>
      </c>
      <c r="D49" s="11">
        <f>+D37</f>
        <v>-1.95961227</v>
      </c>
      <c r="E49" s="11">
        <f t="shared" ref="E49:F49" si="4">+E37</f>
        <v>-1.9266776100000003</v>
      </c>
      <c r="F49" s="11">
        <f t="shared" si="4"/>
        <v>8.2336650000000011E-2</v>
      </c>
      <c r="G49" s="11"/>
      <c r="N49" s="3"/>
      <c r="O49" s="11"/>
      <c r="P49" s="11"/>
      <c r="Q49" s="11"/>
      <c r="R49" s="11"/>
      <c r="S49" s="11"/>
    </row>
    <row r="50" spans="1:19">
      <c r="A50" t="s">
        <v>34</v>
      </c>
      <c r="B50" s="19">
        <f>B34</f>
        <v>5.0999999999997098E-3</v>
      </c>
      <c r="C50" s="19">
        <f>C34</f>
        <v>1.785000000000116E-2</v>
      </c>
      <c r="D50" s="19">
        <f>D34</f>
        <v>-1.51725</v>
      </c>
      <c r="E50" s="19">
        <f>E34</f>
        <v>-1.4917499999999999</v>
      </c>
      <c r="F50" s="19">
        <f>F34</f>
        <v>6.3750000000000001E-2</v>
      </c>
      <c r="G50" s="19"/>
      <c r="N50" s="3"/>
      <c r="O50" s="11"/>
      <c r="P50" s="11"/>
      <c r="Q50" s="11"/>
      <c r="R50" s="11"/>
      <c r="S50" s="11"/>
    </row>
    <row r="51" spans="1:19">
      <c r="A51" t="s">
        <v>35</v>
      </c>
      <c r="B51" s="38">
        <f>+B60</f>
        <v>-4.7999999999997274E-2</v>
      </c>
      <c r="C51" s="38">
        <f t="shared" ref="C51" si="5">+C60</f>
        <v>-0.11200000000000727</v>
      </c>
      <c r="D51" s="38">
        <f>+D60</f>
        <v>9.52</v>
      </c>
      <c r="E51" s="38">
        <f>+E60</f>
        <v>9.36</v>
      </c>
      <c r="F51" s="38">
        <f>+F60</f>
        <v>-0.4</v>
      </c>
      <c r="G51" s="19"/>
      <c r="N51" s="3"/>
      <c r="O51" s="11"/>
      <c r="P51" s="11"/>
      <c r="Q51" s="11"/>
      <c r="R51" s="11"/>
      <c r="S51" s="11"/>
    </row>
    <row r="52" spans="1:19">
      <c r="A52" t="s">
        <v>36</v>
      </c>
      <c r="B52" s="39">
        <f>SUM(B49:B51)</f>
        <v>-3.6313067999997936E-2</v>
      </c>
      <c r="C52" s="40">
        <f>SUM(C49:C51)</f>
        <v>-7.1095738000004613E-2</v>
      </c>
      <c r="D52" s="39">
        <f>SUM(D49:D51)</f>
        <v>6.0431377299999998</v>
      </c>
      <c r="E52" s="40">
        <f>SUM(E49:E51)</f>
        <v>5.9415723899999993</v>
      </c>
      <c r="F52" s="40">
        <f>SUM(F49:F51)</f>
        <v>-0.25391335000000004</v>
      </c>
      <c r="G52" s="19"/>
      <c r="N52" s="3"/>
      <c r="O52" s="11"/>
      <c r="P52" s="11"/>
      <c r="Q52" s="11"/>
      <c r="R52" s="11"/>
      <c r="S52" s="11"/>
    </row>
    <row r="53" spans="1:19">
      <c r="A53" t="s">
        <v>37</v>
      </c>
      <c r="B53" s="41">
        <v>0.26500000000000001</v>
      </c>
      <c r="C53" s="41">
        <v>0.26500000000000001</v>
      </c>
      <c r="D53" s="41">
        <v>0.26500000000000001</v>
      </c>
      <c r="E53" s="41">
        <v>0.26500000000000001</v>
      </c>
      <c r="F53" s="41">
        <v>0.26500000000000001</v>
      </c>
      <c r="G53" s="19"/>
      <c r="N53" s="3"/>
      <c r="O53" s="11"/>
      <c r="P53" s="11"/>
      <c r="Q53" s="11"/>
      <c r="R53" s="11"/>
      <c r="S53" s="11"/>
    </row>
    <row r="54" spans="1:19">
      <c r="A54" t="s">
        <v>38</v>
      </c>
      <c r="B54" s="5">
        <f>B52*B53</f>
        <v>-9.6229630199994535E-3</v>
      </c>
      <c r="C54" s="5">
        <f t="shared" ref="C54:F54" si="6">C52*C53</f>
        <v>-1.8840370570001222E-2</v>
      </c>
      <c r="D54" s="5">
        <f>D52*D53</f>
        <v>1.60143149845</v>
      </c>
      <c r="E54" s="5">
        <f t="shared" si="6"/>
        <v>1.5745166833499999</v>
      </c>
      <c r="F54" s="5">
        <f t="shared" si="6"/>
        <v>-6.7287037750000014E-2</v>
      </c>
      <c r="G54" s="19"/>
      <c r="N54" s="3"/>
      <c r="O54" s="11"/>
      <c r="P54" s="11"/>
      <c r="Q54" s="11"/>
      <c r="R54" s="11"/>
      <c r="S54" s="11"/>
    </row>
    <row r="55" spans="1:19">
      <c r="A55" t="s">
        <v>39</v>
      </c>
      <c r="B55" s="5">
        <f>B54/0.735</f>
        <v>-1.3092466693876807E-2</v>
      </c>
      <c r="C55" s="5">
        <f>C54/0.735</f>
        <v>-2.56331572380969E-2</v>
      </c>
      <c r="D55" s="5">
        <f>D54/0.735</f>
        <v>2.1788183652380955</v>
      </c>
      <c r="E55" s="5">
        <f>E54/0.735</f>
        <v>2.1421995691836733</v>
      </c>
      <c r="F55" s="5">
        <f>F54/0.735</f>
        <v>-9.154699013605444E-2</v>
      </c>
      <c r="G55" s="19"/>
      <c r="N55" s="3"/>
      <c r="O55" s="11"/>
      <c r="P55" s="11"/>
      <c r="Q55" s="11"/>
      <c r="R55" s="11"/>
      <c r="S55" s="11"/>
    </row>
    <row r="56" spans="1:19">
      <c r="B56" s="5"/>
      <c r="C56" s="5"/>
      <c r="D56" s="5"/>
      <c r="E56" s="5"/>
      <c r="F56" s="5"/>
      <c r="G56" s="19"/>
      <c r="N56" s="3"/>
      <c r="O56" s="11"/>
      <c r="P56" s="11"/>
      <c r="Q56" s="11"/>
      <c r="R56" s="11"/>
      <c r="S56" s="11"/>
    </row>
    <row r="57" spans="1:19">
      <c r="A57" s="10" t="s">
        <v>40</v>
      </c>
      <c r="B57" s="5"/>
      <c r="C57" s="5"/>
      <c r="D57" s="5"/>
      <c r="E57" s="5"/>
      <c r="F57" s="5"/>
      <c r="G57" s="19"/>
      <c r="N57" s="3"/>
      <c r="O57" s="11"/>
      <c r="P57" s="11"/>
      <c r="Q57" s="11"/>
      <c r="R57" s="11"/>
      <c r="S57" s="11"/>
    </row>
    <row r="58" spans="1:19">
      <c r="A58" t="s">
        <v>41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19"/>
      <c r="N58" s="3"/>
      <c r="O58" s="11"/>
      <c r="P58" s="11"/>
      <c r="Q58" s="11"/>
      <c r="R58" s="11"/>
      <c r="S58" s="11"/>
    </row>
    <row r="59" spans="1:19">
      <c r="A59" t="s">
        <v>42</v>
      </c>
      <c r="B59" s="42">
        <f>B10</f>
        <v>0.39999999999997726</v>
      </c>
      <c r="C59" s="42">
        <f>C10</f>
        <v>1.4000000000000909</v>
      </c>
      <c r="D59" s="42">
        <f>D10</f>
        <v>-119</v>
      </c>
      <c r="E59" s="42">
        <f>+E10</f>
        <v>-117</v>
      </c>
      <c r="F59" s="42">
        <f>+F10</f>
        <v>5</v>
      </c>
      <c r="G59" s="19"/>
      <c r="N59" s="3"/>
      <c r="O59" s="11"/>
      <c r="P59" s="11"/>
      <c r="Q59" s="11"/>
      <c r="R59" s="11"/>
      <c r="S59" s="11"/>
    </row>
    <row r="60" spans="1:19">
      <c r="A60" t="s">
        <v>43</v>
      </c>
      <c r="B60" s="43">
        <f>-B59*J8/2*3</f>
        <v>-4.7999999999997274E-2</v>
      </c>
      <c r="C60" s="43">
        <f>-C59*J8</f>
        <v>-0.11200000000000727</v>
      </c>
      <c r="D60" s="43">
        <f>-(D59*J8+D58*J8)</f>
        <v>9.52</v>
      </c>
      <c r="E60" s="43">
        <f>-(E59*J8+E58*J8)</f>
        <v>9.36</v>
      </c>
      <c r="F60" s="43">
        <f>-(F58*J8+F59*J8)</f>
        <v>-0.4</v>
      </c>
      <c r="G60" s="19"/>
      <c r="N60" s="3"/>
      <c r="O60" s="11"/>
      <c r="P60" s="11"/>
      <c r="Q60" s="11"/>
      <c r="R60" s="11"/>
      <c r="S60" s="11"/>
    </row>
    <row r="61" spans="1:19">
      <c r="A61" t="s">
        <v>44</v>
      </c>
      <c r="B61" s="44">
        <f>+B59+B60+B58</f>
        <v>0.35199999999998</v>
      </c>
      <c r="C61" s="44">
        <f>+C59+C60+C58</f>
        <v>1.2880000000000837</v>
      </c>
      <c r="D61" s="44">
        <f>+D59+D60+D58</f>
        <v>-109.48</v>
      </c>
      <c r="E61" s="44">
        <f>+E59+E60+E58</f>
        <v>-107.64</v>
      </c>
      <c r="F61" s="44">
        <f>+F59+F60+F58</f>
        <v>4.5999999999999996</v>
      </c>
      <c r="G61" s="19"/>
      <c r="N61" s="3"/>
      <c r="O61" s="11"/>
      <c r="P61" s="11"/>
      <c r="Q61" s="11"/>
      <c r="R61" s="11"/>
      <c r="S61" s="11"/>
    </row>
    <row r="62" spans="1:19">
      <c r="B62" s="45"/>
      <c r="C62" s="45"/>
      <c r="D62" s="45"/>
      <c r="E62" s="45"/>
      <c r="F62" s="45"/>
      <c r="N62" s="3"/>
      <c r="O62" s="11"/>
      <c r="P62" s="11"/>
      <c r="Q62" s="11"/>
      <c r="R62" s="11"/>
      <c r="S62" s="11"/>
    </row>
    <row r="64" spans="1:19">
      <c r="A64" t="s">
        <v>45</v>
      </c>
    </row>
    <row r="65" spans="1:6">
      <c r="A65" t="s">
        <v>46</v>
      </c>
    </row>
    <row r="66" spans="1:6">
      <c r="A66" s="7" t="s">
        <v>47</v>
      </c>
    </row>
    <row r="67" spans="1:6">
      <c r="A67" s="7" t="s">
        <v>48</v>
      </c>
    </row>
    <row r="68" spans="1:6">
      <c r="A68" s="53" t="s">
        <v>49</v>
      </c>
      <c r="B68" s="53"/>
      <c r="C68" s="53"/>
      <c r="D68" s="53"/>
      <c r="E68" s="53"/>
    </row>
    <row r="69" spans="1:6">
      <c r="A69" s="53"/>
      <c r="B69" s="53"/>
      <c r="C69" s="53"/>
      <c r="D69" s="53"/>
      <c r="E69" s="53"/>
    </row>
    <row r="70" spans="1:6">
      <c r="A70" s="53"/>
      <c r="B70" s="53"/>
      <c r="C70" s="53"/>
      <c r="D70" s="53"/>
      <c r="E70" s="53"/>
    </row>
    <row r="73" spans="1:6">
      <c r="D73" s="9"/>
      <c r="E73" s="9"/>
      <c r="F73" s="9"/>
    </row>
  </sheetData>
  <mergeCells count="4">
    <mergeCell ref="D44:E44"/>
    <mergeCell ref="E45:F45"/>
    <mergeCell ref="A68:E70"/>
    <mergeCell ref="G43:J43"/>
  </mergeCells>
  <pageMargins left="0.2" right="0.2" top="0.75" bottom="0.75" header="0.3" footer="0.3"/>
  <pageSetup scale="4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view="pageBreakPreview" zoomScale="85" zoomScaleNormal="70" zoomScaleSheetLayoutView="85" workbookViewId="0">
      <pane xSplit="1" ySplit="3" topLeftCell="B30" activePane="bottomRight" state="frozen"/>
      <selection pane="bottomRight" activeCell="A6" sqref="A6"/>
      <selection pane="bottomLeft" activeCell="A6" sqref="A6"/>
      <selection pane="topRight" activeCell="A6" sqref="A6"/>
    </sheetView>
  </sheetViews>
  <sheetFormatPr defaultRowHeight="14.45"/>
  <cols>
    <col min="1" max="1" width="61.140625" customWidth="1"/>
    <col min="2" max="2" width="23.42578125" customWidth="1"/>
    <col min="3" max="3" width="20.5703125" customWidth="1"/>
    <col min="4" max="4" width="21" customWidth="1"/>
    <col min="5" max="5" width="23.42578125" customWidth="1"/>
    <col min="6" max="6" width="24.5703125" customWidth="1"/>
    <col min="9" max="9" width="24.5703125" customWidth="1"/>
    <col min="10" max="10" width="7" bestFit="1" customWidth="1"/>
    <col min="14" max="14" width="21.140625" customWidth="1"/>
  </cols>
  <sheetData>
    <row r="1" spans="1:10" ht="21">
      <c r="A1" s="8" t="s">
        <v>50</v>
      </c>
    </row>
    <row r="2" spans="1:10">
      <c r="A2" t="s">
        <v>1</v>
      </c>
    </row>
    <row r="3" spans="1:10">
      <c r="B3" s="17">
        <v>2023</v>
      </c>
      <c r="C3" s="17">
        <v>2024</v>
      </c>
      <c r="D3" s="17">
        <v>2025</v>
      </c>
      <c r="E3" s="17">
        <v>2026</v>
      </c>
      <c r="F3" s="17">
        <v>2027</v>
      </c>
      <c r="I3" s="1" t="s">
        <v>2</v>
      </c>
    </row>
    <row r="4" spans="1:10">
      <c r="A4" t="s">
        <v>51</v>
      </c>
      <c r="B4">
        <v>920</v>
      </c>
      <c r="C4">
        <v>950</v>
      </c>
      <c r="D4">
        <v>980</v>
      </c>
      <c r="E4">
        <v>1000</v>
      </c>
      <c r="F4">
        <v>1100</v>
      </c>
      <c r="I4" t="s">
        <v>4</v>
      </c>
      <c r="J4" s="2">
        <v>8.3400000000000002E-2</v>
      </c>
    </row>
    <row r="5" spans="1:10">
      <c r="A5" t="s">
        <v>5</v>
      </c>
      <c r="B5" s="12">
        <v>0.98</v>
      </c>
      <c r="C5" s="12">
        <v>0.98</v>
      </c>
      <c r="D5" s="12">
        <v>0.98</v>
      </c>
      <c r="E5" s="12">
        <v>0.98</v>
      </c>
      <c r="F5" s="12">
        <v>0.98</v>
      </c>
      <c r="I5" t="s">
        <v>6</v>
      </c>
      <c r="J5" s="2">
        <v>1.5599999999999999E-2</v>
      </c>
    </row>
    <row r="6" spans="1:10" ht="28.9">
      <c r="A6" s="13" t="s">
        <v>52</v>
      </c>
      <c r="B6" s="14">
        <f>B4*B5</f>
        <v>901.6</v>
      </c>
      <c r="C6" s="14">
        <f>C4*C5</f>
        <v>931</v>
      </c>
      <c r="D6" s="14">
        <f>D4*D5</f>
        <v>960.4</v>
      </c>
      <c r="E6" s="14">
        <f>E4*E5</f>
        <v>980</v>
      </c>
      <c r="F6" s="14">
        <f>F4*F5</f>
        <v>1078</v>
      </c>
      <c r="I6" t="s">
        <v>8</v>
      </c>
      <c r="J6" s="2">
        <v>4.0399999999999998E-2</v>
      </c>
    </row>
    <row r="7" spans="1:10">
      <c r="I7" t="s">
        <v>9</v>
      </c>
      <c r="J7" s="2">
        <v>2.5499999999999998E-2</v>
      </c>
    </row>
    <row r="8" spans="1:10">
      <c r="A8" s="16" t="s">
        <v>53</v>
      </c>
      <c r="B8" s="15">
        <v>902</v>
      </c>
      <c r="C8" s="15">
        <v>932</v>
      </c>
      <c r="D8" s="15">
        <v>840</v>
      </c>
      <c r="E8" s="15">
        <v>982</v>
      </c>
      <c r="F8" s="15">
        <v>1200</v>
      </c>
      <c r="I8" t="s">
        <v>11</v>
      </c>
      <c r="J8" s="2">
        <v>0.08</v>
      </c>
    </row>
    <row r="10" spans="1:10" s="25" customFormat="1" ht="21">
      <c r="A10" s="25" t="s">
        <v>12</v>
      </c>
      <c r="B10" s="34">
        <f>B8-B6</f>
        <v>0.39999999999997726</v>
      </c>
      <c r="C10" s="34">
        <f>SUM(B8:C8)-SUM(B6:C6)</f>
        <v>1.4000000000000909</v>
      </c>
      <c r="D10" s="34">
        <f>SUM(B8:D8)-SUM(B6:D6)</f>
        <v>-119</v>
      </c>
      <c r="E10" s="34">
        <f>SUM(B8:E8)-SUM(B6:E6)</f>
        <v>-117</v>
      </c>
      <c r="F10" s="34">
        <f>SUM(B8:F8)-SUM(B6:F6)</f>
        <v>5</v>
      </c>
    </row>
    <row r="13" spans="1:10" s="25" customFormat="1" ht="42">
      <c r="A13" s="33" t="s">
        <v>13</v>
      </c>
      <c r="B13" s="29">
        <f>B8/B6</f>
        <v>1.0004436557231589</v>
      </c>
      <c r="C13" s="29">
        <f>SUM(B8:C8)/SUM(B6:C6)</f>
        <v>1.0007639419404126</v>
      </c>
      <c r="D13" s="30">
        <f>SUM(B8:D8)/SUM(B6:D6)</f>
        <v>0.95739348370927313</v>
      </c>
      <c r="E13" s="30">
        <f>SUM(B8:E8)/SUM(B6:E6)</f>
        <v>0.96899019347998938</v>
      </c>
      <c r="F13" s="29">
        <f>SUM(B8:F8)/SUM(B6:F6)</f>
        <v>1.0010307153164295</v>
      </c>
    </row>
    <row r="14" spans="1:10" s="25" customFormat="1" ht="21">
      <c r="A14" s="31"/>
      <c r="B14" s="32"/>
      <c r="C14" s="32"/>
      <c r="D14" s="32"/>
      <c r="E14" s="32"/>
      <c r="F14" s="32"/>
    </row>
    <row r="15" spans="1:10">
      <c r="B15" s="4"/>
      <c r="C15" s="4"/>
      <c r="D15" s="4"/>
      <c r="E15" s="4"/>
      <c r="F15" s="4"/>
    </row>
    <row r="16" spans="1:10">
      <c r="A16" s="6" t="s">
        <v>14</v>
      </c>
      <c r="B16" s="17">
        <v>2023</v>
      </c>
      <c r="C16" s="17">
        <v>2024</v>
      </c>
      <c r="D16" s="17">
        <v>2025</v>
      </c>
      <c r="E16" s="17">
        <v>2026</v>
      </c>
      <c r="F16" s="17">
        <v>2027</v>
      </c>
    </row>
    <row r="17" spans="1:9">
      <c r="A17" t="s">
        <v>15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9">
      <c r="A18" t="s">
        <v>16</v>
      </c>
      <c r="B18" s="21">
        <f>+B10</f>
        <v>0.39999999999997726</v>
      </c>
      <c r="C18" s="21">
        <f>+C10</f>
        <v>1.4000000000000909</v>
      </c>
      <c r="D18" s="21">
        <f>+D10</f>
        <v>-119</v>
      </c>
      <c r="E18" s="21">
        <f>+E10</f>
        <v>-117</v>
      </c>
      <c r="F18" s="21">
        <f>+F10</f>
        <v>5</v>
      </c>
    </row>
    <row r="19" spans="1:9" ht="15" thickBot="1">
      <c r="A19" s="18" t="s">
        <v>17</v>
      </c>
      <c r="B19" s="22">
        <f>SUM(B17:B18)</f>
        <v>0.39999999999997726</v>
      </c>
      <c r="C19" s="22">
        <f>SUM(C17:C18)</f>
        <v>1.4000000000000909</v>
      </c>
      <c r="D19" s="22">
        <f>SUM(D17:D18)</f>
        <v>-119</v>
      </c>
      <c r="E19" s="22">
        <f>SUM(E17:E18)</f>
        <v>-117</v>
      </c>
      <c r="F19" s="22">
        <f>SUM(F17:F18)</f>
        <v>5</v>
      </c>
    </row>
    <row r="22" spans="1:9">
      <c r="I22" s="5"/>
    </row>
    <row r="23" spans="1:9">
      <c r="A23" s="6" t="s">
        <v>18</v>
      </c>
      <c r="B23" s="17">
        <v>2023</v>
      </c>
      <c r="C23" s="17">
        <v>2024</v>
      </c>
      <c r="D23" s="17">
        <v>2025</v>
      </c>
      <c r="E23" s="17">
        <v>2026</v>
      </c>
      <c r="F23" s="17">
        <v>2027</v>
      </c>
    </row>
    <row r="24" spans="1:9">
      <c r="A24" t="s">
        <v>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9">
      <c r="A25" t="s">
        <v>16</v>
      </c>
      <c r="B25" s="21">
        <f>+B34</f>
        <v>5.0999999999997098E-3</v>
      </c>
      <c r="C25" s="21">
        <f>+C34</f>
        <v>1.785000000000116E-2</v>
      </c>
      <c r="D25" s="21">
        <f>+D34</f>
        <v>-1.51725</v>
      </c>
      <c r="E25" s="21">
        <f>+E34</f>
        <v>-1.4917499999999999</v>
      </c>
      <c r="F25" s="21">
        <f>+F34</f>
        <v>6.3750000000000001E-2</v>
      </c>
    </row>
    <row r="26" spans="1:9" ht="15" thickBot="1">
      <c r="A26" s="18" t="s">
        <v>17</v>
      </c>
      <c r="B26" s="22">
        <f>SUM(B24:B25)</f>
        <v>5.0999999999997098E-3</v>
      </c>
      <c r="C26" s="22">
        <f t="shared" ref="C26:F26" si="0">SUM(C24:C25)</f>
        <v>1.785000000000116E-2</v>
      </c>
      <c r="D26" s="22">
        <f t="shared" si="0"/>
        <v>-1.51725</v>
      </c>
      <c r="E26" s="22">
        <f t="shared" si="0"/>
        <v>-1.4917499999999999</v>
      </c>
      <c r="F26" s="22">
        <f t="shared" si="0"/>
        <v>6.3750000000000001E-2</v>
      </c>
    </row>
    <row r="27" spans="1:9">
      <c r="A27" s="6" t="s">
        <v>19</v>
      </c>
      <c r="B27" s="17">
        <v>2023</v>
      </c>
      <c r="C27" s="17">
        <v>2024</v>
      </c>
      <c r="D27" s="17">
        <v>2025</v>
      </c>
      <c r="E27" s="17">
        <v>2026</v>
      </c>
      <c r="F27" s="17">
        <v>2027</v>
      </c>
    </row>
    <row r="28" spans="1:9">
      <c r="A28" t="s">
        <v>20</v>
      </c>
      <c r="B28" s="21">
        <f>+B19</f>
        <v>0.39999999999997726</v>
      </c>
      <c r="C28" s="21">
        <f>+C19</f>
        <v>1.4000000000000909</v>
      </c>
      <c r="D28" s="21">
        <f>+D19</f>
        <v>-119</v>
      </c>
      <c r="E28" s="21">
        <f>+E19</f>
        <v>-117</v>
      </c>
      <c r="F28" s="21">
        <f>+F19</f>
        <v>5</v>
      </c>
    </row>
    <row r="29" spans="1:9">
      <c r="A29" s="1" t="s">
        <v>18</v>
      </c>
      <c r="B29" s="23">
        <f>+B26</f>
        <v>5.0999999999997098E-3</v>
      </c>
      <c r="C29" s="23">
        <f>+C26</f>
        <v>1.785000000000116E-2</v>
      </c>
      <c r="D29" s="23">
        <f>+D26</f>
        <v>-1.51725</v>
      </c>
      <c r="E29" s="23">
        <f>+E26</f>
        <v>-1.4917499999999999</v>
      </c>
      <c r="F29" s="23">
        <f>+F26</f>
        <v>6.3750000000000001E-2</v>
      </c>
    </row>
    <row r="30" spans="1:9">
      <c r="A30" t="s">
        <v>21</v>
      </c>
      <c r="B30" s="20">
        <f>+B28-B29</f>
        <v>0.39489999999997755</v>
      </c>
      <c r="C30" s="20">
        <f t="shared" ref="C30:F30" si="1">+C28-C29</f>
        <v>1.3821500000000897</v>
      </c>
      <c r="D30" s="20">
        <f>+D28-D29</f>
        <v>-117.48275</v>
      </c>
      <c r="E30" s="20">
        <f>+E28-E29</f>
        <v>-115.50825</v>
      </c>
      <c r="F30" s="20">
        <f t="shared" si="1"/>
        <v>4.9362500000000002</v>
      </c>
    </row>
    <row r="32" spans="1:9" ht="15" thickBot="1">
      <c r="A32" s="18" t="s">
        <v>22</v>
      </c>
      <c r="B32" s="24">
        <f>B30/2</f>
        <v>0.19744999999998877</v>
      </c>
      <c r="C32" s="24">
        <f>C30/2</f>
        <v>0.69107500000004485</v>
      </c>
      <c r="D32" s="24">
        <f>D30/2</f>
        <v>-58.741374999999998</v>
      </c>
      <c r="E32" s="24">
        <f>E30/2</f>
        <v>-57.754125000000002</v>
      </c>
      <c r="F32" s="24">
        <f>F30/2</f>
        <v>2.4681250000000001</v>
      </c>
    </row>
    <row r="33" spans="1:19">
      <c r="A33" s="6"/>
      <c r="B33" s="6"/>
      <c r="C33" s="6"/>
      <c r="D33" s="6"/>
      <c r="E33" s="6"/>
      <c r="F33" s="6"/>
      <c r="N33" s="3"/>
      <c r="O33" s="11"/>
      <c r="P33" s="11"/>
      <c r="Q33" s="11"/>
      <c r="R33" s="11"/>
      <c r="S33" s="11"/>
    </row>
    <row r="34" spans="1:19">
      <c r="A34" t="s">
        <v>23</v>
      </c>
      <c r="B34" s="19">
        <f>(B17*$J$7)+(B18*$J$7)/2</f>
        <v>5.0999999999997098E-3</v>
      </c>
      <c r="C34" s="19">
        <f>(C17*$J$7)+(C18*$J$7)/2</f>
        <v>1.785000000000116E-2</v>
      </c>
      <c r="D34" s="19">
        <f>(D17*$J$7)+(D18*$J$7)/2</f>
        <v>-1.51725</v>
      </c>
      <c r="E34" s="19">
        <f>(E17*$J$7)+(E18*$J$7)/2</f>
        <v>-1.4917499999999999</v>
      </c>
      <c r="F34" s="19">
        <f>(F17*$J$7)+(F18*$J$7)/2</f>
        <v>6.3750000000000001E-2</v>
      </c>
    </row>
    <row r="35" spans="1:19">
      <c r="A35" s="49" t="s">
        <v>24</v>
      </c>
      <c r="B35" s="48">
        <f>+B32*56%*$J$6</f>
        <v>4.4671087999997462E-3</v>
      </c>
      <c r="C35" s="48">
        <f>+C32*56%*$J$6</f>
        <v>1.5634880800001017E-2</v>
      </c>
      <c r="D35" s="48">
        <f>+D32*56%*$J$6</f>
        <v>-1.3289648679999999</v>
      </c>
      <c r="E35" s="48">
        <f>+E32*56%*$J$6</f>
        <v>-1.3066293240000002</v>
      </c>
      <c r="F35" s="48">
        <f>+F32*56%*$J$6</f>
        <v>5.5838860000000004E-2</v>
      </c>
      <c r="N35" s="3"/>
      <c r="O35" s="11"/>
      <c r="P35" s="11"/>
      <c r="Q35" s="11"/>
      <c r="R35" s="11"/>
      <c r="S35" s="11"/>
    </row>
    <row r="36" spans="1:19">
      <c r="A36" s="3" t="s">
        <v>25</v>
      </c>
      <c r="B36" s="11">
        <f>B32*4%*$J$5</f>
        <v>1.2320879999999299E-4</v>
      </c>
      <c r="C36" s="11">
        <f>C32*4%*$J$5</f>
        <v>4.3123080000002798E-4</v>
      </c>
      <c r="D36" s="11">
        <f t="shared" ref="D36:F36" si="2">D32*4%*$J$5</f>
        <v>-3.6654617999999993E-2</v>
      </c>
      <c r="E36" s="11">
        <f>E32*4%*$J$5</f>
        <v>-3.6038573999999997E-2</v>
      </c>
      <c r="F36" s="11">
        <f t="shared" si="2"/>
        <v>1.5401100000000001E-3</v>
      </c>
      <c r="N36" s="3"/>
      <c r="O36" s="11"/>
      <c r="P36" s="11"/>
      <c r="Q36" s="11"/>
      <c r="R36" s="11"/>
      <c r="S36" s="11"/>
    </row>
    <row r="37" spans="1:19">
      <c r="A37" s="3" t="s">
        <v>26</v>
      </c>
      <c r="B37" s="11">
        <f>B32*40%*$J$4</f>
        <v>6.5869319999996255E-3</v>
      </c>
      <c r="C37" s="11">
        <f>C32*40%*$J$4</f>
        <v>2.3054262000001498E-2</v>
      </c>
      <c r="D37" s="11">
        <f>D32*40%*$J$4</f>
        <v>-1.95961227</v>
      </c>
      <c r="E37" s="11">
        <f>E32*40%*$J$4</f>
        <v>-1.9266776100000003</v>
      </c>
      <c r="F37" s="11">
        <f>F32*40%*$J$4</f>
        <v>8.2336650000000011E-2</v>
      </c>
      <c r="N37" s="3"/>
      <c r="O37" s="11"/>
      <c r="P37" s="11"/>
      <c r="Q37" s="11"/>
      <c r="R37" s="11"/>
      <c r="S37" s="11"/>
    </row>
    <row r="38" spans="1:19">
      <c r="B38" s="3"/>
      <c r="C38" s="11"/>
      <c r="D38" s="11"/>
      <c r="E38" s="11"/>
      <c r="F38" s="11"/>
      <c r="G38" s="11"/>
      <c r="N38" s="3"/>
      <c r="O38" s="11"/>
      <c r="P38" s="11"/>
      <c r="Q38" s="11"/>
      <c r="R38" s="11"/>
      <c r="S38" s="11"/>
    </row>
    <row r="39" spans="1:19">
      <c r="A39" t="s">
        <v>27</v>
      </c>
      <c r="B39" s="5">
        <f>+B55</f>
        <v>-1.3092466693876807E-2</v>
      </c>
      <c r="C39" s="5">
        <f>+C55</f>
        <v>-2.56331572380969E-2</v>
      </c>
      <c r="D39" s="5">
        <f>D55</f>
        <v>2.1788183652380955</v>
      </c>
      <c r="E39" s="5">
        <f>E55</f>
        <v>2.1421995691836733</v>
      </c>
      <c r="F39" s="5">
        <f>F55</f>
        <v>-9.154699013605444E-2</v>
      </c>
      <c r="G39" s="11"/>
      <c r="N39" s="3"/>
      <c r="O39" s="11"/>
      <c r="P39" s="11"/>
      <c r="Q39" s="11"/>
      <c r="R39" s="11"/>
      <c r="S39" s="11"/>
    </row>
    <row r="40" spans="1:19">
      <c r="B40" s="3"/>
      <c r="C40" s="11"/>
      <c r="D40" s="11"/>
      <c r="E40" s="11"/>
      <c r="F40" s="11"/>
      <c r="G40" s="11"/>
      <c r="N40" s="3"/>
      <c r="O40" s="11"/>
      <c r="P40" s="11"/>
      <c r="Q40" s="11"/>
      <c r="R40" s="11"/>
      <c r="S40" s="11"/>
    </row>
    <row r="41" spans="1:19">
      <c r="B41" s="3"/>
      <c r="C41" s="11"/>
      <c r="D41" s="11"/>
      <c r="E41" s="11"/>
      <c r="F41" s="11"/>
      <c r="G41" s="11"/>
      <c r="N41" s="3"/>
      <c r="O41" s="11"/>
      <c r="P41" s="11"/>
      <c r="Q41" s="11"/>
      <c r="R41" s="11"/>
      <c r="S41" s="11"/>
    </row>
    <row r="42" spans="1:19" s="25" customFormat="1" ht="42.6" thickBot="1">
      <c r="A42" s="33" t="s">
        <v>54</v>
      </c>
      <c r="B42" s="26">
        <f>B34+SUM(B35:B39)</f>
        <v>3.1847829061222672E-3</v>
      </c>
      <c r="C42" s="26">
        <f>C34+SUM(C35:C39)</f>
        <v>3.1337216361906811E-2</v>
      </c>
      <c r="D42" s="26">
        <f>D34+SUM(D35:D39)</f>
        <v>-2.6636633907619043</v>
      </c>
      <c r="E42" s="26">
        <f>E34+SUM(E35:E39)</f>
        <v>-2.6188959388163271</v>
      </c>
      <c r="F42" s="26">
        <f>F34+SUM(F35:F39)</f>
        <v>0.11191862986394557</v>
      </c>
      <c r="G42" s="27"/>
      <c r="K42"/>
      <c r="L42"/>
      <c r="M42"/>
      <c r="N42" s="3"/>
      <c r="O42" s="27"/>
      <c r="P42" s="27"/>
      <c r="Q42" s="27"/>
      <c r="R42" s="27"/>
      <c r="S42" s="27"/>
    </row>
    <row r="43" spans="1:19" s="25" customFormat="1" ht="64.5" customHeight="1" thickBot="1">
      <c r="A43" s="8" t="s">
        <v>55</v>
      </c>
      <c r="B43" s="27">
        <f>B42*1000000</f>
        <v>3184.7829061222674</v>
      </c>
      <c r="C43" s="27">
        <f>C42*1000000</f>
        <v>31337.216361906812</v>
      </c>
      <c r="D43" s="46">
        <f>D42*1000000</f>
        <v>-2663663.3907619044</v>
      </c>
      <c r="E43" s="46">
        <f>E42*1000000</f>
        <v>-2618895.9388163271</v>
      </c>
      <c r="F43" s="27">
        <f>F42*1000000</f>
        <v>111918.62986394558</v>
      </c>
      <c r="G43" s="54" t="s">
        <v>56</v>
      </c>
      <c r="H43" s="55"/>
      <c r="I43" s="55"/>
      <c r="J43" s="56"/>
      <c r="K43"/>
      <c r="L43"/>
      <c r="M43"/>
      <c r="N43" s="3"/>
      <c r="O43" s="27"/>
      <c r="P43" s="27"/>
      <c r="Q43" s="27"/>
      <c r="R43" s="27"/>
      <c r="S43" s="27"/>
    </row>
    <row r="44" spans="1:19" s="25" customFormat="1" ht="21" customHeight="1">
      <c r="A44" s="25" t="s">
        <v>31</v>
      </c>
      <c r="B44" s="28"/>
      <c r="C44" s="27"/>
      <c r="D44" s="35"/>
      <c r="E44" s="35"/>
      <c r="F44" s="36"/>
      <c r="G44" s="27"/>
      <c r="K44"/>
      <c r="L44"/>
      <c r="M44"/>
      <c r="N44" s="3"/>
      <c r="O44" s="27"/>
      <c r="P44" s="27"/>
      <c r="Q44" s="27"/>
      <c r="R44" s="27"/>
      <c r="S44" s="27"/>
    </row>
    <row r="45" spans="1:19" s="25" customFormat="1" ht="21">
      <c r="B45" s="28"/>
      <c r="C45" s="27"/>
      <c r="D45" s="36"/>
      <c r="E45" s="35"/>
      <c r="F45" s="35"/>
      <c r="G45" s="27"/>
      <c r="K45"/>
      <c r="L45"/>
      <c r="M45"/>
      <c r="N45" s="3"/>
      <c r="O45" s="27"/>
      <c r="P45" s="27"/>
      <c r="Q45" s="27"/>
      <c r="R45" s="27"/>
      <c r="S45" s="27"/>
    </row>
    <row r="46" spans="1:19">
      <c r="B46" s="3"/>
      <c r="C46" s="11"/>
      <c r="D46" s="37"/>
      <c r="E46" s="37"/>
      <c r="F46" s="37"/>
      <c r="G46" s="11"/>
      <c r="N46" s="3"/>
      <c r="O46" s="11"/>
      <c r="P46" s="11"/>
      <c r="Q46" s="11"/>
      <c r="R46" s="11"/>
      <c r="S46" s="11"/>
    </row>
    <row r="47" spans="1:19">
      <c r="B47" s="3"/>
      <c r="C47" s="11"/>
      <c r="D47" s="37"/>
      <c r="E47" s="37"/>
      <c r="F47" s="37"/>
      <c r="G47" s="11"/>
      <c r="N47" s="3"/>
      <c r="O47" s="11"/>
      <c r="P47" s="11"/>
      <c r="Q47" s="11"/>
      <c r="R47" s="11"/>
      <c r="S47" s="11"/>
    </row>
    <row r="48" spans="1:19">
      <c r="A48" s="10" t="s">
        <v>33</v>
      </c>
      <c r="G48" s="11"/>
      <c r="N48" s="3"/>
      <c r="O48" s="11"/>
      <c r="P48" s="11"/>
      <c r="Q48" s="11"/>
      <c r="R48" s="11"/>
      <c r="S48" s="11"/>
    </row>
    <row r="49" spans="1:19">
      <c r="A49" t="s">
        <v>4</v>
      </c>
      <c r="B49" s="19">
        <f>+B37</f>
        <v>6.5869319999996255E-3</v>
      </c>
      <c r="C49" s="19">
        <f>+C37</f>
        <v>2.3054262000001498E-2</v>
      </c>
      <c r="D49" s="19">
        <f>+D37</f>
        <v>-1.95961227</v>
      </c>
      <c r="E49" s="19">
        <f t="shared" ref="E49:F49" si="3">+E37</f>
        <v>-1.9266776100000003</v>
      </c>
      <c r="F49" s="19">
        <f t="shared" si="3"/>
        <v>8.2336650000000011E-2</v>
      </c>
      <c r="G49" s="11"/>
      <c r="N49" s="3"/>
      <c r="O49" s="11"/>
      <c r="P49" s="11"/>
      <c r="Q49" s="11"/>
      <c r="R49" s="11"/>
      <c r="S49" s="11"/>
    </row>
    <row r="50" spans="1:19">
      <c r="A50" t="s">
        <v>34</v>
      </c>
      <c r="B50" s="19">
        <f>B34</f>
        <v>5.0999999999997098E-3</v>
      </c>
      <c r="C50" s="19">
        <f>C34</f>
        <v>1.785000000000116E-2</v>
      </c>
      <c r="D50" s="19">
        <f>D34</f>
        <v>-1.51725</v>
      </c>
      <c r="E50" s="19">
        <f>E34</f>
        <v>-1.4917499999999999</v>
      </c>
      <c r="F50" s="19">
        <f>F34</f>
        <v>6.3750000000000001E-2</v>
      </c>
      <c r="G50" s="11"/>
      <c r="N50" s="3"/>
      <c r="O50" s="11"/>
      <c r="P50" s="11"/>
      <c r="Q50" s="11"/>
      <c r="R50" s="11"/>
      <c r="S50" s="11"/>
    </row>
    <row r="51" spans="1:19">
      <c r="A51" t="s">
        <v>35</v>
      </c>
      <c r="B51" s="38">
        <f>+B60</f>
        <v>-4.7999999999997274E-2</v>
      </c>
      <c r="C51" s="38">
        <f t="shared" ref="C51" si="4">+C60</f>
        <v>-0.11200000000000727</v>
      </c>
      <c r="D51" s="38">
        <f>+D60</f>
        <v>9.52</v>
      </c>
      <c r="E51" s="38">
        <f>+E60</f>
        <v>9.36</v>
      </c>
      <c r="F51" s="38">
        <f>+F60</f>
        <v>-0.4</v>
      </c>
      <c r="G51" s="11"/>
      <c r="N51" s="3"/>
      <c r="O51" s="11"/>
      <c r="P51" s="11"/>
      <c r="Q51" s="11"/>
      <c r="R51" s="11"/>
      <c r="S51" s="11"/>
    </row>
    <row r="52" spans="1:19">
      <c r="A52" t="s">
        <v>36</v>
      </c>
      <c r="B52" s="39">
        <f>SUM(B49:B51)</f>
        <v>-3.6313067999997936E-2</v>
      </c>
      <c r="C52" s="40">
        <f>SUM(C49:C51)</f>
        <v>-7.1095738000004613E-2</v>
      </c>
      <c r="D52" s="39">
        <f>SUM(D49:D51)</f>
        <v>6.0431377299999998</v>
      </c>
      <c r="E52" s="40">
        <f>SUM(E49:E51)</f>
        <v>5.9415723899999993</v>
      </c>
      <c r="F52" s="40">
        <f>SUM(F49:F51)</f>
        <v>-0.25391335000000004</v>
      </c>
      <c r="G52" s="11"/>
      <c r="N52" s="3"/>
      <c r="O52" s="11"/>
      <c r="P52" s="11"/>
      <c r="Q52" s="11"/>
      <c r="R52" s="11"/>
      <c r="S52" s="11"/>
    </row>
    <row r="53" spans="1:19">
      <c r="A53" t="s">
        <v>37</v>
      </c>
      <c r="B53" s="41">
        <v>0.26500000000000001</v>
      </c>
      <c r="C53" s="41">
        <v>0.26500000000000001</v>
      </c>
      <c r="D53" s="41">
        <v>0.26500000000000001</v>
      </c>
      <c r="E53" s="41">
        <v>0.26500000000000001</v>
      </c>
      <c r="F53" s="41">
        <v>0.26500000000000001</v>
      </c>
      <c r="G53" s="11"/>
      <c r="N53" s="3"/>
      <c r="O53" s="11"/>
      <c r="P53" s="11"/>
      <c r="Q53" s="11"/>
      <c r="R53" s="11"/>
      <c r="S53" s="11"/>
    </row>
    <row r="54" spans="1:19">
      <c r="A54" t="s">
        <v>38</v>
      </c>
      <c r="B54" s="5">
        <f>B52*B53</f>
        <v>-9.6229630199994535E-3</v>
      </c>
      <c r="C54" s="5">
        <f t="shared" ref="C54:F54" si="5">C52*C53</f>
        <v>-1.8840370570001222E-2</v>
      </c>
      <c r="D54" s="5">
        <f>D52*D53</f>
        <v>1.60143149845</v>
      </c>
      <c r="E54" s="5">
        <f t="shared" si="5"/>
        <v>1.5745166833499999</v>
      </c>
      <c r="F54" s="5">
        <f t="shared" si="5"/>
        <v>-6.7287037750000014E-2</v>
      </c>
      <c r="G54" s="11"/>
      <c r="N54" s="3"/>
      <c r="O54" s="11"/>
      <c r="P54" s="11"/>
      <c r="Q54" s="11"/>
      <c r="R54" s="11"/>
      <c r="S54" s="11"/>
    </row>
    <row r="55" spans="1:19">
      <c r="A55" t="s">
        <v>39</v>
      </c>
      <c r="B55" s="5">
        <f>B54/0.735</f>
        <v>-1.3092466693876807E-2</v>
      </c>
      <c r="C55" s="5">
        <f>C54/0.735</f>
        <v>-2.56331572380969E-2</v>
      </c>
      <c r="D55" s="5">
        <f>D54/0.735</f>
        <v>2.1788183652380955</v>
      </c>
      <c r="E55" s="5">
        <f>E54/0.735</f>
        <v>2.1421995691836733</v>
      </c>
      <c r="F55" s="5">
        <f>F54/0.735</f>
        <v>-9.154699013605444E-2</v>
      </c>
      <c r="G55" s="11"/>
      <c r="N55" s="3"/>
      <c r="O55" s="11"/>
      <c r="P55" s="11"/>
      <c r="Q55" s="11"/>
      <c r="R55" s="11"/>
      <c r="S55" s="11"/>
    </row>
    <row r="56" spans="1:19">
      <c r="B56" s="5"/>
      <c r="C56" s="5"/>
      <c r="D56" s="5"/>
      <c r="E56" s="5"/>
      <c r="F56" s="5"/>
      <c r="G56" s="11"/>
      <c r="N56" s="3"/>
      <c r="O56" s="11"/>
      <c r="P56" s="11"/>
      <c r="Q56" s="11"/>
      <c r="R56" s="11"/>
      <c r="S56" s="11"/>
    </row>
    <row r="57" spans="1:19">
      <c r="A57" s="10" t="s">
        <v>40</v>
      </c>
      <c r="B57" s="5"/>
      <c r="C57" s="5"/>
      <c r="D57" s="5"/>
      <c r="E57" s="5"/>
      <c r="F57" s="5"/>
      <c r="G57" s="11"/>
      <c r="N57" s="3"/>
      <c r="O57" s="11"/>
      <c r="P57" s="11"/>
      <c r="Q57" s="11"/>
      <c r="R57" s="11"/>
      <c r="S57" s="11"/>
    </row>
    <row r="58" spans="1:19">
      <c r="A58" t="s">
        <v>41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11"/>
      <c r="N58" s="3"/>
      <c r="O58" s="11"/>
      <c r="P58" s="11"/>
      <c r="Q58" s="11"/>
      <c r="R58" s="11"/>
      <c r="S58" s="11"/>
    </row>
    <row r="59" spans="1:19">
      <c r="A59" t="s">
        <v>42</v>
      </c>
      <c r="B59" s="42">
        <f>B10</f>
        <v>0.39999999999997726</v>
      </c>
      <c r="C59" s="42">
        <f>C10</f>
        <v>1.4000000000000909</v>
      </c>
      <c r="D59" s="42">
        <f>D10</f>
        <v>-119</v>
      </c>
      <c r="E59" s="42">
        <f>+E10</f>
        <v>-117</v>
      </c>
      <c r="F59" s="42">
        <f>+F10</f>
        <v>5</v>
      </c>
      <c r="G59" s="11"/>
      <c r="N59" s="3"/>
      <c r="O59" s="11"/>
      <c r="P59" s="11"/>
      <c r="Q59" s="11"/>
      <c r="R59" s="11"/>
      <c r="S59" s="11"/>
    </row>
    <row r="60" spans="1:19">
      <c r="A60" t="s">
        <v>43</v>
      </c>
      <c r="B60" s="43">
        <f>-B59*J8/2*3</f>
        <v>-4.7999999999997274E-2</v>
      </c>
      <c r="C60" s="43">
        <f>-C59*J8</f>
        <v>-0.11200000000000727</v>
      </c>
      <c r="D60" s="43">
        <f>-(D59*J8+D58*J8)</f>
        <v>9.52</v>
      </c>
      <c r="E60" s="43">
        <f>-(E59*J8+E58*K8)</f>
        <v>9.36</v>
      </c>
      <c r="F60" s="43">
        <f>-(F58*J8+F59*J8)</f>
        <v>-0.4</v>
      </c>
      <c r="G60" s="11"/>
      <c r="N60" s="3"/>
      <c r="O60" s="11"/>
      <c r="P60" s="11"/>
      <c r="Q60" s="11"/>
      <c r="R60" s="11"/>
      <c r="S60" s="11"/>
    </row>
    <row r="61" spans="1:19">
      <c r="A61" t="s">
        <v>44</v>
      </c>
      <c r="B61" s="44">
        <f>+B59+B60+B58</f>
        <v>0.35199999999998</v>
      </c>
      <c r="C61" s="44">
        <f>+C59+C60+C58</f>
        <v>1.2880000000000837</v>
      </c>
      <c r="D61" s="44">
        <f>+D59+D60+D58</f>
        <v>-109.48</v>
      </c>
      <c r="E61" s="44">
        <f>+E59+E60+E58</f>
        <v>-107.64</v>
      </c>
      <c r="F61" s="44">
        <f>+F59+F60+F58</f>
        <v>4.5999999999999996</v>
      </c>
      <c r="G61" s="11"/>
      <c r="N61" s="3"/>
      <c r="O61" s="11"/>
      <c r="P61" s="11"/>
      <c r="Q61" s="11"/>
      <c r="R61" s="11"/>
      <c r="S61" s="11"/>
    </row>
    <row r="62" spans="1:19">
      <c r="B62" s="45"/>
      <c r="C62" s="45"/>
      <c r="D62" s="45"/>
      <c r="E62" s="45"/>
      <c r="F62" s="45"/>
      <c r="N62" s="3"/>
      <c r="O62" s="11"/>
      <c r="P62" s="11"/>
      <c r="Q62" s="11"/>
      <c r="R62" s="11"/>
      <c r="S62" s="11"/>
    </row>
    <row r="64" spans="1:19">
      <c r="A64" t="s">
        <v>45</v>
      </c>
    </row>
    <row r="65" spans="1:6">
      <c r="A65" t="s">
        <v>57</v>
      </c>
    </row>
    <row r="66" spans="1:6">
      <c r="A66" s="7" t="s">
        <v>47</v>
      </c>
    </row>
    <row r="67" spans="1:6">
      <c r="A67" s="7" t="s">
        <v>48</v>
      </c>
    </row>
    <row r="73" spans="1:6">
      <c r="D73" s="9"/>
      <c r="E73" s="9"/>
      <c r="F73" s="9"/>
    </row>
  </sheetData>
  <mergeCells count="1">
    <mergeCell ref="G43:J43"/>
  </mergeCells>
  <pageMargins left="0.2" right="0.2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2" ma:contentTypeDescription="Create a new document." ma:contentTypeScope="" ma:versionID="21d59457b66960e8c15923019cec9c6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5e740588a1269f5b41866aa20ec1764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D8B425-C6BD-4F2E-A5DE-8606719006FB}"/>
</file>

<file path=customXml/itemProps2.xml><?xml version="1.0" encoding="utf-8"?>
<ds:datastoreItem xmlns:ds="http://schemas.openxmlformats.org/officeDocument/2006/customXml" ds:itemID="{FCE65DFC-D5E2-48F3-B7A8-DCD08B4A1352}"/>
</file>

<file path=customXml/itemProps3.xml><?xml version="1.0" encoding="utf-8"?>
<ds:datastoreItem xmlns:ds="http://schemas.openxmlformats.org/officeDocument/2006/customXml" ds:itemID="{37128986-4E93-4A11-9C3E-D69214654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CISVA Illustrative Example</dc:title>
  <dc:subject/>
  <dc:creator>SHIM Jennifer</dc:creator>
  <cp:keywords/>
  <dc:description/>
  <cp:lastModifiedBy>BUT Judy</cp:lastModifiedBy>
  <cp:revision/>
  <dcterms:created xsi:type="dcterms:W3CDTF">2021-05-26T19:26:26Z</dcterms:created>
  <dcterms:modified xsi:type="dcterms:W3CDTF">2022-01-04T16:31:25Z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_dlc_DocIdItemGuid">
    <vt:lpwstr>0adfca63-1762-4955-9c44-1e3e8bebc17e</vt:lpwstr>
  </property>
  <property fmtid="{D5CDD505-2E9C-101B-9397-08002B2CF9AE}" pid="4" name="Torys_OK">
    <vt:lpwstr/>
  </property>
  <property fmtid="{D5CDD505-2E9C-101B-9397-08002B2CF9AE}" pid="5" name="IntervenorAcronym">
    <vt:lpwstr>SEC</vt:lpwstr>
  </property>
  <property fmtid="{D5CDD505-2E9C-101B-9397-08002B2CF9AE}" pid="6" name="WitnessApproved">
    <vt:lpwstr>Approved</vt:lpwstr>
  </property>
  <property fmtid="{D5CDD505-2E9C-101B-9397-08002B2CF9AE}" pid="7" name="ConfidentialFlag">
    <vt:bool>false</vt:bool>
  </property>
  <property fmtid="{D5CDD505-2E9C-101B-9397-08002B2CF9AE}" pid="8" name="Witness">
    <vt:lpwstr>CHHELAVDA Samir</vt:lpwstr>
  </property>
  <property fmtid="{D5CDD505-2E9C-101B-9397-08002B2CF9AE}" pid="11" name="Internal">
    <vt:lpwstr>No</vt:lpwstr>
  </property>
  <property fmtid="{D5CDD505-2E9C-101B-9397-08002B2CF9AE}" pid="13" name="IssueDate">
    <vt:filetime>2022-01-05T05:00:00Z</vt:filetime>
  </property>
  <property fmtid="{D5CDD505-2E9C-101B-9397-08002B2CF9AE}" pid="14" name="UTAuthors">
    <vt:lpwstr>121;#Jennifer.Shim@HydroOne.com</vt:lpwstr>
  </property>
  <property fmtid="{D5CDD505-2E9C-101B-9397-08002B2CF9AE}" pid="15" name="Panel">
    <vt:lpwstr>4 - Finance &amp; Comp</vt:lpwstr>
  </property>
  <property fmtid="{D5CDD505-2E9C-101B-9397-08002B2CF9AE}" pid="17" name="Exhibit">
    <vt:lpwstr>JT-5.15</vt:lpwstr>
  </property>
  <property fmtid="{D5CDD505-2E9C-101B-9397-08002B2CF9AE}" pid="18" name="RAApproved">
    <vt:bool>true</vt:bool>
  </property>
  <property fmtid="{D5CDD505-2E9C-101B-9397-08002B2CF9AE}" pid="19" name="FormattingComplete">
    <vt:bool>false</vt:bool>
  </property>
  <property fmtid="{D5CDD505-2E9C-101B-9397-08002B2CF9AE}" pid="20" name="PDFCreated">
    <vt:bool>false</vt:bool>
  </property>
  <property fmtid="{D5CDD505-2E9C-101B-9397-08002B2CF9AE}" pid="21" name="RA">
    <vt:lpwstr>28;#Uri.Akselrud@HydroOne.com;#44;#Judy.BUT@HydroOne.com</vt:lpwstr>
  </property>
  <property fmtid="{D5CDD505-2E9C-101B-9397-08002B2CF9AE}" pid="22" name="RegDirectorApproved">
    <vt:bool>true</vt:bool>
  </property>
  <property fmtid="{D5CDD505-2E9C-101B-9397-08002B2CF9AE}" pid="23" name="DraftReady">
    <vt:lpwstr>Ready</vt:lpwstr>
  </property>
</Properties>
</file>