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sheets/sheet9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8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orp\HO\RegulatoryAffairs\RAinternal\2023-2027 JRAP\TC Undertakings\Niki Working Folder\"/>
    </mc:Choice>
  </mc:AlternateContent>
  <bookViews>
    <workbookView xWindow="11715" yWindow="300" windowWidth="7485" windowHeight="5100" tabRatio="928" activeTab="10"/>
  </bookViews>
  <sheets>
    <sheet name="1a.ISA and Disposals" sheetId="18" r:id="rId1"/>
    <sheet name="1. Forecast Acq GBV" sheetId="2" r:id="rId2"/>
    <sheet name="2. Acq Last CAM outputs" sheetId="4" r:id="rId3"/>
    <sheet name="3. Allocated Forecast Acq GBV" sheetId="6" r:id="rId4"/>
    <sheet name="4. Non Adj 2023 CAM outputs" sheetId="3" r:id="rId5"/>
    <sheet name="5. Determine Alloc for Acq" sheetId="11" r:id="rId6"/>
    <sheet name="5a. Acq Bulk Factors" sheetId="17" r:id="rId7"/>
    <sheet name="6.NFA" sheetId="12" r:id="rId8"/>
    <sheet name="7.OMA_old" sheetId="13" state="hidden" r:id="rId9"/>
    <sheet name="7.OMA" sheetId="15" state="hidden" r:id="rId10"/>
    <sheet name="7. Depn5705" sheetId="14" r:id="rId11"/>
  </sheets>
  <calcPr calcId="162913"/>
</workbook>
</file>

<file path=xl/calcChain.xml><?xml version="1.0" encoding="utf-8"?>
<calcChain xmlns="http://schemas.openxmlformats.org/spreadsheetml/2006/main">
  <c r="U6" i="18" l="1"/>
  <c r="Q12" i="2" s="1"/>
  <c r="U7" i="18"/>
  <c r="Q13" i="2" s="1"/>
  <c r="U10" i="18"/>
  <c r="Q16" i="2" s="1"/>
  <c r="U11" i="18"/>
  <c r="Q17" i="2" s="1"/>
  <c r="U12" i="18"/>
  <c r="Q18" i="2" s="1"/>
  <c r="R6" i="18"/>
  <c r="O12" i="2" s="1"/>
  <c r="R7" i="18"/>
  <c r="O13" i="2" s="1"/>
  <c r="R10" i="18"/>
  <c r="O16" i="2" s="1"/>
  <c r="R11" i="18"/>
  <c r="O17" i="2" s="1"/>
  <c r="O6" i="18"/>
  <c r="M12" i="2" s="1"/>
  <c r="O10" i="18"/>
  <c r="M16" i="2" s="1"/>
  <c r="O11" i="18"/>
  <c r="M17" i="2" s="1"/>
  <c r="L6" i="18"/>
  <c r="K12" i="2" s="1"/>
  <c r="L10" i="18"/>
  <c r="K16" i="2" s="1"/>
  <c r="L11" i="18"/>
  <c r="K17" i="2" s="1"/>
  <c r="L12" i="18"/>
  <c r="K18" i="2" s="1"/>
  <c r="I6" i="18"/>
  <c r="I12" i="2" s="1"/>
  <c r="I7" i="18"/>
  <c r="I13" i="2" s="1"/>
  <c r="I10" i="18"/>
  <c r="I16" i="2" s="1"/>
  <c r="I11" i="18"/>
  <c r="I17" i="2" s="1"/>
  <c r="I12" i="18"/>
  <c r="I18" i="2" s="1"/>
  <c r="U21" i="18"/>
  <c r="Q27" i="2" s="1"/>
  <c r="U25" i="18"/>
  <c r="Q31" i="2" s="1"/>
  <c r="R20" i="18"/>
  <c r="O26" i="2" s="1"/>
  <c r="O19" i="18"/>
  <c r="M25" i="2" s="1"/>
  <c r="O23" i="18"/>
  <c r="M29" i="2" s="1"/>
  <c r="O24" i="18"/>
  <c r="M30" i="2" s="1"/>
  <c r="L22" i="18"/>
  <c r="K28" i="2" s="1"/>
  <c r="L26" i="18"/>
  <c r="K32" i="2" s="1"/>
  <c r="I19" i="18"/>
  <c r="I25" i="2" s="1"/>
  <c r="I20" i="18"/>
  <c r="I26" i="2" s="1"/>
  <c r="I21" i="18"/>
  <c r="I27" i="2" s="1"/>
  <c r="I22" i="18"/>
  <c r="I28" i="2" s="1"/>
  <c r="I23" i="18"/>
  <c r="I29" i="2" s="1"/>
  <c r="I24" i="18"/>
  <c r="I30" i="2" s="1"/>
  <c r="I25" i="18"/>
  <c r="I31" i="2" s="1"/>
  <c r="I26" i="18"/>
  <c r="I32" i="2" s="1"/>
  <c r="I18" i="18"/>
  <c r="I24" i="2" s="1"/>
  <c r="R24" i="18" l="1"/>
  <c r="O30" i="2" s="1"/>
  <c r="L7" i="18"/>
  <c r="K13" i="2" s="1"/>
  <c r="O12" i="18"/>
  <c r="M18" i="2" s="1"/>
  <c r="O8" i="18"/>
  <c r="M14" i="2" s="1"/>
  <c r="O7" i="18"/>
  <c r="M13" i="2" s="1"/>
  <c r="R12" i="18"/>
  <c r="O18" i="2" s="1"/>
  <c r="O9" i="18"/>
  <c r="M15" i="2" s="1"/>
  <c r="Y27" i="18"/>
  <c r="O5" i="18"/>
  <c r="M11" i="2" s="1"/>
  <c r="Y13" i="18"/>
  <c r="L8" i="18"/>
  <c r="K14" i="2" s="1"/>
  <c r="AB27" i="18"/>
  <c r="R9" i="18"/>
  <c r="O15" i="2" s="1"/>
  <c r="K27" i="18"/>
  <c r="U23" i="18"/>
  <c r="Q29" i="2" s="1"/>
  <c r="U9" i="18"/>
  <c r="Q15" i="2" s="1"/>
  <c r="M27" i="18"/>
  <c r="M13" i="18"/>
  <c r="T27" i="18"/>
  <c r="P27" i="18"/>
  <c r="P13" i="18"/>
  <c r="R5" i="18"/>
  <c r="O11" i="2" s="1"/>
  <c r="L24" i="18"/>
  <c r="K30" i="2" s="1"/>
  <c r="L20" i="18"/>
  <c r="K26" i="2" s="1"/>
  <c r="R26" i="18"/>
  <c r="O32" i="2" s="1"/>
  <c r="R22" i="18"/>
  <c r="O28" i="2" s="1"/>
  <c r="S27" i="18"/>
  <c r="U19" i="18"/>
  <c r="Q25" i="2" s="1"/>
  <c r="G13" i="18"/>
  <c r="I9" i="18"/>
  <c r="I15" i="2" s="1"/>
  <c r="I5" i="18"/>
  <c r="I11" i="2" s="1"/>
  <c r="R8" i="18"/>
  <c r="O14" i="2" s="1"/>
  <c r="U4" i="18"/>
  <c r="Q10" i="2" s="1"/>
  <c r="U5" i="18"/>
  <c r="Q11" i="2" s="1"/>
  <c r="O18" i="18"/>
  <c r="M24" i="2" s="1"/>
  <c r="J27" i="18"/>
  <c r="L23" i="18"/>
  <c r="K29" i="2" s="1"/>
  <c r="L19" i="18"/>
  <c r="K25" i="2" s="1"/>
  <c r="U22" i="18"/>
  <c r="Q28" i="2" s="1"/>
  <c r="I8" i="18"/>
  <c r="I14" i="2" s="1"/>
  <c r="J13" i="18"/>
  <c r="L9" i="18"/>
  <c r="K15" i="2" s="1"/>
  <c r="L5" i="18"/>
  <c r="K11" i="2" s="1"/>
  <c r="U8" i="18"/>
  <c r="Q14" i="2" s="1"/>
  <c r="V13" i="18"/>
  <c r="I27" i="18"/>
  <c r="R18" i="18"/>
  <c r="O24" i="2" s="1"/>
  <c r="O21" i="18"/>
  <c r="M27" i="2" s="1"/>
  <c r="R19" i="18"/>
  <c r="O25" i="2" s="1"/>
  <c r="L4" i="18"/>
  <c r="K10" i="2" s="1"/>
  <c r="S13" i="18"/>
  <c r="K13" i="18"/>
  <c r="G27" i="18"/>
  <c r="H27" i="18"/>
  <c r="O4" i="18"/>
  <c r="M10" i="2" s="1"/>
  <c r="AB13" i="18"/>
  <c r="N13" i="18"/>
  <c r="L25" i="18"/>
  <c r="K31" i="2" s="1"/>
  <c r="O26" i="18"/>
  <c r="M32" i="2" s="1"/>
  <c r="R23" i="18"/>
  <c r="O29" i="2" s="1"/>
  <c r="U20" i="18"/>
  <c r="Q26" i="2" s="1"/>
  <c r="U24" i="18"/>
  <c r="Q30" i="2" s="1"/>
  <c r="O25" i="18"/>
  <c r="M31" i="2" s="1"/>
  <c r="R4" i="18"/>
  <c r="O10" i="2" s="1"/>
  <c r="Q13" i="18"/>
  <c r="V27" i="18"/>
  <c r="N27" i="18"/>
  <c r="L21" i="18"/>
  <c r="K27" i="2" s="1"/>
  <c r="U18" i="18"/>
  <c r="Q24" i="2" s="1"/>
  <c r="O22" i="18"/>
  <c r="M28" i="2" s="1"/>
  <c r="L18" i="18"/>
  <c r="K24" i="2" s="1"/>
  <c r="O20" i="18"/>
  <c r="M26" i="2" s="1"/>
  <c r="R25" i="18"/>
  <c r="O31" i="2" s="1"/>
  <c r="R21" i="18"/>
  <c r="O27" i="2" s="1"/>
  <c r="U26" i="18"/>
  <c r="Q32" i="2" s="1"/>
  <c r="I4" i="18"/>
  <c r="I10" i="2" s="1"/>
  <c r="I19" i="2" s="1"/>
  <c r="T13" i="18"/>
  <c r="H13" i="18"/>
  <c r="Q27" i="18"/>
  <c r="F35" i="18" l="1"/>
  <c r="G41" i="2" s="1"/>
  <c r="F39" i="18"/>
  <c r="G45" i="2" s="1"/>
  <c r="F38" i="18"/>
  <c r="G44" i="2" s="1"/>
  <c r="L38" i="18"/>
  <c r="K44" i="2" s="1"/>
  <c r="O13" i="18"/>
  <c r="U33" i="18"/>
  <c r="Q39" i="2" s="1"/>
  <c r="L37" i="18"/>
  <c r="K43" i="2" s="1"/>
  <c r="O39" i="18"/>
  <c r="M45" i="2" s="1"/>
  <c r="O35" i="18"/>
  <c r="M41" i="2" s="1"/>
  <c r="R13" i="18"/>
  <c r="F34" i="18"/>
  <c r="G40" i="2" s="1"/>
  <c r="I39" i="18"/>
  <c r="I45" i="2" s="1"/>
  <c r="I35" i="18"/>
  <c r="I41" i="2" s="1"/>
  <c r="U13" i="18"/>
  <c r="R39" i="18"/>
  <c r="O45" i="2" s="1"/>
  <c r="R35" i="18"/>
  <c r="O41" i="2" s="1"/>
  <c r="I40" i="18"/>
  <c r="I46" i="2" s="1"/>
  <c r="I36" i="18"/>
  <c r="I42" i="2" s="1"/>
  <c r="L36" i="18"/>
  <c r="K42" i="2" s="1"/>
  <c r="O34" i="18"/>
  <c r="M40" i="2" s="1"/>
  <c r="F40" i="18"/>
  <c r="G46" i="2" s="1"/>
  <c r="F36" i="18"/>
  <c r="G42" i="2" s="1"/>
  <c r="I34" i="18"/>
  <c r="I40" i="2" s="1"/>
  <c r="S41" i="18"/>
  <c r="U37" i="18"/>
  <c r="Q43" i="2" s="1"/>
  <c r="O27" i="18"/>
  <c r="I38" i="18"/>
  <c r="I44" i="2" s="1"/>
  <c r="O37" i="18"/>
  <c r="M43" i="2" s="1"/>
  <c r="O38" i="18"/>
  <c r="M44" i="2" s="1"/>
  <c r="L27" i="18"/>
  <c r="L13" i="18"/>
  <c r="O33" i="18"/>
  <c r="M39" i="2" s="1"/>
  <c r="D41" i="18"/>
  <c r="F37" i="18"/>
  <c r="G43" i="2" s="1"/>
  <c r="F33" i="18"/>
  <c r="G39" i="2" s="1"/>
  <c r="I37" i="18"/>
  <c r="I43" i="2" s="1"/>
  <c r="I33" i="18"/>
  <c r="I39" i="2" s="1"/>
  <c r="R34" i="18"/>
  <c r="O40" i="2" s="1"/>
  <c r="L39" i="18"/>
  <c r="K45" i="2" s="1"/>
  <c r="L35" i="18"/>
  <c r="K41" i="2" s="1"/>
  <c r="I13" i="18"/>
  <c r="H41" i="18"/>
  <c r="L32" i="18"/>
  <c r="K38" i="2" s="1"/>
  <c r="K41" i="18"/>
  <c r="R32" i="18"/>
  <c r="O38" i="2" s="1"/>
  <c r="Q41" i="18"/>
  <c r="U27" i="18"/>
  <c r="E41" i="18"/>
  <c r="R33" i="18"/>
  <c r="O39" i="2" s="1"/>
  <c r="U32" i="18"/>
  <c r="Q38" i="2" s="1"/>
  <c r="T41" i="18"/>
  <c r="F32" i="18"/>
  <c r="G38" i="2" s="1"/>
  <c r="L33" i="18"/>
  <c r="K39" i="2" s="1"/>
  <c r="M41" i="18"/>
  <c r="R38" i="18"/>
  <c r="O44" i="2" s="1"/>
  <c r="U39" i="18"/>
  <c r="Q45" i="2" s="1"/>
  <c r="U35" i="18"/>
  <c r="Q41" i="2" s="1"/>
  <c r="R27" i="18"/>
  <c r="I32" i="18"/>
  <c r="I38" i="2" s="1"/>
  <c r="U34" i="18"/>
  <c r="Q40" i="2" s="1"/>
  <c r="L40" i="18"/>
  <c r="K46" i="2" s="1"/>
  <c r="G41" i="18"/>
  <c r="R37" i="18"/>
  <c r="O43" i="2" s="1"/>
  <c r="U38" i="18"/>
  <c r="Q44" i="2" s="1"/>
  <c r="J41" i="18"/>
  <c r="L34" i="18"/>
  <c r="K40" i="2" s="1"/>
  <c r="O32" i="18"/>
  <c r="M38" i="2" s="1"/>
  <c r="N41" i="18"/>
  <c r="P41" i="18"/>
  <c r="U36" i="18"/>
  <c r="Q42" i="2" s="1"/>
  <c r="U40" i="18"/>
  <c r="Q46" i="2" s="1"/>
  <c r="R36" i="18"/>
  <c r="O42" i="2" s="1"/>
  <c r="R40" i="18"/>
  <c r="O46" i="2" s="1"/>
  <c r="O40" i="18"/>
  <c r="M46" i="2" s="1"/>
  <c r="O36" i="18"/>
  <c r="M42" i="2" s="1"/>
  <c r="I41" i="18" l="1"/>
  <c r="R41" i="18"/>
  <c r="F41" i="18"/>
  <c r="U41" i="18"/>
  <c r="O41" i="18"/>
  <c r="L41" i="18"/>
  <c r="AB41" i="18" l="1"/>
  <c r="V41" i="18"/>
  <c r="Y41" i="18"/>
  <c r="M8" i="11" l="1"/>
  <c r="L8" i="11"/>
  <c r="K8" i="11"/>
  <c r="J8" i="11" l="1"/>
  <c r="I8" i="11"/>
  <c r="H8" i="11"/>
  <c r="L80" i="17" l="1"/>
  <c r="K80" i="17"/>
  <c r="H80" i="17"/>
  <c r="G80" i="17"/>
  <c r="D80" i="17"/>
  <c r="C80" i="17"/>
  <c r="M78" i="17"/>
  <c r="M77" i="17"/>
  <c r="M76" i="17"/>
  <c r="M75" i="17"/>
  <c r="M74" i="17"/>
  <c r="M73" i="17"/>
  <c r="M72" i="17"/>
  <c r="M71" i="17"/>
  <c r="M70" i="17"/>
  <c r="M69" i="17"/>
  <c r="M68" i="17"/>
  <c r="M67" i="17"/>
  <c r="M80" i="17" s="1"/>
  <c r="I78" i="17"/>
  <c r="O78" i="17" s="1"/>
  <c r="I77" i="17"/>
  <c r="O77" i="17" s="1"/>
  <c r="I76" i="17"/>
  <c r="O76" i="17" s="1"/>
  <c r="I75" i="17"/>
  <c r="O75" i="17" s="1"/>
  <c r="I74" i="17"/>
  <c r="O74" i="17" s="1"/>
  <c r="I73" i="17"/>
  <c r="O73" i="17" s="1"/>
  <c r="I72" i="17"/>
  <c r="O72" i="17" s="1"/>
  <c r="I71" i="17"/>
  <c r="O71" i="17" s="1"/>
  <c r="I70" i="17"/>
  <c r="O70" i="17" s="1"/>
  <c r="I69" i="17"/>
  <c r="O69" i="17" s="1"/>
  <c r="I68" i="17"/>
  <c r="O68" i="17" s="1"/>
  <c r="I67" i="17"/>
  <c r="I80" i="17" s="1"/>
  <c r="E78" i="17"/>
  <c r="E77" i="17"/>
  <c r="E76" i="17"/>
  <c r="E75" i="17"/>
  <c r="E74" i="17"/>
  <c r="E73" i="17"/>
  <c r="E72" i="17"/>
  <c r="E71" i="17"/>
  <c r="E70" i="17"/>
  <c r="E69" i="17"/>
  <c r="E68" i="17"/>
  <c r="E67" i="17"/>
  <c r="E80" i="17" s="1"/>
  <c r="L61" i="17"/>
  <c r="K61" i="17"/>
  <c r="H61" i="17"/>
  <c r="G61" i="17"/>
  <c r="D61" i="17"/>
  <c r="C61" i="17"/>
  <c r="M59" i="17"/>
  <c r="M58" i="17"/>
  <c r="M57" i="17"/>
  <c r="M56" i="17"/>
  <c r="M55" i="17"/>
  <c r="M54" i="17"/>
  <c r="M53" i="17"/>
  <c r="M52" i="17"/>
  <c r="M51" i="17"/>
  <c r="M50" i="17"/>
  <c r="M49" i="17"/>
  <c r="M48" i="17"/>
  <c r="M61" i="17" s="1"/>
  <c r="I59" i="17"/>
  <c r="O59" i="17" s="1"/>
  <c r="I58" i="17"/>
  <c r="O58" i="17" s="1"/>
  <c r="I57" i="17"/>
  <c r="O57" i="17" s="1"/>
  <c r="I56" i="17"/>
  <c r="O56" i="17" s="1"/>
  <c r="I55" i="17"/>
  <c r="O55" i="17" s="1"/>
  <c r="I54" i="17"/>
  <c r="O54" i="17" s="1"/>
  <c r="I53" i="17"/>
  <c r="O53" i="17" s="1"/>
  <c r="I52" i="17"/>
  <c r="O52" i="17" s="1"/>
  <c r="I51" i="17"/>
  <c r="O51" i="17" s="1"/>
  <c r="I50" i="17"/>
  <c r="O50" i="17" s="1"/>
  <c r="I49" i="17"/>
  <c r="O49" i="17" s="1"/>
  <c r="I48" i="17"/>
  <c r="I61" i="17" s="1"/>
  <c r="E59" i="17"/>
  <c r="E58" i="17"/>
  <c r="E57" i="17"/>
  <c r="E56" i="17"/>
  <c r="E55" i="17"/>
  <c r="E54" i="17"/>
  <c r="E53" i="17"/>
  <c r="E52" i="17"/>
  <c r="E51" i="17"/>
  <c r="E50" i="17"/>
  <c r="E49" i="17"/>
  <c r="E48" i="17"/>
  <c r="E61" i="17" s="1"/>
  <c r="O48" i="17" l="1"/>
  <c r="O61" i="17" s="1"/>
  <c r="O67" i="17"/>
  <c r="O80" i="17" s="1"/>
  <c r="L40" i="17"/>
  <c r="K40" i="17"/>
  <c r="H40" i="17"/>
  <c r="G40" i="17"/>
  <c r="D40" i="17"/>
  <c r="C40" i="17"/>
  <c r="M38" i="17"/>
  <c r="M37" i="17"/>
  <c r="M36" i="17"/>
  <c r="M35" i="17"/>
  <c r="M34" i="17"/>
  <c r="M33" i="17"/>
  <c r="M32" i="17"/>
  <c r="M31" i="17"/>
  <c r="M30" i="17"/>
  <c r="M29" i="17"/>
  <c r="M28" i="17"/>
  <c r="M27" i="17"/>
  <c r="M40" i="17" s="1"/>
  <c r="I38" i="17"/>
  <c r="O38" i="17" s="1"/>
  <c r="I37" i="17"/>
  <c r="O37" i="17" s="1"/>
  <c r="I36" i="17"/>
  <c r="O36" i="17" s="1"/>
  <c r="I35" i="17"/>
  <c r="O35" i="17" s="1"/>
  <c r="I34" i="17"/>
  <c r="O34" i="17" s="1"/>
  <c r="I33" i="17"/>
  <c r="O33" i="17" s="1"/>
  <c r="I32" i="17"/>
  <c r="O32" i="17" s="1"/>
  <c r="I31" i="17"/>
  <c r="O31" i="17" s="1"/>
  <c r="I30" i="17"/>
  <c r="O30" i="17" s="1"/>
  <c r="I29" i="17"/>
  <c r="O29" i="17" s="1"/>
  <c r="I28" i="17"/>
  <c r="O28" i="17" s="1"/>
  <c r="I27" i="17"/>
  <c r="O27" i="17" s="1"/>
  <c r="O40" i="17" s="1"/>
  <c r="E38" i="17"/>
  <c r="E37" i="17"/>
  <c r="E36" i="17"/>
  <c r="E35" i="17"/>
  <c r="E34" i="17"/>
  <c r="E33" i="17"/>
  <c r="E32" i="17"/>
  <c r="E31" i="17"/>
  <c r="E30" i="17"/>
  <c r="E29" i="17"/>
  <c r="E28" i="17"/>
  <c r="E27" i="17"/>
  <c r="E40" i="17" s="1"/>
  <c r="L21" i="17"/>
  <c r="K21" i="17"/>
  <c r="H21" i="17"/>
  <c r="G21" i="17"/>
  <c r="D21" i="17"/>
  <c r="C21" i="17"/>
  <c r="M19" i="17"/>
  <c r="M18" i="17"/>
  <c r="M17" i="17"/>
  <c r="M16" i="17"/>
  <c r="M15" i="17"/>
  <c r="M14" i="17"/>
  <c r="M13" i="17"/>
  <c r="M12" i="17"/>
  <c r="M11" i="17"/>
  <c r="M10" i="17"/>
  <c r="M9" i="17"/>
  <c r="M8" i="17"/>
  <c r="M21" i="17" s="1"/>
  <c r="I19" i="17"/>
  <c r="O19" i="17" s="1"/>
  <c r="I18" i="17"/>
  <c r="O18" i="17" s="1"/>
  <c r="I17" i="17"/>
  <c r="O17" i="17" s="1"/>
  <c r="I16" i="17"/>
  <c r="O16" i="17" s="1"/>
  <c r="I15" i="17"/>
  <c r="O15" i="17" s="1"/>
  <c r="I14" i="17"/>
  <c r="O14" i="17" s="1"/>
  <c r="I13" i="17"/>
  <c r="O13" i="17" s="1"/>
  <c r="I12" i="17"/>
  <c r="O12" i="17" s="1"/>
  <c r="I11" i="17"/>
  <c r="O11" i="17" s="1"/>
  <c r="I10" i="17"/>
  <c r="O10" i="17" s="1"/>
  <c r="I9" i="17"/>
  <c r="O9" i="17" s="1"/>
  <c r="I8" i="17"/>
  <c r="O8" i="17" s="1"/>
  <c r="E9" i="17"/>
  <c r="E10" i="17"/>
  <c r="E11" i="17"/>
  <c r="E12" i="17"/>
  <c r="E13" i="17"/>
  <c r="E14" i="17"/>
  <c r="E15" i="17"/>
  <c r="E16" i="17"/>
  <c r="E17" i="17"/>
  <c r="E18" i="17"/>
  <c r="E19" i="17"/>
  <c r="E8" i="17"/>
  <c r="E21" i="17" s="1"/>
  <c r="O21" i="17" l="1"/>
  <c r="I21" i="17"/>
  <c r="I40" i="17"/>
  <c r="D16" i="6"/>
  <c r="Q33" i="2" l="1"/>
  <c r="Q19" i="2"/>
  <c r="I33" i="2" l="1"/>
  <c r="M33" i="2"/>
  <c r="O33" i="2"/>
  <c r="K33" i="2"/>
  <c r="T8" i="17"/>
  <c r="J13" i="11" l="1"/>
  <c r="I13" i="11"/>
  <c r="H13" i="11"/>
  <c r="J12" i="11"/>
  <c r="I12" i="11"/>
  <c r="H12" i="11"/>
  <c r="J11" i="11"/>
  <c r="I11" i="11"/>
  <c r="H11" i="11"/>
  <c r="J10" i="11"/>
  <c r="I10" i="11"/>
  <c r="H10" i="11"/>
  <c r="J9" i="11"/>
  <c r="I9" i="11"/>
  <c r="H9" i="11"/>
  <c r="S11" i="17" l="1"/>
  <c r="E29" i="11" l="1"/>
  <c r="T11" i="17" l="1"/>
  <c r="R11" i="17"/>
  <c r="G22" i="11" s="1"/>
  <c r="S8" i="17"/>
  <c r="R8" i="17"/>
  <c r="T7" i="17"/>
  <c r="S7" i="17"/>
  <c r="R7" i="17"/>
  <c r="G52" i="11" l="1"/>
  <c r="G25" i="11"/>
  <c r="G47" i="11"/>
  <c r="G44" i="11"/>
  <c r="G35" i="11"/>
  <c r="E89" i="4"/>
  <c r="F89" i="4"/>
  <c r="G89" i="4"/>
  <c r="H89" i="4"/>
  <c r="I89" i="4"/>
  <c r="J89" i="4"/>
  <c r="K89" i="4"/>
  <c r="L89" i="4"/>
  <c r="M89" i="4"/>
  <c r="N89" i="4"/>
  <c r="D89" i="4"/>
  <c r="E61" i="4"/>
  <c r="F61" i="4"/>
  <c r="G61" i="4"/>
  <c r="H61" i="4"/>
  <c r="I61" i="4"/>
  <c r="J61" i="4"/>
  <c r="K61" i="4"/>
  <c r="L61" i="4"/>
  <c r="M61" i="4"/>
  <c r="N61" i="4"/>
  <c r="D61" i="4"/>
  <c r="E32" i="4"/>
  <c r="F32" i="4"/>
  <c r="G32" i="4"/>
  <c r="D32" i="4"/>
  <c r="R65" i="4" l="1"/>
  <c r="S65" i="4"/>
  <c r="T65" i="4"/>
  <c r="R66" i="4"/>
  <c r="S66" i="4"/>
  <c r="T66" i="4"/>
  <c r="Q66" i="4"/>
  <c r="Q65" i="4"/>
  <c r="R37" i="4"/>
  <c r="R93" i="4" s="1"/>
  <c r="S37" i="4"/>
  <c r="T37" i="4"/>
  <c r="T93" i="4" s="1"/>
  <c r="R38" i="4"/>
  <c r="R94" i="4" s="1"/>
  <c r="S38" i="4"/>
  <c r="S94" i="4" s="1"/>
  <c r="T38" i="4"/>
  <c r="T94" i="4" s="1"/>
  <c r="Q38" i="4"/>
  <c r="Q94" i="4" s="1"/>
  <c r="Q37" i="4"/>
  <c r="R8" i="4"/>
  <c r="X8" i="4" s="1"/>
  <c r="S8" i="4"/>
  <c r="T8" i="4"/>
  <c r="R9" i="4"/>
  <c r="S9" i="4"/>
  <c r="X9" i="4" s="1"/>
  <c r="F10" i="6" s="1"/>
  <c r="T9" i="4"/>
  <c r="Y9" i="4" s="1"/>
  <c r="G10" i="6" s="1"/>
  <c r="Q9" i="4"/>
  <c r="Q8" i="4"/>
  <c r="Q10" i="4"/>
  <c r="Q93" i="4" l="1"/>
  <c r="W8" i="4"/>
  <c r="W9" i="4"/>
  <c r="E10" i="6" s="1"/>
  <c r="X94" i="4"/>
  <c r="F24" i="6" s="1"/>
  <c r="W94" i="4"/>
  <c r="E24" i="6" s="1"/>
  <c r="Y94" i="4"/>
  <c r="G24" i="6" s="1"/>
  <c r="W93" i="4"/>
  <c r="E23" i="6" s="1"/>
  <c r="E9" i="6" s="1"/>
  <c r="Y93" i="4"/>
  <c r="G23" i="6" s="1"/>
  <c r="G9" i="6" s="1"/>
  <c r="S93" i="4"/>
  <c r="X93" i="4" s="1"/>
  <c r="F23" i="6" s="1"/>
  <c r="F9" i="6" s="1"/>
  <c r="Z9" i="4"/>
  <c r="H10" i="6" s="1"/>
  <c r="Y8" i="4"/>
  <c r="Z8" i="4" s="1"/>
  <c r="H9" i="6" l="1"/>
  <c r="Z94" i="4"/>
  <c r="H24" i="6" s="1"/>
  <c r="Z93" i="4"/>
  <c r="H23" i="6" s="1"/>
  <c r="Y10" i="3" l="1"/>
  <c r="V10" i="3"/>
  <c r="X10" i="3"/>
  <c r="W10" i="3"/>
  <c r="U10" i="3"/>
  <c r="T10" i="3"/>
  <c r="F38" i="2" l="1"/>
  <c r="H38" i="2" s="1"/>
  <c r="F39" i="2" l="1"/>
  <c r="H39" i="2" s="1"/>
  <c r="J39" i="2" s="1"/>
  <c r="L39" i="2" l="1"/>
  <c r="H24" i="2"/>
  <c r="H25" i="2"/>
  <c r="N39" i="2" l="1"/>
  <c r="J24" i="2"/>
  <c r="J25" i="2"/>
  <c r="J38" i="2"/>
  <c r="P39" i="2" l="1"/>
  <c r="L25" i="2"/>
  <c r="L24" i="2"/>
  <c r="L38" i="2"/>
  <c r="H11" i="2"/>
  <c r="J11" i="2" s="1"/>
  <c r="H10" i="2"/>
  <c r="J10" i="2" s="1"/>
  <c r="L11" i="2" l="1"/>
  <c r="N25" i="2"/>
  <c r="L10" i="2"/>
  <c r="R39" i="2"/>
  <c r="I47" i="2"/>
  <c r="N38" i="2"/>
  <c r="N24" i="2"/>
  <c r="N10" i="2" l="1"/>
  <c r="P25" i="2"/>
  <c r="N11" i="2"/>
  <c r="P38" i="2"/>
  <c r="P24" i="2"/>
  <c r="R25" i="2" l="1"/>
  <c r="P10" i="2"/>
  <c r="P11" i="2"/>
  <c r="O47" i="2"/>
  <c r="M47" i="2"/>
  <c r="K19" i="2"/>
  <c r="R24" i="2"/>
  <c r="R38" i="2"/>
  <c r="M19" i="2"/>
  <c r="Q47" i="2"/>
  <c r="O19" i="2"/>
  <c r="K47" i="2"/>
  <c r="R11" i="2" l="1"/>
  <c r="R10" i="2"/>
  <c r="D9" i="15" l="1"/>
  <c r="D120" i="15"/>
  <c r="D125" i="15" s="1"/>
  <c r="D114" i="15"/>
  <c r="D108" i="15"/>
  <c r="D123" i="15" s="1"/>
  <c r="G65" i="15"/>
  <c r="F65" i="15"/>
  <c r="E65" i="15"/>
  <c r="H70" i="15" s="1"/>
  <c r="D65" i="15"/>
  <c r="G59" i="15"/>
  <c r="F59" i="15"/>
  <c r="E59" i="15"/>
  <c r="D59" i="15"/>
  <c r="G52" i="15"/>
  <c r="F52" i="15"/>
  <c r="E52" i="15"/>
  <c r="D52" i="15"/>
  <c r="G120" i="15"/>
  <c r="J125" i="15" s="1"/>
  <c r="F120" i="15"/>
  <c r="I125" i="15" s="1"/>
  <c r="E120" i="15"/>
  <c r="G114" i="15"/>
  <c r="F114" i="15"/>
  <c r="I124" i="15" s="1"/>
  <c r="E114" i="15"/>
  <c r="G108" i="15"/>
  <c r="F108" i="15"/>
  <c r="E108" i="15"/>
  <c r="E123" i="15" s="1"/>
  <c r="E126" i="15" s="1"/>
  <c r="H125" i="15"/>
  <c r="H124" i="15" l="1"/>
  <c r="H126" i="15" s="1"/>
  <c r="I126" i="15"/>
  <c r="D124" i="15"/>
  <c r="D126" i="15" s="1"/>
  <c r="F123" i="15"/>
  <c r="F126" i="15" s="1"/>
  <c r="J124" i="15"/>
  <c r="J126" i="15" s="1"/>
  <c r="G123" i="15"/>
  <c r="G126" i="15" s="1"/>
  <c r="D70" i="15"/>
  <c r="F68" i="15"/>
  <c r="F71" i="15" s="1"/>
  <c r="I69" i="15"/>
  <c r="J69" i="15"/>
  <c r="D69" i="15"/>
  <c r="D68" i="15"/>
  <c r="I70" i="15"/>
  <c r="G68" i="15"/>
  <c r="G71" i="15" s="1"/>
  <c r="H69" i="15"/>
  <c r="J70" i="15"/>
  <c r="E68" i="15"/>
  <c r="E71" i="15" s="1"/>
  <c r="D11" i="15"/>
  <c r="J71" i="15" l="1"/>
  <c r="I71" i="15"/>
  <c r="D71" i="15"/>
  <c r="H71" i="15"/>
  <c r="G47" i="2" l="1"/>
  <c r="D121" i="13" l="1"/>
  <c r="D118" i="13" l="1"/>
  <c r="D9" i="13" l="1"/>
  <c r="F100" i="13" l="1"/>
  <c r="G100" i="13"/>
  <c r="G113" i="13" s="1"/>
  <c r="E100" i="13"/>
  <c r="F99" i="13"/>
  <c r="G99" i="13"/>
  <c r="E99" i="13"/>
  <c r="E109" i="13"/>
  <c r="F109" i="13"/>
  <c r="G109" i="13"/>
  <c r="F108" i="13"/>
  <c r="G108" i="13"/>
  <c r="E108" i="13"/>
  <c r="E90" i="13"/>
  <c r="E112" i="13" s="1"/>
  <c r="F90" i="13"/>
  <c r="G90" i="13"/>
  <c r="F89" i="13"/>
  <c r="G89" i="13"/>
  <c r="E89" i="13"/>
  <c r="D89" i="13"/>
  <c r="D120" i="13"/>
  <c r="D119" i="13"/>
  <c r="D99" i="13"/>
  <c r="D109" i="13"/>
  <c r="D108" i="13"/>
  <c r="D100" i="13"/>
  <c r="D90" i="13"/>
  <c r="D112" i="13" s="1"/>
  <c r="E138" i="13" s="1"/>
  <c r="F114" i="13" l="1"/>
  <c r="F113" i="13"/>
  <c r="E113" i="13"/>
  <c r="G114" i="13"/>
  <c r="G115" i="13" s="1"/>
  <c r="D126" i="13"/>
  <c r="D114" i="13"/>
  <c r="E114" i="13"/>
  <c r="D113" i="13"/>
  <c r="D125" i="13"/>
  <c r="D131" i="13" s="1"/>
  <c r="D124" i="13"/>
  <c r="E130" i="13" s="1"/>
  <c r="F115" i="13" l="1"/>
  <c r="E115" i="13"/>
  <c r="F130" i="13"/>
  <c r="D130" i="13"/>
  <c r="G130" i="13"/>
  <c r="G132" i="13"/>
  <c r="E132" i="13"/>
  <c r="F132" i="13"/>
  <c r="D132" i="13"/>
  <c r="D133" i="13" s="1"/>
  <c r="F131" i="13"/>
  <c r="G131" i="13"/>
  <c r="E131" i="13"/>
  <c r="D115" i="13"/>
  <c r="E141" i="13" s="1"/>
  <c r="F112" i="13"/>
  <c r="G112" i="13"/>
  <c r="D127" i="13"/>
  <c r="D11" i="13"/>
  <c r="F133" i="13" l="1"/>
  <c r="E133" i="13"/>
  <c r="G133" i="13"/>
  <c r="E142" i="13"/>
  <c r="E139" i="13"/>
  <c r="AH6" i="3"/>
  <c r="T73" i="4" l="1"/>
  <c r="S73" i="4"/>
  <c r="R73" i="4"/>
  <c r="Q73" i="4"/>
  <c r="T72" i="4"/>
  <c r="S72" i="4"/>
  <c r="R72" i="4"/>
  <c r="Q72" i="4"/>
  <c r="T71" i="4"/>
  <c r="S71" i="4"/>
  <c r="R71" i="4"/>
  <c r="Q71" i="4"/>
  <c r="T70" i="4"/>
  <c r="S70" i="4"/>
  <c r="R70" i="4"/>
  <c r="Q70" i="4"/>
  <c r="T69" i="4"/>
  <c r="S69" i="4"/>
  <c r="R69" i="4"/>
  <c r="Q69" i="4"/>
  <c r="T68" i="4"/>
  <c r="S68" i="4"/>
  <c r="R68" i="4"/>
  <c r="Q68" i="4"/>
  <c r="T67" i="4"/>
  <c r="T89" i="4" s="1"/>
  <c r="S67" i="4"/>
  <c r="S89" i="4" s="1"/>
  <c r="R67" i="4"/>
  <c r="R89" i="4" s="1"/>
  <c r="Q67" i="4"/>
  <c r="Q89" i="4" s="1"/>
  <c r="O51" i="4"/>
  <c r="T45" i="4"/>
  <c r="T101" i="4" s="1"/>
  <c r="S45" i="4"/>
  <c r="R45" i="4"/>
  <c r="Q45" i="4"/>
  <c r="T44" i="4"/>
  <c r="T100" i="4" s="1"/>
  <c r="S44" i="4"/>
  <c r="R44" i="4"/>
  <c r="Q44" i="4"/>
  <c r="T43" i="4"/>
  <c r="T99" i="4" s="1"/>
  <c r="S43" i="4"/>
  <c r="S99" i="4" s="1"/>
  <c r="R43" i="4"/>
  <c r="Q43" i="4"/>
  <c r="Q99" i="4" s="1"/>
  <c r="T42" i="4"/>
  <c r="T98" i="4" s="1"/>
  <c r="S42" i="4"/>
  <c r="R42" i="4"/>
  <c r="Q42" i="4"/>
  <c r="Q98" i="4" s="1"/>
  <c r="T41" i="4"/>
  <c r="T97" i="4" s="1"/>
  <c r="S41" i="4"/>
  <c r="R41" i="4"/>
  <c r="Q41" i="4"/>
  <c r="Q97" i="4" s="1"/>
  <c r="T40" i="4"/>
  <c r="T96" i="4" s="1"/>
  <c r="S40" i="4"/>
  <c r="R40" i="4"/>
  <c r="Q40" i="4"/>
  <c r="Q96" i="4" s="1"/>
  <c r="T39" i="4"/>
  <c r="S39" i="4"/>
  <c r="S61" i="4" s="1"/>
  <c r="R39" i="4"/>
  <c r="R61" i="4" s="1"/>
  <c r="Q39" i="4"/>
  <c r="Q61" i="4" s="1"/>
  <c r="T95" i="4" l="1"/>
  <c r="T61" i="4"/>
  <c r="R96" i="4"/>
  <c r="R97" i="4"/>
  <c r="R98" i="4"/>
  <c r="R99" i="4"/>
  <c r="R100" i="4"/>
  <c r="R101" i="4"/>
  <c r="Q95" i="4"/>
  <c r="X99" i="4"/>
  <c r="F29" i="6" s="1"/>
  <c r="Q100" i="4"/>
  <c r="W100" i="4" s="1"/>
  <c r="E30" i="6" s="1"/>
  <c r="Q101" i="4"/>
  <c r="Y101" i="4" s="1"/>
  <c r="G31" i="6" s="1"/>
  <c r="Y96" i="4"/>
  <c r="G26" i="6" s="1"/>
  <c r="S96" i="4"/>
  <c r="X96" i="4" s="1"/>
  <c r="F26" i="6" s="1"/>
  <c r="S97" i="4"/>
  <c r="X97" i="4" s="1"/>
  <c r="F27" i="6" s="1"/>
  <c r="S98" i="4"/>
  <c r="X98" i="4" s="1"/>
  <c r="F28" i="6" s="1"/>
  <c r="S100" i="4"/>
  <c r="S101" i="4"/>
  <c r="Y99" i="4"/>
  <c r="G29" i="6" s="1"/>
  <c r="Y97" i="4"/>
  <c r="G27" i="6" s="1"/>
  <c r="S95" i="4"/>
  <c r="W96" i="4"/>
  <c r="W99" i="4"/>
  <c r="W97" i="4"/>
  <c r="E27" i="6" s="1"/>
  <c r="W98" i="4"/>
  <c r="E28" i="6" s="1"/>
  <c r="Y98" i="4"/>
  <c r="G28" i="6" s="1"/>
  <c r="R95" i="4"/>
  <c r="Y95" i="4"/>
  <c r="G25" i="6" s="1"/>
  <c r="R10" i="4"/>
  <c r="S10" i="4"/>
  <c r="T10" i="4"/>
  <c r="R11" i="4"/>
  <c r="S11" i="4"/>
  <c r="T11" i="4"/>
  <c r="R12" i="4"/>
  <c r="S12" i="4"/>
  <c r="T12" i="4"/>
  <c r="R13" i="4"/>
  <c r="S13" i="4"/>
  <c r="T13" i="4"/>
  <c r="R14" i="4"/>
  <c r="S14" i="4"/>
  <c r="T14" i="4"/>
  <c r="R15" i="4"/>
  <c r="S15" i="4"/>
  <c r="T15" i="4"/>
  <c r="R16" i="4"/>
  <c r="S16" i="4"/>
  <c r="T16" i="4"/>
  <c r="Q15" i="4"/>
  <c r="Q16" i="4"/>
  <c r="Q14" i="4"/>
  <c r="Q13" i="4"/>
  <c r="Q12" i="4"/>
  <c r="Q11" i="4"/>
  <c r="T32" i="4" l="1"/>
  <c r="S32" i="4"/>
  <c r="Q32" i="4"/>
  <c r="R32" i="4"/>
  <c r="X100" i="4"/>
  <c r="F30" i="6" s="1"/>
  <c r="Y100" i="4"/>
  <c r="G30" i="6" s="1"/>
  <c r="X101" i="4"/>
  <c r="F31" i="6" s="1"/>
  <c r="W101" i="4"/>
  <c r="E31" i="6" s="1"/>
  <c r="X95" i="4"/>
  <c r="F25" i="6" s="1"/>
  <c r="Z99" i="4"/>
  <c r="H29" i="6" s="1"/>
  <c r="E29" i="6"/>
  <c r="Z96" i="4"/>
  <c r="H26" i="6" s="1"/>
  <c r="E26" i="6"/>
  <c r="W95" i="4"/>
  <c r="Z98" i="4"/>
  <c r="H28" i="6" s="1"/>
  <c r="Z97" i="4"/>
  <c r="H27" i="6" s="1"/>
  <c r="Y11" i="4"/>
  <c r="G12" i="6" s="1"/>
  <c r="W12" i="4"/>
  <c r="E13" i="6" s="1"/>
  <c r="Y13" i="4"/>
  <c r="G14" i="6" s="1"/>
  <c r="Y16" i="4"/>
  <c r="G17" i="6" s="1"/>
  <c r="X11" i="4"/>
  <c r="F12" i="6" s="1"/>
  <c r="W11" i="4"/>
  <c r="E12" i="6" s="1"/>
  <c r="X13" i="4"/>
  <c r="F14" i="6" s="1"/>
  <c r="W16" i="4"/>
  <c r="E17" i="6" s="1"/>
  <c r="Y14" i="4"/>
  <c r="G15" i="6" s="1"/>
  <c r="Y15" i="4"/>
  <c r="G16" i="6" s="1"/>
  <c r="K16" i="6" s="1"/>
  <c r="W13" i="4"/>
  <c r="E14" i="6" s="1"/>
  <c r="Y10" i="4"/>
  <c r="G11" i="6" s="1"/>
  <c r="X15" i="4"/>
  <c r="F16" i="6" s="1"/>
  <c r="J16" i="6" s="1"/>
  <c r="Y12" i="4"/>
  <c r="G13" i="6" s="1"/>
  <c r="W10" i="4"/>
  <c r="E11" i="6" s="1"/>
  <c r="W14" i="4"/>
  <c r="E15" i="6" s="1"/>
  <c r="W15" i="4"/>
  <c r="E16" i="6" s="1"/>
  <c r="I16" i="6" s="1"/>
  <c r="X12" i="4"/>
  <c r="F13" i="6" s="1"/>
  <c r="X16" i="4"/>
  <c r="F17" i="6" s="1"/>
  <c r="X14" i="4"/>
  <c r="F15" i="6" s="1"/>
  <c r="X10" i="4"/>
  <c r="F11" i="6" s="1"/>
  <c r="Z100" i="4" l="1"/>
  <c r="H30" i="6" s="1"/>
  <c r="Z101" i="4"/>
  <c r="H31" i="6" s="1"/>
  <c r="B15" i="11"/>
  <c r="N15" i="11" s="1"/>
  <c r="D22" i="12" s="1"/>
  <c r="D15" i="11"/>
  <c r="P15" i="11" s="1"/>
  <c r="F22" i="12" s="1"/>
  <c r="Z95" i="4"/>
  <c r="H25" i="6" s="1"/>
  <c r="E25" i="6"/>
  <c r="C15" i="11"/>
  <c r="O15" i="11" s="1"/>
  <c r="E22" i="12" s="1"/>
  <c r="Z11" i="4"/>
  <c r="H12" i="6" s="1"/>
  <c r="Z13" i="4"/>
  <c r="H14" i="6" s="1"/>
  <c r="Z12" i="4"/>
  <c r="H13" i="6" s="1"/>
  <c r="Z15" i="4"/>
  <c r="H16" i="6" s="1"/>
  <c r="L16" i="6" s="1"/>
  <c r="M16" i="6" s="1"/>
  <c r="Z14" i="4"/>
  <c r="H15" i="6" s="1"/>
  <c r="Z16" i="4"/>
  <c r="H17" i="6" s="1"/>
  <c r="Z10" i="4"/>
  <c r="H11" i="6" s="1"/>
  <c r="F41" i="2" l="1"/>
  <c r="H41" i="2" s="1"/>
  <c r="J41" i="2" s="1"/>
  <c r="F44" i="2"/>
  <c r="H44" i="2" s="1"/>
  <c r="J44" i="2" s="1"/>
  <c r="F45" i="2"/>
  <c r="H45" i="2" s="1"/>
  <c r="E47" i="2" l="1"/>
  <c r="D47" i="2"/>
  <c r="F46" i="2"/>
  <c r="H46" i="2" s="1"/>
  <c r="J46" i="2" s="1"/>
  <c r="L44" i="2"/>
  <c r="F43" i="2"/>
  <c r="H43" i="2" s="1"/>
  <c r="J43" i="2" s="1"/>
  <c r="L41" i="2"/>
  <c r="F42" i="2"/>
  <c r="H42" i="2" s="1"/>
  <c r="J42" i="2" s="1"/>
  <c r="J45" i="2"/>
  <c r="F40" i="2"/>
  <c r="N41" i="2" l="1"/>
  <c r="L43" i="2"/>
  <c r="L45" i="2"/>
  <c r="N44" i="2"/>
  <c r="L42" i="2"/>
  <c r="L46" i="2"/>
  <c r="F47" i="2"/>
  <c r="H40" i="2"/>
  <c r="H47" i="2" s="1"/>
  <c r="N46" i="2" l="1"/>
  <c r="P44" i="2"/>
  <c r="N43" i="2"/>
  <c r="N42" i="2"/>
  <c r="N45" i="2"/>
  <c r="P41" i="2"/>
  <c r="J40" i="2"/>
  <c r="R41" i="2" l="1"/>
  <c r="P43" i="2"/>
  <c r="P46" i="2"/>
  <c r="P42" i="2"/>
  <c r="J47" i="2"/>
  <c r="P45" i="2"/>
  <c r="R44" i="2"/>
  <c r="L40" i="2"/>
  <c r="L47" i="2" l="1"/>
  <c r="R45" i="2"/>
  <c r="R42" i="2"/>
  <c r="R43" i="2"/>
  <c r="R46" i="2"/>
  <c r="N40" i="2"/>
  <c r="N47" i="2" l="1"/>
  <c r="P40" i="2"/>
  <c r="P47" i="2" l="1"/>
  <c r="R40" i="2"/>
  <c r="R47" i="2" l="1"/>
  <c r="H28" i="2" l="1"/>
  <c r="H27" i="2"/>
  <c r="H32" i="2"/>
  <c r="H29" i="2"/>
  <c r="H26" i="2"/>
  <c r="H30" i="2"/>
  <c r="H31" i="2"/>
  <c r="E33" i="2"/>
  <c r="G33" i="2"/>
  <c r="H33" i="2" l="1"/>
  <c r="J29" i="2"/>
  <c r="J31" i="2"/>
  <c r="J32" i="2"/>
  <c r="J30" i="2"/>
  <c r="J27" i="2"/>
  <c r="J28" i="2"/>
  <c r="J26" i="2"/>
  <c r="L29" i="2" l="1"/>
  <c r="L27" i="2"/>
  <c r="L30" i="2"/>
  <c r="L32" i="2"/>
  <c r="L28" i="2"/>
  <c r="L31" i="2"/>
  <c r="J33" i="2"/>
  <c r="G19" i="2"/>
  <c r="L26" i="2"/>
  <c r="L33" i="2" l="1"/>
  <c r="N28" i="2"/>
  <c r="N27" i="2"/>
  <c r="N31" i="2"/>
  <c r="N32" i="2"/>
  <c r="N30" i="2"/>
  <c r="N29" i="2"/>
  <c r="N26" i="2"/>
  <c r="H12" i="2"/>
  <c r="J12" i="2" s="1"/>
  <c r="P27" i="2" l="1"/>
  <c r="P29" i="2"/>
  <c r="P32" i="2"/>
  <c r="N33" i="2"/>
  <c r="P28" i="2"/>
  <c r="P30" i="2"/>
  <c r="P31" i="2"/>
  <c r="H18" i="2"/>
  <c r="F19" i="2"/>
  <c r="H15" i="2"/>
  <c r="J15" i="2" s="1"/>
  <c r="H14" i="2"/>
  <c r="J14" i="2" s="1"/>
  <c r="H13" i="2"/>
  <c r="J13" i="2" s="1"/>
  <c r="H16" i="2"/>
  <c r="J16" i="2" s="1"/>
  <c r="P26" i="2"/>
  <c r="L12" i="2"/>
  <c r="R31" i="2" l="1"/>
  <c r="R28" i="2"/>
  <c r="L14" i="2"/>
  <c r="P33" i="2"/>
  <c r="L15" i="2"/>
  <c r="R32" i="2"/>
  <c r="R27" i="2"/>
  <c r="L16" i="2"/>
  <c r="R30" i="2"/>
  <c r="L13" i="2"/>
  <c r="R29" i="2"/>
  <c r="J18" i="2"/>
  <c r="H19" i="2"/>
  <c r="R26" i="2"/>
  <c r="N12" i="2"/>
  <c r="R33" i="2" l="1"/>
  <c r="N16" i="2"/>
  <c r="N15" i="2"/>
  <c r="N14" i="2"/>
  <c r="N13" i="2"/>
  <c r="J19" i="2"/>
  <c r="L18" i="2"/>
  <c r="P12" i="2"/>
  <c r="P14" i="2" l="1"/>
  <c r="P15" i="2"/>
  <c r="P16" i="2"/>
  <c r="P13" i="2"/>
  <c r="N18" i="2"/>
  <c r="L19" i="2"/>
  <c r="R12" i="2"/>
  <c r="R13" i="2" l="1"/>
  <c r="R15" i="2"/>
  <c r="R14" i="2"/>
  <c r="R16" i="2"/>
  <c r="P18" i="2"/>
  <c r="N19" i="2"/>
  <c r="R18" i="2" l="1"/>
  <c r="P19" i="2"/>
  <c r="R19" i="2" l="1"/>
  <c r="D69" i="13" l="1"/>
  <c r="D70" i="13" l="1"/>
  <c r="E23" i="11" l="1"/>
  <c r="E24" i="11"/>
  <c r="E30" i="11"/>
  <c r="E28" i="11" l="1"/>
  <c r="E48" i="11"/>
  <c r="E27" i="11"/>
  <c r="E31" i="11"/>
  <c r="E32" i="11"/>
  <c r="E33" i="11"/>
  <c r="D62" i="13"/>
  <c r="E36" i="11"/>
  <c r="D98" i="15"/>
  <c r="E52" i="11" l="1"/>
  <c r="C52" i="14"/>
  <c r="E47" i="11"/>
  <c r="E46" i="11"/>
  <c r="E38" i="11"/>
  <c r="E41" i="11"/>
  <c r="E44" i="11"/>
  <c r="E35" i="11"/>
  <c r="F35" i="11" s="1"/>
  <c r="E34" i="11"/>
  <c r="E50" i="11"/>
  <c r="E51" i="11"/>
  <c r="F47" i="11" l="1"/>
  <c r="F52" i="11"/>
  <c r="E42" i="11"/>
  <c r="E43" i="11"/>
  <c r="E39" i="11"/>
  <c r="E40" i="11"/>
  <c r="F44" i="11" l="1"/>
  <c r="P11" i="3"/>
  <c r="N37" i="3"/>
  <c r="V17" i="3" s="1"/>
  <c r="W15" i="11" s="1"/>
  <c r="M22" i="12" s="1"/>
  <c r="O37" i="3"/>
  <c r="W17" i="3" s="1"/>
  <c r="X15" i="11" s="1"/>
  <c r="N22" i="12" s="1"/>
  <c r="L37" i="3"/>
  <c r="T17" i="3" s="1"/>
  <c r="U15" i="11" s="1"/>
  <c r="Q37" i="3"/>
  <c r="Y17" i="3" s="1"/>
  <c r="Z15" i="11" s="1"/>
  <c r="P22" i="12" s="1"/>
  <c r="P37" i="3"/>
  <c r="X17" i="3" s="1"/>
  <c r="Y15" i="11" s="1"/>
  <c r="O22" i="12" s="1"/>
  <c r="M37" i="3"/>
  <c r="U17" i="3" s="1"/>
  <c r="V15" i="11" s="1"/>
  <c r="L22" i="12" s="1"/>
  <c r="AG10" i="3"/>
  <c r="Z8" i="11" s="1"/>
  <c r="AC10" i="3"/>
  <c r="V8" i="11" s="1"/>
  <c r="AD10" i="3"/>
  <c r="W8" i="11" s="1"/>
  <c r="AF10" i="3"/>
  <c r="Y8" i="11" s="1"/>
  <c r="P27" i="3"/>
  <c r="AB10" i="3"/>
  <c r="U8" i="11" s="1"/>
  <c r="AE10" i="3"/>
  <c r="X8" i="11" s="1"/>
  <c r="N11" i="3" l="1"/>
  <c r="AB13" i="3"/>
  <c r="AD13" i="3"/>
  <c r="AE13" i="3"/>
  <c r="O11" i="3"/>
  <c r="L11" i="3"/>
  <c r="M11" i="3"/>
  <c r="AC13" i="3"/>
  <c r="Q11" i="3"/>
  <c r="AF13" i="3"/>
  <c r="AG13" i="3"/>
  <c r="K15" i="12"/>
  <c r="AA8" i="11"/>
  <c r="O15" i="12"/>
  <c r="L15" i="12"/>
  <c r="P15" i="12"/>
  <c r="N15" i="12"/>
  <c r="M15" i="12"/>
  <c r="K22" i="12"/>
  <c r="AA15" i="11"/>
  <c r="Q22" i="12" s="1"/>
  <c r="O35" i="3"/>
  <c r="O27" i="3"/>
  <c r="AB12" i="3"/>
  <c r="O19" i="3"/>
  <c r="L19" i="3"/>
  <c r="M27" i="3"/>
  <c r="Q35" i="3"/>
  <c r="Q31" i="3"/>
  <c r="O31" i="3"/>
  <c r="N35" i="3"/>
  <c r="M19" i="3"/>
  <c r="P19" i="3"/>
  <c r="N19" i="3"/>
  <c r="Q27" i="3"/>
  <c r="P31" i="3"/>
  <c r="M31" i="3"/>
  <c r="L31" i="3"/>
  <c r="L27" i="3"/>
  <c r="M35" i="3"/>
  <c r="P35" i="3"/>
  <c r="Q19" i="3"/>
  <c r="N31" i="3"/>
  <c r="L35" i="3"/>
  <c r="N27" i="3"/>
  <c r="AD14" i="3" l="1"/>
  <c r="AC14" i="3"/>
  <c r="AB14" i="3"/>
  <c r="AE14" i="3"/>
  <c r="AG12" i="3"/>
  <c r="AF14" i="3"/>
  <c r="AG14" i="3"/>
  <c r="AE15" i="3"/>
  <c r="AG15" i="3"/>
  <c r="AF15" i="3"/>
  <c r="AB15" i="3"/>
  <c r="AD15" i="3"/>
  <c r="AC15" i="3"/>
  <c r="AE12" i="3"/>
  <c r="AF12" i="3"/>
  <c r="Q15" i="12"/>
  <c r="AD12" i="3"/>
  <c r="AC12" i="3"/>
  <c r="P39" i="3" l="1"/>
  <c r="X18" i="3" s="1"/>
  <c r="Y16" i="11" s="1"/>
  <c r="O23" i="12" s="1"/>
  <c r="L39" i="3"/>
  <c r="T18" i="3" s="1"/>
  <c r="U16" i="11" s="1"/>
  <c r="Q39" i="3"/>
  <c r="Y18" i="3" s="1"/>
  <c r="Z16" i="11" s="1"/>
  <c r="P23" i="12" s="1"/>
  <c r="O39" i="3"/>
  <c r="W18" i="3" s="1"/>
  <c r="X16" i="11" s="1"/>
  <c r="N23" i="12" s="1"/>
  <c r="M39" i="3"/>
  <c r="U18" i="3" s="1"/>
  <c r="V16" i="11" s="1"/>
  <c r="L23" i="12" s="1"/>
  <c r="N39" i="3"/>
  <c r="V18" i="3" s="1"/>
  <c r="W16" i="11" s="1"/>
  <c r="M23" i="12" s="1"/>
  <c r="K23" i="12" l="1"/>
  <c r="AA16" i="11"/>
  <c r="Q23" i="12" s="1"/>
  <c r="P36" i="3" l="1"/>
  <c r="X16" i="3" s="1"/>
  <c r="Y14" i="11" s="1"/>
  <c r="O21" i="12" s="1"/>
  <c r="M30" i="3"/>
  <c r="U14" i="3" s="1"/>
  <c r="V12" i="11" s="1"/>
  <c r="L19" i="12" s="1"/>
  <c r="Q18" i="3"/>
  <c r="Y12" i="3" s="1"/>
  <c r="Z10" i="11" s="1"/>
  <c r="P17" i="12" s="1"/>
  <c r="P18" i="3"/>
  <c r="X12" i="3" s="1"/>
  <c r="Y10" i="11" s="1"/>
  <c r="O17" i="12" s="1"/>
  <c r="N30" i="3"/>
  <c r="V14" i="3" s="1"/>
  <c r="W12" i="11" s="1"/>
  <c r="M19" i="12" s="1"/>
  <c r="O36" i="3"/>
  <c r="W16" i="3" s="1"/>
  <c r="X14" i="11" s="1"/>
  <c r="N21" i="12" s="1"/>
  <c r="P34" i="3"/>
  <c r="X15" i="3" s="1"/>
  <c r="Y13" i="11" s="1"/>
  <c r="O20" i="12" s="1"/>
  <c r="N26" i="3"/>
  <c r="V13" i="3" s="1"/>
  <c r="W11" i="11" s="1"/>
  <c r="M18" i="12" s="1"/>
  <c r="Q36" i="3"/>
  <c r="Y16" i="3" s="1"/>
  <c r="Z14" i="11" s="1"/>
  <c r="P21" i="12" s="1"/>
  <c r="P30" i="3"/>
  <c r="X14" i="3" s="1"/>
  <c r="Y12" i="11" s="1"/>
  <c r="O19" i="12" s="1"/>
  <c r="Q30" i="3"/>
  <c r="Y14" i="3" s="1"/>
  <c r="Z12" i="11" s="1"/>
  <c r="P19" i="12" s="1"/>
  <c r="O34" i="3"/>
  <c r="W15" i="3" s="1"/>
  <c r="X13" i="11" s="1"/>
  <c r="N20" i="12" s="1"/>
  <c r="L36" i="3"/>
  <c r="T16" i="3" s="1"/>
  <c r="U14" i="11" s="1"/>
  <c r="N18" i="3"/>
  <c r="V12" i="3" s="1"/>
  <c r="W10" i="11" s="1"/>
  <c r="M17" i="12" s="1"/>
  <c r="N36" i="3"/>
  <c r="V16" i="3" s="1"/>
  <c r="W14" i="11" s="1"/>
  <c r="M21" i="12" s="1"/>
  <c r="M18" i="3"/>
  <c r="U12" i="3" s="1"/>
  <c r="V10" i="11" s="1"/>
  <c r="L17" i="12" s="1"/>
  <c r="M36" i="3"/>
  <c r="U16" i="3" s="1"/>
  <c r="V14" i="11" s="1"/>
  <c r="L21" i="12" s="1"/>
  <c r="O18" i="3"/>
  <c r="W12" i="3" s="1"/>
  <c r="X10" i="11" s="1"/>
  <c r="N17" i="12" s="1"/>
  <c r="O26" i="3"/>
  <c r="W13" i="3" s="1"/>
  <c r="X11" i="11" s="1"/>
  <c r="N18" i="12" s="1"/>
  <c r="N34" i="3"/>
  <c r="V15" i="3" s="1"/>
  <c r="W13" i="11" s="1"/>
  <c r="M20" i="12" s="1"/>
  <c r="M34" i="3"/>
  <c r="U15" i="3" s="1"/>
  <c r="V13" i="11" s="1"/>
  <c r="L20" i="12" s="1"/>
  <c r="L18" i="3"/>
  <c r="T12" i="3" s="1"/>
  <c r="U10" i="11" s="1"/>
  <c r="I52" i="14"/>
  <c r="Q34" i="3"/>
  <c r="Y15" i="3" s="1"/>
  <c r="Z13" i="11" s="1"/>
  <c r="P20" i="12" s="1"/>
  <c r="D52" i="14"/>
  <c r="O30" i="3"/>
  <c r="W14" i="3" s="1"/>
  <c r="X12" i="11" s="1"/>
  <c r="N19" i="12" s="1"/>
  <c r="P26" i="3"/>
  <c r="X13" i="3" s="1"/>
  <c r="Y11" i="11" s="1"/>
  <c r="O18" i="12" s="1"/>
  <c r="L34" i="3"/>
  <c r="T15" i="3" s="1"/>
  <c r="U13" i="11" s="1"/>
  <c r="L26" i="3"/>
  <c r="T13" i="3" s="1"/>
  <c r="U11" i="11" s="1"/>
  <c r="H52" i="14"/>
  <c r="Q26" i="3"/>
  <c r="Y13" i="3" s="1"/>
  <c r="Z11" i="11" s="1"/>
  <c r="P18" i="12" s="1"/>
  <c r="M26" i="3"/>
  <c r="U13" i="3" s="1"/>
  <c r="V11" i="11" s="1"/>
  <c r="L18" i="12" s="1"/>
  <c r="L30" i="3"/>
  <c r="T14" i="3" s="1"/>
  <c r="U12" i="11" s="1"/>
  <c r="O10" i="3"/>
  <c r="P10" i="3"/>
  <c r="M10" i="3"/>
  <c r="Q10" i="3"/>
  <c r="L10" i="3"/>
  <c r="N10" i="3"/>
  <c r="F52" i="14" l="1"/>
  <c r="E52" i="14"/>
  <c r="G52" i="14"/>
  <c r="AA10" i="11"/>
  <c r="Q17" i="12" s="1"/>
  <c r="K17" i="12"/>
  <c r="K21" i="12"/>
  <c r="AA14" i="11"/>
  <c r="Q21" i="12" s="1"/>
  <c r="AA13" i="11"/>
  <c r="Q20" i="12" s="1"/>
  <c r="K20" i="12"/>
  <c r="AA12" i="11"/>
  <c r="Q19" i="12" s="1"/>
  <c r="K19" i="12"/>
  <c r="K18" i="12"/>
  <c r="AA11" i="11"/>
  <c r="Q18" i="12" s="1"/>
  <c r="X11" i="3"/>
  <c r="P44" i="3"/>
  <c r="L44" i="3"/>
  <c r="T11" i="3"/>
  <c r="Q44" i="3"/>
  <c r="Y11" i="3"/>
  <c r="O44" i="3"/>
  <c r="W11" i="3"/>
  <c r="N44" i="3"/>
  <c r="V11" i="3"/>
  <c r="U11" i="3"/>
  <c r="M44" i="3"/>
  <c r="V9" i="11" l="1"/>
  <c r="U44" i="3"/>
  <c r="U45" i="3" s="1"/>
  <c r="W9" i="11"/>
  <c r="V44" i="3"/>
  <c r="V45" i="3" s="1"/>
  <c r="Z9" i="11"/>
  <c r="Y44" i="3"/>
  <c r="Y45" i="3" s="1"/>
  <c r="U9" i="11"/>
  <c r="T44" i="3"/>
  <c r="T45" i="3" s="1"/>
  <c r="X9" i="11"/>
  <c r="W44" i="3"/>
  <c r="W45" i="3" s="1"/>
  <c r="Y9" i="11"/>
  <c r="X44" i="3"/>
  <c r="X45" i="3" s="1"/>
  <c r="N16" i="12" l="1"/>
  <c r="X17" i="11"/>
  <c r="P16" i="12"/>
  <c r="Z17" i="11"/>
  <c r="L16" i="12"/>
  <c r="V17" i="11"/>
  <c r="O16" i="12"/>
  <c r="Y17" i="11"/>
  <c r="AA9" i="11"/>
  <c r="K16" i="12"/>
  <c r="U17" i="11"/>
  <c r="M16" i="12"/>
  <c r="W17" i="11"/>
  <c r="M24" i="12" l="1"/>
  <c r="O24" i="12"/>
  <c r="P24" i="12"/>
  <c r="K24" i="12"/>
  <c r="L24" i="12"/>
  <c r="Q16" i="12"/>
  <c r="Q24" i="12" s="1"/>
  <c r="AA17" i="11"/>
  <c r="N24" i="12"/>
  <c r="J39" i="13" l="1"/>
  <c r="J39" i="15"/>
  <c r="I39" i="15" l="1"/>
  <c r="H39" i="15"/>
  <c r="G39" i="13"/>
  <c r="F39" i="13"/>
  <c r="F39" i="15"/>
  <c r="E39" i="13"/>
  <c r="H39" i="13"/>
  <c r="G39" i="15"/>
  <c r="I39" i="13"/>
  <c r="E39" i="15"/>
  <c r="F98" i="15" l="1"/>
  <c r="E98" i="15"/>
  <c r="G98" i="15"/>
  <c r="D39" i="15"/>
  <c r="I98" i="15"/>
  <c r="F62" i="13"/>
  <c r="E62" i="13"/>
  <c r="D39" i="13"/>
  <c r="H98" i="15"/>
  <c r="G62" i="13"/>
  <c r="I62" i="13"/>
  <c r="H62" i="13"/>
  <c r="G42" i="15"/>
  <c r="G73" i="15" s="1"/>
  <c r="G75" i="15" s="1"/>
  <c r="G42" i="13"/>
  <c r="F42" i="15"/>
  <c r="F73" i="15" s="1"/>
  <c r="F75" i="15" s="1"/>
  <c r="F42" i="13"/>
  <c r="I42" i="13"/>
  <c r="I42" i="15"/>
  <c r="I73" i="15" s="1"/>
  <c r="I75" i="15" s="1"/>
  <c r="H42" i="15"/>
  <c r="H73" i="15" s="1"/>
  <c r="H75" i="15" s="1"/>
  <c r="H42" i="13"/>
  <c r="E42" i="15"/>
  <c r="E73" i="15" s="1"/>
  <c r="E42" i="13"/>
  <c r="J62" i="13" l="1"/>
  <c r="J65" i="13" s="1"/>
  <c r="J74" i="13" s="1"/>
  <c r="G82" i="13" s="1"/>
  <c r="I147" i="13" s="1"/>
  <c r="J98" i="15"/>
  <c r="D42" i="15"/>
  <c r="D42" i="13"/>
  <c r="E73" i="13"/>
  <c r="D150" i="13"/>
  <c r="E75" i="15"/>
  <c r="H150" i="13"/>
  <c r="I73" i="13"/>
  <c r="F81" i="13" s="1"/>
  <c r="H146" i="13" s="1"/>
  <c r="G73" i="13"/>
  <c r="G77" i="13" s="1"/>
  <c r="F146" i="13" s="1"/>
  <c r="F150" i="13"/>
  <c r="J42" i="13"/>
  <c r="J42" i="15"/>
  <c r="J73" i="15" s="1"/>
  <c r="J75" i="15" s="1"/>
  <c r="G150" i="13"/>
  <c r="H73" i="13"/>
  <c r="F73" i="13"/>
  <c r="F77" i="13" s="1"/>
  <c r="E146" i="13" s="1"/>
  <c r="E150" i="13"/>
  <c r="I151" i="13" l="1"/>
  <c r="I154" i="13" s="1"/>
  <c r="E153" i="13"/>
  <c r="F153" i="13"/>
  <c r="H153" i="13"/>
  <c r="D73" i="15"/>
  <c r="J73" i="13"/>
  <c r="G81" i="13" s="1"/>
  <c r="I146" i="13" s="1"/>
  <c r="I150" i="13"/>
  <c r="E77" i="13"/>
  <c r="D146" i="13" s="1"/>
  <c r="D153" i="13" s="1"/>
  <c r="D77" i="13"/>
  <c r="D138" i="13" s="1"/>
  <c r="F138" i="13" s="1"/>
  <c r="E81" i="13"/>
  <c r="G146" i="13" s="1"/>
  <c r="G153" i="13" s="1"/>
  <c r="D81" i="13" l="1"/>
  <c r="D141" i="13" s="1"/>
  <c r="F141" i="13" s="1"/>
  <c r="D73" i="13"/>
  <c r="I153" i="13"/>
  <c r="H11" i="12"/>
  <c r="H10" i="12"/>
  <c r="L10" i="12"/>
  <c r="J11" i="12"/>
  <c r="E11" i="12"/>
  <c r="L11" i="12"/>
  <c r="K11" i="12"/>
  <c r="E10" i="12"/>
  <c r="J10" i="12" l="1"/>
  <c r="P11" i="12"/>
  <c r="R11" i="12"/>
  <c r="T11" i="12"/>
  <c r="T10" i="12"/>
  <c r="K10" i="12"/>
  <c r="G11" i="12"/>
  <c r="I11" i="12"/>
  <c r="I10" i="12"/>
  <c r="M11" i="12"/>
  <c r="O10" i="12"/>
  <c r="N11" i="12"/>
  <c r="F10" i="12"/>
  <c r="F11" i="12"/>
  <c r="O11" i="12"/>
  <c r="N10" i="12" l="1"/>
  <c r="S11" i="12"/>
  <c r="R10" i="12"/>
  <c r="P10" i="12"/>
  <c r="O56" i="12"/>
  <c r="O49" i="12"/>
  <c r="O57" i="12"/>
  <c r="O55" i="12"/>
  <c r="O51" i="12"/>
  <c r="O54" i="12"/>
  <c r="O53" i="12"/>
  <c r="O52" i="12"/>
  <c r="O50" i="12"/>
  <c r="D56" i="12"/>
  <c r="K49" i="12"/>
  <c r="K56" i="12"/>
  <c r="K57" i="12"/>
  <c r="K55" i="12"/>
  <c r="K51" i="12"/>
  <c r="K53" i="12"/>
  <c r="K52" i="12"/>
  <c r="K54" i="12"/>
  <c r="K50" i="12"/>
  <c r="Q11" i="12"/>
  <c r="O37" i="12"/>
  <c r="O30" i="12"/>
  <c r="O38" i="12"/>
  <c r="O36" i="12"/>
  <c r="O34" i="12"/>
  <c r="O33" i="12"/>
  <c r="O32" i="12"/>
  <c r="O35" i="12"/>
  <c r="O31" i="12"/>
  <c r="U11" i="12"/>
  <c r="F56" i="12"/>
  <c r="M56" i="12"/>
  <c r="M49" i="12"/>
  <c r="M57" i="12"/>
  <c r="M55" i="12"/>
  <c r="M52" i="12"/>
  <c r="M53" i="12"/>
  <c r="M51" i="12"/>
  <c r="M54" i="12"/>
  <c r="M50" i="12"/>
  <c r="G10" i="12"/>
  <c r="M10" i="12"/>
  <c r="F37" i="12" l="1"/>
  <c r="M37" i="12"/>
  <c r="M30" i="12"/>
  <c r="M38" i="12"/>
  <c r="M36" i="12"/>
  <c r="M35" i="12"/>
  <c r="M33" i="12"/>
  <c r="M34" i="12"/>
  <c r="M32" i="12"/>
  <c r="M31" i="12"/>
  <c r="Q10" i="12"/>
  <c r="K58" i="12"/>
  <c r="K61" i="12" s="1"/>
  <c r="D37" i="12"/>
  <c r="K37" i="12"/>
  <c r="K30" i="12"/>
  <c r="K38" i="12"/>
  <c r="K36" i="12"/>
  <c r="K34" i="12"/>
  <c r="K33" i="12"/>
  <c r="K35" i="12"/>
  <c r="K32" i="12"/>
  <c r="K31" i="12"/>
  <c r="S10" i="12"/>
  <c r="M58" i="12"/>
  <c r="M61" i="12" s="1"/>
  <c r="P56" i="12"/>
  <c r="P49" i="12"/>
  <c r="P57" i="12"/>
  <c r="P55" i="12"/>
  <c r="P53" i="12"/>
  <c r="P51" i="12"/>
  <c r="P54" i="12"/>
  <c r="P52" i="12"/>
  <c r="P50" i="12"/>
  <c r="O58" i="12"/>
  <c r="O61" i="12" s="1"/>
  <c r="N56" i="12"/>
  <c r="N49" i="12"/>
  <c r="N57" i="12"/>
  <c r="N55" i="12"/>
  <c r="N53" i="12"/>
  <c r="N54" i="12"/>
  <c r="N51" i="12"/>
  <c r="N52" i="12"/>
  <c r="N50" i="12"/>
  <c r="U10" i="12"/>
  <c r="O39" i="12"/>
  <c r="O42" i="12" s="1"/>
  <c r="E56" i="12"/>
  <c r="L56" i="12"/>
  <c r="L49" i="12"/>
  <c r="L57" i="12"/>
  <c r="L55" i="12"/>
  <c r="L53" i="12"/>
  <c r="L51" i="12"/>
  <c r="L52" i="12"/>
  <c r="L54" i="12"/>
  <c r="L50" i="12"/>
  <c r="D11" i="12"/>
  <c r="Q52" i="12" l="1"/>
  <c r="Q57" i="12"/>
  <c r="Q50" i="12"/>
  <c r="Q53" i="12"/>
  <c r="Q56" i="12"/>
  <c r="Q54" i="12"/>
  <c r="Q55" i="12"/>
  <c r="Q51" i="12"/>
  <c r="Q49" i="12"/>
  <c r="N58" i="12"/>
  <c r="N61" i="12" s="1"/>
  <c r="K39" i="12"/>
  <c r="K42" i="12" s="1"/>
  <c r="M39" i="12"/>
  <c r="M42" i="12" s="1"/>
  <c r="L58" i="12"/>
  <c r="L61" i="12" s="1"/>
  <c r="P58" i="12"/>
  <c r="P61" i="12" s="1"/>
  <c r="N37" i="12"/>
  <c r="N30" i="12"/>
  <c r="N38" i="12"/>
  <c r="N36" i="12"/>
  <c r="N33" i="12"/>
  <c r="N34" i="12"/>
  <c r="N35" i="12"/>
  <c r="N32" i="12"/>
  <c r="N31" i="12"/>
  <c r="P37" i="12"/>
  <c r="P30" i="12"/>
  <c r="P38" i="12"/>
  <c r="P36" i="12"/>
  <c r="P34" i="12"/>
  <c r="P32" i="12"/>
  <c r="P35" i="12"/>
  <c r="P33" i="12"/>
  <c r="P31" i="12"/>
  <c r="E37" i="12"/>
  <c r="L37" i="12"/>
  <c r="L30" i="12"/>
  <c r="L38" i="12"/>
  <c r="L36" i="12"/>
  <c r="L35" i="12"/>
  <c r="L34" i="12"/>
  <c r="L32" i="12"/>
  <c r="L33" i="12"/>
  <c r="L31" i="12"/>
  <c r="C11" i="12"/>
  <c r="D10" i="12"/>
  <c r="Q35" i="12" l="1"/>
  <c r="Q58" i="12"/>
  <c r="Q33" i="12"/>
  <c r="Q36" i="12"/>
  <c r="Q38" i="12"/>
  <c r="Q31" i="12"/>
  <c r="Q37" i="12"/>
  <c r="Q32" i="12"/>
  <c r="Q34" i="12"/>
  <c r="N39" i="12"/>
  <c r="N42" i="12" s="1"/>
  <c r="L39" i="12"/>
  <c r="L42" i="12" s="1"/>
  <c r="Q30" i="12"/>
  <c r="P39" i="12"/>
  <c r="P42" i="12" s="1"/>
  <c r="C10" i="12"/>
  <c r="Q39" i="12" l="1"/>
  <c r="I65" i="13" l="1"/>
  <c r="F65" i="13"/>
  <c r="G65" i="13"/>
  <c r="H65" i="13"/>
  <c r="G151" i="13" l="1"/>
  <c r="H74" i="13"/>
  <c r="G74" i="13"/>
  <c r="G78" i="13" s="1"/>
  <c r="F147" i="13" s="1"/>
  <c r="F151" i="13"/>
  <c r="I74" i="13"/>
  <c r="F82" i="13" s="1"/>
  <c r="H147" i="13" s="1"/>
  <c r="H151" i="13"/>
  <c r="E151" i="13"/>
  <c r="F74" i="13"/>
  <c r="F78" i="13" s="1"/>
  <c r="E147" i="13" s="1"/>
  <c r="E65" i="13"/>
  <c r="G101" i="15"/>
  <c r="G128" i="15" s="1"/>
  <c r="G130" i="15" s="1"/>
  <c r="H101" i="15"/>
  <c r="H128" i="15" s="1"/>
  <c r="H130" i="15" s="1"/>
  <c r="F101" i="15"/>
  <c r="F128" i="15" s="1"/>
  <c r="F130" i="15" s="1"/>
  <c r="H154" i="13" l="1"/>
  <c r="F154" i="13"/>
  <c r="E154" i="13"/>
  <c r="E74" i="13"/>
  <c r="D151" i="13"/>
  <c r="E82" i="13"/>
  <c r="G147" i="13" s="1"/>
  <c r="G154" i="13" s="1"/>
  <c r="D82" i="13"/>
  <c r="D142" i="13" s="1"/>
  <c r="F142" i="13" s="1"/>
  <c r="D65" i="13"/>
  <c r="I101" i="15"/>
  <c r="I128" i="15" s="1"/>
  <c r="I130" i="15" s="1"/>
  <c r="E101" i="15" l="1"/>
  <c r="E128" i="15" s="1"/>
  <c r="E78" i="13"/>
  <c r="D147" i="13" s="1"/>
  <c r="D154" i="13" s="1"/>
  <c r="D74" i="13"/>
  <c r="D78" i="13"/>
  <c r="D139" i="13" s="1"/>
  <c r="F139" i="13" s="1"/>
  <c r="J101" i="15"/>
  <c r="J128" i="15" s="1"/>
  <c r="J130" i="15" s="1"/>
  <c r="D128" i="15" l="1"/>
  <c r="E130" i="15"/>
  <c r="D100" i="15"/>
  <c r="AD39" i="18" l="1"/>
  <c r="W45" i="2" s="1"/>
  <c r="AA25" i="18"/>
  <c r="U31" i="2" s="1"/>
  <c r="X11" i="18"/>
  <c r="S17" i="2" s="1"/>
  <c r="AD11" i="18"/>
  <c r="W17" i="2" s="1"/>
  <c r="X39" i="18"/>
  <c r="S45" i="2" s="1"/>
  <c r="T45" i="2" s="1"/>
  <c r="AA40" i="18"/>
  <c r="U46" i="2" s="1"/>
  <c r="X18" i="18" l="1"/>
  <c r="AA7" i="18"/>
  <c r="U13" i="2" s="1"/>
  <c r="AD33" i="18"/>
  <c r="W39" i="2" s="1"/>
  <c r="X6" i="18"/>
  <c r="S12" i="2" s="1"/>
  <c r="T12" i="2" s="1"/>
  <c r="AD8" i="18"/>
  <c r="W14" i="2" s="1"/>
  <c r="AA11" i="18"/>
  <c r="U17" i="2" s="1"/>
  <c r="AD25" i="18"/>
  <c r="W31" i="2" s="1"/>
  <c r="X36" i="18"/>
  <c r="S42" i="2" s="1"/>
  <c r="T42" i="2" s="1"/>
  <c r="X22" i="18"/>
  <c r="S28" i="2" s="1"/>
  <c r="T28" i="2" s="1"/>
  <c r="AD37" i="18"/>
  <c r="W43" i="2" s="1"/>
  <c r="X5" i="18"/>
  <c r="S11" i="2" s="1"/>
  <c r="T11" i="2" s="1"/>
  <c r="AA20" i="18"/>
  <c r="U26" i="2" s="1"/>
  <c r="AD12" i="18"/>
  <c r="W18" i="2" s="1"/>
  <c r="X10" i="18"/>
  <c r="S16" i="2" s="1"/>
  <c r="T16" i="2" s="1"/>
  <c r="X26" i="18"/>
  <c r="S32" i="2" s="1"/>
  <c r="T32" i="2" s="1"/>
  <c r="AA33" i="18"/>
  <c r="U39" i="2" s="1"/>
  <c r="AA19" i="18"/>
  <c r="U25" i="2" s="1"/>
  <c r="AD20" i="18"/>
  <c r="W26" i="2" s="1"/>
  <c r="AD34" i="18"/>
  <c r="W40" i="2" s="1"/>
  <c r="X19" i="18"/>
  <c r="S25" i="2" s="1"/>
  <c r="T25" i="2" s="1"/>
  <c r="AA6" i="18"/>
  <c r="U12" i="2" s="1"/>
  <c r="AD7" i="18"/>
  <c r="W13" i="2" s="1"/>
  <c r="AD21" i="18"/>
  <c r="W27" i="2" s="1"/>
  <c r="X23" i="18"/>
  <c r="S29" i="2" s="1"/>
  <c r="T29" i="2" s="1"/>
  <c r="X9" i="18"/>
  <c r="S15" i="2" s="1"/>
  <c r="T15" i="2" s="1"/>
  <c r="AA10" i="18"/>
  <c r="U16" i="2" s="1"/>
  <c r="V16" i="2" s="1"/>
  <c r="AA24" i="18"/>
  <c r="U30" i="2" s="1"/>
  <c r="AD38" i="18"/>
  <c r="W44" i="2" s="1"/>
  <c r="X35" i="18"/>
  <c r="S41" i="2" s="1"/>
  <c r="T41" i="2" s="1"/>
  <c r="X40" i="18"/>
  <c r="S46" i="2" s="1"/>
  <c r="T46" i="2" s="1"/>
  <c r="V46" i="2" s="1"/>
  <c r="X33" i="18"/>
  <c r="S39" i="2" s="1"/>
  <c r="T39" i="2" s="1"/>
  <c r="AD5" i="18"/>
  <c r="W11" i="2" s="1"/>
  <c r="X20" i="18"/>
  <c r="S26" i="2" s="1"/>
  <c r="T26" i="2" s="1"/>
  <c r="AA34" i="18"/>
  <c r="U40" i="2" s="1"/>
  <c r="AA21" i="18"/>
  <c r="U27" i="2" s="1"/>
  <c r="AD35" i="18"/>
  <c r="W41" i="2" s="1"/>
  <c r="AD22" i="18"/>
  <c r="W28" i="2" s="1"/>
  <c r="X37" i="18"/>
  <c r="S43" i="2" s="1"/>
  <c r="T43" i="2" s="1"/>
  <c r="AD9" i="18"/>
  <c r="W15" i="2" s="1"/>
  <c r="X24" i="18"/>
  <c r="S30" i="2" s="1"/>
  <c r="T30" i="2" s="1"/>
  <c r="AA38" i="18"/>
  <c r="U44" i="2" s="1"/>
  <c r="AA12" i="18"/>
  <c r="U18" i="2" s="1"/>
  <c r="AD26" i="18"/>
  <c r="W32" i="2" s="1"/>
  <c r="AA5" i="18"/>
  <c r="U11" i="2" s="1"/>
  <c r="AD19" i="18"/>
  <c r="W25" i="2" s="1"/>
  <c r="X34" i="18"/>
  <c r="S40" i="2" s="1"/>
  <c r="T40" i="2" s="1"/>
  <c r="AD6" i="18"/>
  <c r="W12" i="2" s="1"/>
  <c r="AA35" i="18"/>
  <c r="U41" i="2" s="1"/>
  <c r="X8" i="18"/>
  <c r="S14" i="2" s="1"/>
  <c r="T14" i="2" s="1"/>
  <c r="AA22" i="18"/>
  <c r="U28" i="2" s="1"/>
  <c r="V28" i="2" s="1"/>
  <c r="AD36" i="18"/>
  <c r="W42" i="2" s="1"/>
  <c r="AA9" i="18"/>
  <c r="U15" i="2" s="1"/>
  <c r="V15" i="2" s="1"/>
  <c r="AD23" i="18"/>
  <c r="W29" i="2" s="1"/>
  <c r="AD10" i="18"/>
  <c r="W16" i="2" s="1"/>
  <c r="X16" i="2" s="1"/>
  <c r="D15" i="6" s="1"/>
  <c r="X25" i="18"/>
  <c r="S31" i="2" s="1"/>
  <c r="T31" i="2" s="1"/>
  <c r="V31" i="2" s="1"/>
  <c r="AA39" i="18"/>
  <c r="U45" i="2" s="1"/>
  <c r="V45" i="2" s="1"/>
  <c r="X45" i="2" s="1"/>
  <c r="X12" i="18"/>
  <c r="S18" i="2" s="1"/>
  <c r="AA26" i="18"/>
  <c r="U32" i="2" s="1"/>
  <c r="V32" i="2" s="1"/>
  <c r="AD40" i="18"/>
  <c r="W46" i="2" s="1"/>
  <c r="V40" i="2" l="1"/>
  <c r="X40" i="2" s="1"/>
  <c r="V26" i="2"/>
  <c r="X26" i="2" s="1"/>
  <c r="V11" i="2"/>
  <c r="X11" i="2" s="1"/>
  <c r="D10" i="6" s="1"/>
  <c r="D25" i="6"/>
  <c r="I25" i="6" s="1"/>
  <c r="V12" i="2"/>
  <c r="X12" i="2" s="1"/>
  <c r="D11" i="6" s="1"/>
  <c r="X28" i="2"/>
  <c r="X15" i="2"/>
  <c r="D14" i="6" s="1"/>
  <c r="I14" i="6" s="1"/>
  <c r="I15" i="6"/>
  <c r="J15" i="6"/>
  <c r="L15" i="6"/>
  <c r="K15" i="6"/>
  <c r="X4" i="18"/>
  <c r="AA4" i="18"/>
  <c r="X31" i="2"/>
  <c r="D30" i="6" s="1"/>
  <c r="T18" i="2"/>
  <c r="X38" i="18"/>
  <c r="S44" i="2" s="1"/>
  <c r="T44" i="2" s="1"/>
  <c r="V44" i="2" s="1"/>
  <c r="X44" i="2" s="1"/>
  <c r="X32" i="18"/>
  <c r="AD24" i="18"/>
  <c r="W30" i="2" s="1"/>
  <c r="V39" i="2"/>
  <c r="X39" i="2" s="1"/>
  <c r="S24" i="2"/>
  <c r="AA32" i="18"/>
  <c r="V25" i="2"/>
  <c r="X25" i="2" s="1"/>
  <c r="AA18" i="18"/>
  <c r="X32" i="2"/>
  <c r="X46" i="2"/>
  <c r="V41" i="2"/>
  <c r="X41" i="2" s="1"/>
  <c r="AA36" i="18"/>
  <c r="U42" i="2" s="1"/>
  <c r="V42" i="2" s="1"/>
  <c r="X42" i="2" s="1"/>
  <c r="D27" i="6" s="1"/>
  <c r="V30" i="2"/>
  <c r="AA8" i="18"/>
  <c r="U14" i="2" s="1"/>
  <c r="V14" i="2" s="1"/>
  <c r="X14" i="2" s="1"/>
  <c r="D13" i="6" s="1"/>
  <c r="L25" i="6" l="1"/>
  <c r="K14" i="6"/>
  <c r="J14" i="6"/>
  <c r="J25" i="6"/>
  <c r="F10" i="11" s="1"/>
  <c r="L14" i="6"/>
  <c r="D24" i="6"/>
  <c r="J24" i="6" s="1"/>
  <c r="K25" i="6"/>
  <c r="G10" i="11" s="1"/>
  <c r="L11" i="6"/>
  <c r="J11" i="6"/>
  <c r="K11" i="6"/>
  <c r="D10" i="11" s="1"/>
  <c r="I11" i="6"/>
  <c r="B10" i="11" s="1"/>
  <c r="D31" i="6"/>
  <c r="K31" i="6" s="1"/>
  <c r="K27" i="6"/>
  <c r="J27" i="6"/>
  <c r="I27" i="6"/>
  <c r="L27" i="6"/>
  <c r="L13" i="6"/>
  <c r="I13" i="6"/>
  <c r="K13" i="6"/>
  <c r="J13" i="6"/>
  <c r="K24" i="6"/>
  <c r="S38" i="2"/>
  <c r="X41" i="18"/>
  <c r="K30" i="6"/>
  <c r="L30" i="6"/>
  <c r="I30" i="6"/>
  <c r="J30" i="6"/>
  <c r="C14" i="11"/>
  <c r="O14" i="11" s="1"/>
  <c r="E21" i="12" s="1"/>
  <c r="U24" i="2"/>
  <c r="E10" i="11"/>
  <c r="U38" i="2"/>
  <c r="B13" i="11"/>
  <c r="N13" i="11" s="1"/>
  <c r="C10" i="11"/>
  <c r="T24" i="2"/>
  <c r="J10" i="6"/>
  <c r="K10" i="6"/>
  <c r="I10" i="6"/>
  <c r="L10" i="6"/>
  <c r="V18" i="2"/>
  <c r="Z13" i="18"/>
  <c r="S10" i="2"/>
  <c r="B14" i="11"/>
  <c r="N14" i="11" s="1"/>
  <c r="D13" i="11"/>
  <c r="P13" i="11" s="1"/>
  <c r="F20" i="12" s="1"/>
  <c r="U10" i="2"/>
  <c r="U19" i="2" s="1"/>
  <c r="AA13" i="18"/>
  <c r="D14" i="11"/>
  <c r="P14" i="11" s="1"/>
  <c r="F21" i="12" s="1"/>
  <c r="C13" i="11"/>
  <c r="O13" i="11" s="1"/>
  <c r="E20" i="12" s="1"/>
  <c r="X30" i="2"/>
  <c r="D29" i="6" s="1"/>
  <c r="W41" i="18"/>
  <c r="M15" i="6"/>
  <c r="AA37" i="18"/>
  <c r="U43" i="2" s="1"/>
  <c r="V43" i="2" s="1"/>
  <c r="X43" i="2" s="1"/>
  <c r="I24" i="6" l="1"/>
  <c r="I31" i="6"/>
  <c r="J31" i="6"/>
  <c r="L31" i="6"/>
  <c r="M31" i="6" s="1"/>
  <c r="M14" i="6"/>
  <c r="M11" i="6"/>
  <c r="M25" i="6"/>
  <c r="L24" i="6"/>
  <c r="M24" i="6" s="1"/>
  <c r="M30" i="6"/>
  <c r="M27" i="6"/>
  <c r="D9" i="11"/>
  <c r="P9" i="11" s="1"/>
  <c r="F16" i="12" s="1"/>
  <c r="F9" i="11"/>
  <c r="L9" i="11" s="1"/>
  <c r="R9" i="11" s="1"/>
  <c r="H16" i="12" s="1"/>
  <c r="L29" i="6"/>
  <c r="I29" i="6"/>
  <c r="K29" i="6"/>
  <c r="J29" i="6"/>
  <c r="M35" i="11"/>
  <c r="M10" i="11" s="1"/>
  <c r="S10" i="11" s="1"/>
  <c r="I17" i="12" s="1"/>
  <c r="X18" i="2"/>
  <c r="C9" i="11"/>
  <c r="O9" i="11" s="1"/>
  <c r="E16" i="12" s="1"/>
  <c r="D20" i="12"/>
  <c r="E55" i="12"/>
  <c r="E36" i="12"/>
  <c r="G15" i="11"/>
  <c r="S15" i="11" s="1"/>
  <c r="I22" i="12" s="1"/>
  <c r="G9" i="11"/>
  <c r="M9" i="11" s="1"/>
  <c r="S9" i="11" s="1"/>
  <c r="I16" i="12" s="1"/>
  <c r="D12" i="11"/>
  <c r="P12" i="11" s="1"/>
  <c r="F19" i="12" s="1"/>
  <c r="E12" i="11"/>
  <c r="L35" i="11"/>
  <c r="L10" i="11" s="1"/>
  <c r="R10" i="11" s="1"/>
  <c r="H17" i="12" s="1"/>
  <c r="E54" i="12"/>
  <c r="E35" i="12"/>
  <c r="G16" i="11"/>
  <c r="S16" i="11" s="1"/>
  <c r="I23" i="12" s="1"/>
  <c r="J17" i="11"/>
  <c r="P10" i="11"/>
  <c r="F17" i="12" s="1"/>
  <c r="F55" i="12"/>
  <c r="F36" i="12"/>
  <c r="T10" i="2"/>
  <c r="M10" i="6"/>
  <c r="I17" i="11"/>
  <c r="O10" i="11"/>
  <c r="E17" i="12" s="1"/>
  <c r="AA41" i="18"/>
  <c r="K35" i="11"/>
  <c r="K10" i="11" s="1"/>
  <c r="Q10" i="11" s="1"/>
  <c r="G17" i="12" s="1"/>
  <c r="F15" i="11"/>
  <c r="R15" i="11" s="1"/>
  <c r="H22" i="12" s="1"/>
  <c r="E9" i="11"/>
  <c r="K9" i="11" s="1"/>
  <c r="Q9" i="11" s="1"/>
  <c r="G16" i="12" s="1"/>
  <c r="B12" i="11"/>
  <c r="N12" i="11" s="1"/>
  <c r="F12" i="11"/>
  <c r="H17" i="11"/>
  <c r="N10" i="11"/>
  <c r="F16" i="11"/>
  <c r="R16" i="11" s="1"/>
  <c r="H23" i="12" s="1"/>
  <c r="C12" i="11"/>
  <c r="O12" i="11" s="1"/>
  <c r="E19" i="12" s="1"/>
  <c r="AA23" i="18"/>
  <c r="Z27" i="18"/>
  <c r="E16" i="11"/>
  <c r="Q16" i="11" s="1"/>
  <c r="G23" i="12" s="1"/>
  <c r="Z41" i="18"/>
  <c r="F54" i="12"/>
  <c r="F35" i="12"/>
  <c r="D21" i="12"/>
  <c r="B9" i="11"/>
  <c r="N9" i="11" s="1"/>
  <c r="V24" i="2"/>
  <c r="U47" i="2"/>
  <c r="E15" i="11"/>
  <c r="Q15" i="11" s="1"/>
  <c r="T38" i="2"/>
  <c r="S47" i="2"/>
  <c r="M13" i="6"/>
  <c r="G12" i="11"/>
  <c r="D55" i="12" l="1"/>
  <c r="D36" i="12"/>
  <c r="U29" i="2"/>
  <c r="AA27" i="18"/>
  <c r="I51" i="12"/>
  <c r="I32" i="12"/>
  <c r="G14" i="11"/>
  <c r="S14" i="11" s="1"/>
  <c r="I21" i="12" s="1"/>
  <c r="D16" i="12"/>
  <c r="T9" i="11"/>
  <c r="J16" i="12" s="1"/>
  <c r="D17" i="12"/>
  <c r="T10" i="11"/>
  <c r="J17" i="12" s="1"/>
  <c r="H37" i="12"/>
  <c r="H56" i="12"/>
  <c r="I57" i="12"/>
  <c r="I38" i="12"/>
  <c r="I56" i="12"/>
  <c r="I37" i="12"/>
  <c r="AD4" i="18"/>
  <c r="AC13" i="18"/>
  <c r="G22" i="12"/>
  <c r="T15" i="11"/>
  <c r="J22" i="12" s="1"/>
  <c r="G57" i="12"/>
  <c r="G38" i="12"/>
  <c r="E53" i="12"/>
  <c r="E34" i="12"/>
  <c r="G50" i="12"/>
  <c r="G31" i="12"/>
  <c r="E51" i="12"/>
  <c r="E32" i="12"/>
  <c r="V10" i="2"/>
  <c r="F51" i="12"/>
  <c r="F32" i="12"/>
  <c r="D54" i="12"/>
  <c r="D35" i="12"/>
  <c r="E14" i="11"/>
  <c r="Q14" i="11" s="1"/>
  <c r="D17" i="6"/>
  <c r="M29" i="6"/>
  <c r="G51" i="12"/>
  <c r="G32" i="12"/>
  <c r="H51" i="12"/>
  <c r="H32" i="12"/>
  <c r="I50" i="12"/>
  <c r="I31" i="12"/>
  <c r="AD32" i="18"/>
  <c r="AC41" i="18"/>
  <c r="AD18" i="18"/>
  <c r="AC27" i="18"/>
  <c r="M47" i="11"/>
  <c r="M12" i="11" s="1"/>
  <c r="S12" i="11" s="1"/>
  <c r="I19" i="12" s="1"/>
  <c r="V38" i="2"/>
  <c r="T47" i="2"/>
  <c r="X7" i="18"/>
  <c r="W13" i="18"/>
  <c r="H57" i="12"/>
  <c r="H38" i="12"/>
  <c r="L47" i="11"/>
  <c r="L12" i="11" s="1"/>
  <c r="R12" i="11" s="1"/>
  <c r="H19" i="12" s="1"/>
  <c r="D19" i="12"/>
  <c r="K47" i="11"/>
  <c r="K12" i="11" s="1"/>
  <c r="Q12" i="11" s="1"/>
  <c r="F53" i="12"/>
  <c r="F34" i="12"/>
  <c r="E50" i="12"/>
  <c r="E31" i="12"/>
  <c r="F14" i="11"/>
  <c r="R14" i="11" s="1"/>
  <c r="H21" i="12" s="1"/>
  <c r="X21" i="18"/>
  <c r="W27" i="18"/>
  <c r="H50" i="12"/>
  <c r="H31" i="12"/>
  <c r="F50" i="12"/>
  <c r="F31" i="12"/>
  <c r="H34" i="12" l="1"/>
  <c r="H53" i="12"/>
  <c r="G19" i="12"/>
  <c r="T12" i="11"/>
  <c r="J19" i="12" s="1"/>
  <c r="I53" i="12"/>
  <c r="I34" i="12"/>
  <c r="G56" i="12"/>
  <c r="J56" i="12" s="1"/>
  <c r="G37" i="12"/>
  <c r="J37" i="12" s="1"/>
  <c r="D51" i="12"/>
  <c r="J51" i="12" s="1"/>
  <c r="D32" i="12"/>
  <c r="J32" i="12" s="1"/>
  <c r="I55" i="12"/>
  <c r="I36" i="12"/>
  <c r="D53" i="12"/>
  <c r="D34" i="12"/>
  <c r="H55" i="12"/>
  <c r="H36" i="12"/>
  <c r="V47" i="2"/>
  <c r="W24" i="2"/>
  <c r="AD27" i="18"/>
  <c r="W10" i="2"/>
  <c r="AD13" i="18"/>
  <c r="W38" i="2"/>
  <c r="W47" i="2" s="1"/>
  <c r="AD41" i="18"/>
  <c r="J17" i="6"/>
  <c r="I17" i="6"/>
  <c r="K17" i="6"/>
  <c r="L17" i="6"/>
  <c r="S27" i="2"/>
  <c r="X27" i="18"/>
  <c r="S13" i="2"/>
  <c r="X13" i="18"/>
  <c r="G21" i="12"/>
  <c r="T14" i="11"/>
  <c r="J21" i="12" s="1"/>
  <c r="D50" i="12"/>
  <c r="J50" i="12" s="1"/>
  <c r="D31" i="12"/>
  <c r="J31" i="12" s="1"/>
  <c r="V29" i="2"/>
  <c r="X29" i="2" s="1"/>
  <c r="D28" i="6" s="1"/>
  <c r="U33" i="2"/>
  <c r="M17" i="6" l="1"/>
  <c r="T13" i="2"/>
  <c r="S19" i="2"/>
  <c r="D16" i="11"/>
  <c r="P16" i="11" s="1"/>
  <c r="F23" i="12" s="1"/>
  <c r="B16" i="11"/>
  <c r="N16" i="11" s="1"/>
  <c r="I28" i="6"/>
  <c r="K28" i="6"/>
  <c r="L28" i="6"/>
  <c r="J28" i="6"/>
  <c r="W33" i="2"/>
  <c r="X24" i="2"/>
  <c r="G55" i="12"/>
  <c r="J55" i="12" s="1"/>
  <c r="G36" i="12"/>
  <c r="J36" i="12" s="1"/>
  <c r="T27" i="2"/>
  <c r="S33" i="2"/>
  <c r="C16" i="11"/>
  <c r="O16" i="11" s="1"/>
  <c r="E23" i="12" s="1"/>
  <c r="X10" i="2"/>
  <c r="W19" i="2"/>
  <c r="X38" i="2"/>
  <c r="X47" i="2" s="1"/>
  <c r="G53" i="12"/>
  <c r="J53" i="12" s="1"/>
  <c r="G34" i="12"/>
  <c r="J34" i="12" s="1"/>
  <c r="E57" i="12" l="1"/>
  <c r="E38" i="12"/>
  <c r="F13" i="11"/>
  <c r="F57" i="12"/>
  <c r="F38" i="12"/>
  <c r="E13" i="11"/>
  <c r="M28" i="6"/>
  <c r="V13" i="2"/>
  <c r="T19" i="2"/>
  <c r="V27" i="2"/>
  <c r="T33" i="2"/>
  <c r="D9" i="6"/>
  <c r="D23" i="6"/>
  <c r="G13" i="11"/>
  <c r="T16" i="11"/>
  <c r="J23" i="12" s="1"/>
  <c r="D23" i="12"/>
  <c r="D57" i="12" l="1"/>
  <c r="J57" i="12" s="1"/>
  <c r="D38" i="12"/>
  <c r="J38" i="12" s="1"/>
  <c r="J9" i="6"/>
  <c r="I9" i="6"/>
  <c r="L9" i="6"/>
  <c r="K9" i="6"/>
  <c r="K52" i="11"/>
  <c r="K13" i="11" s="1"/>
  <c r="Q13" i="11" s="1"/>
  <c r="M52" i="11"/>
  <c r="M13" i="11" s="1"/>
  <c r="S13" i="11" s="1"/>
  <c r="I20" i="12" s="1"/>
  <c r="X27" i="2"/>
  <c r="V33" i="2"/>
  <c r="L52" i="11"/>
  <c r="L13" i="11" s="1"/>
  <c r="R13" i="11" s="1"/>
  <c r="H20" i="12" s="1"/>
  <c r="X13" i="2"/>
  <c r="V19" i="2"/>
  <c r="J23" i="6"/>
  <c r="I23" i="6"/>
  <c r="K23" i="6"/>
  <c r="L23" i="6"/>
  <c r="G20" i="12" l="1"/>
  <c r="T13" i="11"/>
  <c r="J20" i="12" s="1"/>
  <c r="C8" i="11"/>
  <c r="O8" i="11" s="1"/>
  <c r="E8" i="11"/>
  <c r="Q8" i="11" s="1"/>
  <c r="H35" i="12"/>
  <c r="H54" i="12"/>
  <c r="M23" i="6"/>
  <c r="D8" i="11"/>
  <c r="P8" i="11" s="1"/>
  <c r="D12" i="6"/>
  <c r="X19" i="2"/>
  <c r="D26" i="6"/>
  <c r="X33" i="2"/>
  <c r="B8" i="11"/>
  <c r="N8" i="11" s="1"/>
  <c r="F8" i="11"/>
  <c r="R8" i="11" s="1"/>
  <c r="I54" i="12"/>
  <c r="I35" i="12"/>
  <c r="G8" i="11"/>
  <c r="S8" i="11" s="1"/>
  <c r="M9" i="6"/>
  <c r="I15" i="12" l="1"/>
  <c r="H15" i="12"/>
  <c r="K26" i="6"/>
  <c r="I26" i="6"/>
  <c r="L26" i="6"/>
  <c r="J26" i="6"/>
  <c r="D32" i="6"/>
  <c r="F15" i="12"/>
  <c r="E15" i="12"/>
  <c r="D15" i="12"/>
  <c r="T8" i="11"/>
  <c r="K12" i="6"/>
  <c r="L12" i="6"/>
  <c r="J12" i="6"/>
  <c r="I12" i="6"/>
  <c r="D18" i="6"/>
  <c r="G15" i="12"/>
  <c r="G54" i="12"/>
  <c r="J54" i="12" s="1"/>
  <c r="G35" i="12"/>
  <c r="J35" i="12" s="1"/>
  <c r="F11" i="11" l="1"/>
  <c r="C11" i="11"/>
  <c r="O11" i="11" s="1"/>
  <c r="J15" i="12"/>
  <c r="M26" i="6"/>
  <c r="L32" i="6"/>
  <c r="H49" i="12"/>
  <c r="H30" i="12"/>
  <c r="G49" i="12"/>
  <c r="G30" i="12"/>
  <c r="M12" i="6"/>
  <c r="D49" i="12"/>
  <c r="D30" i="12"/>
  <c r="F49" i="12"/>
  <c r="F30" i="12"/>
  <c r="E11" i="11"/>
  <c r="K44" i="11" s="1"/>
  <c r="K11" i="11" s="1"/>
  <c r="B11" i="11"/>
  <c r="N11" i="11" s="1"/>
  <c r="E49" i="12"/>
  <c r="E30" i="12"/>
  <c r="D11" i="11"/>
  <c r="P11" i="11" s="1"/>
  <c r="G11" i="11"/>
  <c r="I49" i="12"/>
  <c r="I30" i="12"/>
  <c r="Q11" i="11" l="1"/>
  <c r="K17" i="11"/>
  <c r="J30" i="12"/>
  <c r="M44" i="11"/>
  <c r="M11" i="11" s="1"/>
  <c r="M17" i="11" s="1"/>
  <c r="D18" i="12"/>
  <c r="N17" i="11"/>
  <c r="U18" i="11" s="1"/>
  <c r="J49" i="12"/>
  <c r="L44" i="11"/>
  <c r="L11" i="11" s="1"/>
  <c r="L17" i="11" s="1"/>
  <c r="F18" i="12"/>
  <c r="P17" i="11"/>
  <c r="W18" i="11" s="1"/>
  <c r="E18" i="12"/>
  <c r="O17" i="11"/>
  <c r="V18" i="11" s="1"/>
  <c r="F7" i="14" l="1"/>
  <c r="F53" i="14" s="1"/>
  <c r="F54" i="14" s="1"/>
  <c r="D7" i="14"/>
  <c r="D53" i="14" s="1"/>
  <c r="D54" i="14" s="1"/>
  <c r="E7" i="14"/>
  <c r="E53" i="14" s="1"/>
  <c r="E54" i="14" s="1"/>
  <c r="R11" i="11"/>
  <c r="R17" i="11" s="1"/>
  <c r="Y18" i="11" s="1"/>
  <c r="E52" i="12"/>
  <c r="E58" i="12" s="1"/>
  <c r="L62" i="12" s="1"/>
  <c r="L63" i="12" s="1"/>
  <c r="L64" i="12" s="1"/>
  <c r="E33" i="12"/>
  <c r="E39" i="12" s="1"/>
  <c r="L43" i="12" s="1"/>
  <c r="L44" i="12" s="1"/>
  <c r="L45" i="12" s="1"/>
  <c r="E24" i="12"/>
  <c r="G18" i="12"/>
  <c r="Q17" i="11"/>
  <c r="X18" i="11" s="1"/>
  <c r="D24" i="12"/>
  <c r="D52" i="12"/>
  <c r="D33" i="12"/>
  <c r="F52" i="12"/>
  <c r="F58" i="12" s="1"/>
  <c r="M62" i="12" s="1"/>
  <c r="M63" i="12" s="1"/>
  <c r="M64" i="12" s="1"/>
  <c r="F33" i="12"/>
  <c r="F39" i="12" s="1"/>
  <c r="M43" i="12" s="1"/>
  <c r="M44" i="12" s="1"/>
  <c r="M45" i="12" s="1"/>
  <c r="F24" i="12"/>
  <c r="S11" i="11"/>
  <c r="T11" i="11" s="1"/>
  <c r="H18" i="12" l="1"/>
  <c r="H7" i="14"/>
  <c r="H53" i="14" s="1"/>
  <c r="H54" i="14" s="1"/>
  <c r="G7" i="14"/>
  <c r="G53" i="14" s="1"/>
  <c r="G54" i="14" s="1"/>
  <c r="J18" i="12"/>
  <c r="J24" i="12" s="1"/>
  <c r="T17" i="11"/>
  <c r="AA18" i="11" s="1"/>
  <c r="J7" i="14" s="1"/>
  <c r="D58" i="12"/>
  <c r="K62" i="12" s="1"/>
  <c r="K63" i="12" s="1"/>
  <c r="K64" i="12" s="1"/>
  <c r="G52" i="12"/>
  <c r="G58" i="12" s="1"/>
  <c r="N62" i="12" s="1"/>
  <c r="N63" i="12" s="1"/>
  <c r="N64" i="12" s="1"/>
  <c r="G33" i="12"/>
  <c r="G39" i="12" s="1"/>
  <c r="N43" i="12" s="1"/>
  <c r="N44" i="12" s="1"/>
  <c r="N45" i="12" s="1"/>
  <c r="G24" i="12"/>
  <c r="I18" i="12"/>
  <c r="S17" i="11"/>
  <c r="Z18" i="11" s="1"/>
  <c r="D39" i="12"/>
  <c r="K43" i="12" s="1"/>
  <c r="K44" i="12" s="1"/>
  <c r="K45" i="12" s="1"/>
  <c r="H52" i="12"/>
  <c r="H58" i="12" s="1"/>
  <c r="O62" i="12" s="1"/>
  <c r="O63" i="12" s="1"/>
  <c r="O64" i="12" s="1"/>
  <c r="H33" i="12"/>
  <c r="H39" i="12" s="1"/>
  <c r="O43" i="12" s="1"/>
  <c r="O44" i="12" s="1"/>
  <c r="O45" i="12" s="1"/>
  <c r="H24" i="12"/>
  <c r="I7" i="14" l="1"/>
  <c r="I53" i="14" s="1"/>
  <c r="I54" i="14" s="1"/>
  <c r="C54" i="14" s="1"/>
  <c r="I52" i="12"/>
  <c r="I58" i="12" s="1"/>
  <c r="P62" i="12" s="1"/>
  <c r="P63" i="12" s="1"/>
  <c r="P64" i="12" s="1"/>
  <c r="I33" i="12"/>
  <c r="I39" i="12" s="1"/>
  <c r="P43" i="12" s="1"/>
  <c r="P44" i="12" s="1"/>
  <c r="P45" i="12" s="1"/>
  <c r="I24" i="12"/>
  <c r="J33" i="12" l="1"/>
  <c r="J39" i="12" s="1"/>
  <c r="J52" i="12"/>
  <c r="J58" i="12" s="1"/>
</calcChain>
</file>

<file path=xl/sharedStrings.xml><?xml version="1.0" encoding="utf-8"?>
<sst xmlns="http://schemas.openxmlformats.org/spreadsheetml/2006/main" count="1593" uniqueCount="354">
  <si>
    <t>Woodstock</t>
  </si>
  <si>
    <t>Distribution Plant</t>
  </si>
  <si>
    <t>Poles, towers and fixtures</t>
  </si>
  <si>
    <t>Overhead conductors and devices</t>
  </si>
  <si>
    <t>Underground conduit</t>
  </si>
  <si>
    <t>Underground conductors and devices</t>
  </si>
  <si>
    <t>Line transformers</t>
  </si>
  <si>
    <t>Meters (existing)</t>
  </si>
  <si>
    <t>To Oct 30 2015 - Before reduction to NBV</t>
  </si>
  <si>
    <t>YE GBV</t>
  </si>
  <si>
    <t>I/S Adds</t>
  </si>
  <si>
    <t>GBV</t>
  </si>
  <si>
    <t>Norfolk</t>
  </si>
  <si>
    <t>Haldimand</t>
  </si>
  <si>
    <t>Nov &amp; Dec 2015</t>
  </si>
  <si>
    <t>2014 Year-End</t>
  </si>
  <si>
    <t>Services</t>
  </si>
  <si>
    <t>2013 Year-End</t>
  </si>
  <si>
    <t>TOTAL</t>
  </si>
  <si>
    <t>USoA Account #</t>
  </si>
  <si>
    <t>Accounts</t>
  </si>
  <si>
    <t>1830</t>
  </si>
  <si>
    <t>Poles, Towers and Fixtures</t>
  </si>
  <si>
    <t>1830-3</t>
  </si>
  <si>
    <t>Poles, Towers and Fixtures - Subtransmission Bulk Delivery</t>
  </si>
  <si>
    <t>1830-3A</t>
  </si>
  <si>
    <t>Bulk-ST Fixtures</t>
  </si>
  <si>
    <t>1830-3B</t>
  </si>
  <si>
    <t>Bulk-Retail Fixtures</t>
  </si>
  <si>
    <t>1830-4</t>
  </si>
  <si>
    <t>Poles, Towers and Fixtures - Primary</t>
  </si>
  <si>
    <t>1830-4A</t>
  </si>
  <si>
    <t>Primary-ST Fixtures</t>
  </si>
  <si>
    <t>1830-4B</t>
  </si>
  <si>
    <t>Primary-Retail Fixtures</t>
  </si>
  <si>
    <t>1830-5</t>
  </si>
  <si>
    <t>Poles, Towers and Fixtures - Secondary</t>
  </si>
  <si>
    <t>1835</t>
  </si>
  <si>
    <t>Overhead Conductors and Devices</t>
  </si>
  <si>
    <t>1835-3</t>
  </si>
  <si>
    <t>Overhead Conductors and Devices - Subtransmission Bulk Delivery</t>
  </si>
  <si>
    <t>1835-3A</t>
  </si>
  <si>
    <t>Bulk-ST Conductors</t>
  </si>
  <si>
    <t>1835-3B</t>
  </si>
  <si>
    <t>Bulk-Retail Conductors</t>
  </si>
  <si>
    <t>1835-4</t>
  </si>
  <si>
    <t>Overhead Conductors and Devices - Primary</t>
  </si>
  <si>
    <t>1835-4A</t>
  </si>
  <si>
    <t>Primary-ST Conductors</t>
  </si>
  <si>
    <t>1835-4B</t>
  </si>
  <si>
    <t>Primary-Retail Conductors</t>
  </si>
  <si>
    <t>1835-5</t>
  </si>
  <si>
    <t>Overhead Conductors and Devices - Secondary</t>
  </si>
  <si>
    <t>1840</t>
  </si>
  <si>
    <t>Underground Conduit</t>
  </si>
  <si>
    <t>1840-3</t>
  </si>
  <si>
    <t>Underground Conduit - Bulk Delivery</t>
  </si>
  <si>
    <t>1840-4</t>
  </si>
  <si>
    <t>Underground Conduit - Primary</t>
  </si>
  <si>
    <t>1840-5</t>
  </si>
  <si>
    <t>Underground Conduit - Secondary</t>
  </si>
  <si>
    <t>1845</t>
  </si>
  <si>
    <t>Underground Conductors and Devices</t>
  </si>
  <si>
    <t>1845-3</t>
  </si>
  <si>
    <t>Underground Conductors and Devices - Bulk Delivery</t>
  </si>
  <si>
    <t>1845-4</t>
  </si>
  <si>
    <t>Underground Conductors and Devices - Primary</t>
  </si>
  <si>
    <t>1845-5</t>
  </si>
  <si>
    <t>Underground Conductors and Devices - Secondary</t>
  </si>
  <si>
    <t>1850</t>
  </si>
  <si>
    <t>Line Transformers</t>
  </si>
  <si>
    <t>1855</t>
  </si>
  <si>
    <t>1860</t>
  </si>
  <si>
    <t>Meters</t>
  </si>
  <si>
    <t>1860-1</t>
  </si>
  <si>
    <t>Total</t>
  </si>
  <si>
    <t>USofA</t>
  </si>
  <si>
    <t>Check (should be $0)</t>
  </si>
  <si>
    <t>2. Determine what portion of Fixed Asset values associated with RES and GS to reduce Total GBV needed to reconcile</t>
  </si>
  <si>
    <t>O1 Grouping</t>
  </si>
  <si>
    <t>Residential</t>
  </si>
  <si>
    <t>GS &lt;50</t>
  </si>
  <si>
    <t>GS 50 to 999 kW</t>
  </si>
  <si>
    <t>GS&gt; 50-TOU</t>
  </si>
  <si>
    <t>GS &gt; 1000 kW</t>
  </si>
  <si>
    <t>Large Use</t>
  </si>
  <si>
    <t>Street Lighting</t>
  </si>
  <si>
    <t>Sentinel</t>
  </si>
  <si>
    <t>Unmetered Scattered Load</t>
  </si>
  <si>
    <t>dp</t>
  </si>
  <si>
    <t>2b.  Determine value associated with just RES and GS</t>
  </si>
  <si>
    <t>Proportion of total associated with just RES and GS</t>
  </si>
  <si>
    <t>2a. Copy values from last CAM (O4 Summary by Class &amp; Accounts)</t>
  </si>
  <si>
    <t>General Service Less Than 50 kW</t>
  </si>
  <si>
    <t>General Service 50 to 4,999 kW</t>
  </si>
  <si>
    <t>GS &gt;50-Intermediate</t>
  </si>
  <si>
    <t>Large Use &gt;5MW</t>
  </si>
  <si>
    <t>Sentinel Lighting</t>
  </si>
  <si>
    <t>Embedded Distributor - Hydro One Networks Inc.</t>
  </si>
  <si>
    <t>GS&gt;50-Regular</t>
  </si>
  <si>
    <t>Street Light</t>
  </si>
  <si>
    <t>Embedded Distributor</t>
  </si>
  <si>
    <t>2C. Determine allocation among RES and GS classes</t>
  </si>
  <si>
    <t>Mixed Density (Haldimand + Norfolk)</t>
  </si>
  <si>
    <t>Urban Density (Woodstock)</t>
  </si>
  <si>
    <t>3. Allocate portion of Total Forecast Acq GBV associated with RES and GS only and allocate among RES and GS rate classes</t>
  </si>
  <si>
    <t>Acq Urban (Woodstock)</t>
  </si>
  <si>
    <t>Acq Mixed Density (Norfolk + Haldimand)</t>
  </si>
  <si>
    <t>Portion of Total GBV associated with only RES and GS rate classes</t>
  </si>
  <si>
    <t>GBV associated with only RES and GS rate classes</t>
  </si>
  <si>
    <t>check</t>
  </si>
  <si>
    <t>4. Determine CAM Output for Acquired Classes</t>
  </si>
  <si>
    <t>4a. O4 Summary by Class &amp; Accounts values</t>
  </si>
  <si>
    <t>4b. Select all fixed assets not associated with Bulk (since their historical data would not include Bulk assets)</t>
  </si>
  <si>
    <t>4c. Summarize values by USofA</t>
  </si>
  <si>
    <t>4d. Summarize Bulk GBV (to add to Forecast Acquired GBV)</t>
  </si>
  <si>
    <t>Forecast Acq GBV</t>
  </si>
  <si>
    <t>Allocated Bulk Costs (non adjusted CAM)</t>
  </si>
  <si>
    <t>Total GBV that is being Allocated (non Adj CAM) incl Bulk</t>
  </si>
  <si>
    <t>total</t>
  </si>
  <si>
    <t>Total GBV that should be allocated to Acq RES and GS classes</t>
  </si>
  <si>
    <t>NFA</t>
  </si>
  <si>
    <t>Net Fixed Assets</t>
  </si>
  <si>
    <t>NFA ECC</t>
  </si>
  <si>
    <t>Net Fixed Assets Excluding credit for Capital Contribution</t>
  </si>
  <si>
    <t>Customer and Demand Total</t>
  </si>
  <si>
    <t>GFA - Distribution plant (exclude credit for contributed capital)</t>
  </si>
  <si>
    <t>Total Demand And Customer</t>
  </si>
  <si>
    <t>Ratio of NFA to GFA</t>
  </si>
  <si>
    <t>6. Determine Adjustment Factor for NFA Acq RES and GS</t>
  </si>
  <si>
    <t>Ratio of NFA ECC to GFA</t>
  </si>
  <si>
    <t>Total NBV that should be allocated to Acq RES and GS classes</t>
  </si>
  <si>
    <t>Total NBV that is being Allocated (non Adj CAM) incl Bulk</t>
  </si>
  <si>
    <t>Total NBV ECC that should be allocated to Acq RES and GS classes</t>
  </si>
  <si>
    <t>Total  NBV ECC that is being Allocated (non Adj CAM) incl Bulk</t>
  </si>
  <si>
    <t>7. Adjust O&amp;M and OM$A Allocators to reduce associated costs to Acquired RES and GS</t>
  </si>
  <si>
    <t>7a. Determine amount that should be allocated to Acquired RES and GS</t>
  </si>
  <si>
    <t>Mixed Density (Norfolk and Haldimand)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</si>
  <si>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</si>
  <si>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</si>
  <si>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</si>
  <si>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</si>
  <si>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</si>
  <si>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</si>
  <si>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</si>
  <si>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</si>
  <si>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</si>
  <si>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O&amp;M</t>
  </si>
  <si>
    <t>OM&amp;A</t>
  </si>
  <si>
    <t>ID and Factors</t>
  </si>
  <si>
    <t>5005-5340</t>
  </si>
  <si>
    <t>5005-6225</t>
  </si>
  <si>
    <t>iv) Total OMA allocation to Acquired RES and GS Rate Classes (Non Adjusted)</t>
  </si>
  <si>
    <t>Urban Density</t>
  </si>
  <si>
    <t>Mixed Density</t>
  </si>
  <si>
    <t>Overhead Distribution Lines and Feeders - Operation Labour</t>
  </si>
  <si>
    <t>Overhead Distribution Lines &amp; Feeders - Operation Supplies and Expenses</t>
  </si>
  <si>
    <t>Underground Distribution Lines and Feeders - Operation Labour</t>
  </si>
  <si>
    <t>Underground Distribution Lines &amp; Feeders - Operation Supplies &amp; Expenses</t>
  </si>
  <si>
    <t>Meter Expense</t>
  </si>
  <si>
    <t>Customer Premises - Operation Labour</t>
  </si>
  <si>
    <t>Customer Premises - Materials and Expenses</t>
  </si>
  <si>
    <t>Explanation</t>
  </si>
  <si>
    <t>O&amp;M Total Demand and Customer (O6 row 152)</t>
  </si>
  <si>
    <t>5005-5340 (E2 row 117)</t>
  </si>
  <si>
    <t>O&amp;M Total Demand and Customer (O6 row 163)</t>
  </si>
  <si>
    <t>OM&amp;A Expenses (O6 row 255)</t>
  </si>
  <si>
    <t>OM&amp;A Expenses (O6 row 260)</t>
  </si>
  <si>
    <t>NP did not use OM&amp;A allocator</t>
  </si>
  <si>
    <t>OM&amp;A Expenses (O6 row 242)</t>
  </si>
  <si>
    <t>WH did not use OM&amp;A allocator</t>
  </si>
  <si>
    <t>% of O&amp;M allocated to RES and GS in  last CAM</t>
  </si>
  <si>
    <t>% of OM&amp;A allocated to RES and GS in  last CAM</t>
  </si>
  <si>
    <t>% of O&amp;M allocated to RES and GS in last CAM</t>
  </si>
  <si>
    <t>% of OM&amp;A allocated to RES and GS in last CAM</t>
  </si>
  <si>
    <t xml:space="preserve"> Acquired Urban</t>
  </si>
  <si>
    <t>Acquired Mixed - Norfolk</t>
  </si>
  <si>
    <t>Acquired Mixed - Haldimand</t>
  </si>
  <si>
    <t>Acquired Mixed - Total</t>
  </si>
  <si>
    <t>Portion of O&amp;M to OM&amp;A:</t>
  </si>
  <si>
    <t>Portion of O&amp;M to that should be allocated to:</t>
  </si>
  <si>
    <t>Amount that should be allocated to Acq RES and GS rate classes</t>
  </si>
  <si>
    <t>vii) Determine amount to be removed from Acq RES and GS rate classes, and shifted back among other rate classes</t>
  </si>
  <si>
    <t>Acquired Urban</t>
  </si>
  <si>
    <t>Acquired Mixed Density</t>
  </si>
  <si>
    <t>*** Make sure that Acq RES and GS rate classes are still attracting OMA costs in addition to these USofA in their total</t>
  </si>
  <si>
    <t>total allocated</t>
  </si>
  <si>
    <t>yes</t>
  </si>
  <si>
    <t>no</t>
  </si>
  <si>
    <t>N.D.M.1.01</t>
  </si>
  <si>
    <t>Trouble Calls Customer Locates &amp; Disconn</t>
  </si>
  <si>
    <t>N.D.M.1.02</t>
  </si>
  <si>
    <t>Line Maintenance and Repair</t>
  </si>
  <si>
    <t>N.D.M.1.03</t>
  </si>
  <si>
    <t>Vegetation Management</t>
  </si>
  <si>
    <t>N.D.M.1.04</t>
  </si>
  <si>
    <t>Distributing and Regulating Stations</t>
  </si>
  <si>
    <t>N.D.M.1.05</t>
  </si>
  <si>
    <t>Customer Meters</t>
  </si>
  <si>
    <t>N.D.M.1.07</t>
  </si>
  <si>
    <t>Other Services</t>
  </si>
  <si>
    <t>N.D.M.1.08</t>
  </si>
  <si>
    <t>Land Assessment and Remediation</t>
  </si>
  <si>
    <t>N.D.M.1.09</t>
  </si>
  <si>
    <t>Telecom Monitoring and Control</t>
  </si>
  <si>
    <t>N.D.M.2.02</t>
  </si>
  <si>
    <t>Engineering and Technical Services</t>
  </si>
  <si>
    <t>N.D.M.2.03</t>
  </si>
  <si>
    <t>Distributed Generation Connections</t>
  </si>
  <si>
    <t>N.D.M.2.50</t>
  </si>
  <si>
    <t>Conservation and Demand Management</t>
  </si>
  <si>
    <t>N.D.M.4.01</t>
  </si>
  <si>
    <t>Customer Care Services Dx</t>
  </si>
  <si>
    <t>Vertical</t>
  </si>
  <si>
    <t>**exclude more than just customer care</t>
  </si>
  <si>
    <t>Include</t>
  </si>
  <si>
    <t>Table 1: Select OMA by Driver</t>
  </si>
  <si>
    <t>Reclassified Balance (allocated to all rate classes)</t>
  </si>
  <si>
    <t>v) Portion of Total OMA allocated to  "end-user" fixed assets:</t>
  </si>
  <si>
    <t>OMA that is currently allocated to Acq for  "end-user" fixed assets</t>
  </si>
  <si>
    <t>OMA that should be allocated for  "end-user" fixed assets</t>
  </si>
  <si>
    <t>Amount to remove from Acq RES and GS for "end-user" fixed assets:</t>
  </si>
  <si>
    <t>viii) Adjustment Factors for Acq RES and GS classes for "end-user" fixed assets:</t>
  </si>
  <si>
    <t>ix) Adjustment Factor for Acq RES and GS classes to apply to total allocated OMA</t>
  </si>
  <si>
    <t>Portion of Total CAM O6 O&amp;M associated with  "end-user" fixed assets:</t>
  </si>
  <si>
    <t>Total CAM O6 OM&amp;A (i.e. include only USofA 5005-5680, 6105 &amp; 6205-1)</t>
  </si>
  <si>
    <t>Portion of Total CAM O6 OM&amp;A associated with  "end-user" fixed assets:</t>
  </si>
  <si>
    <t>iii)  Current Total OM&amp;A allocated to "end-user" fixed assets:</t>
  </si>
  <si>
    <t>a)  Current Total O&amp;M allocated to "end-user" fixed assets:</t>
  </si>
  <si>
    <t>Adjustment Factors for Acq RES and GS classes to apply to total allocated OMA</t>
  </si>
  <si>
    <r>
      <t xml:space="preserve">ii) Assume incremental OMA is associated with USofA 5020-5075,5120-5160,5175 (i.e. OMA associated with "local" fixed assets that serve end-users) </t>
    </r>
    <r>
      <rPr>
        <sz val="11"/>
        <color rgb="FFFF0000"/>
        <rFont val="Calibri"/>
        <family val="2"/>
        <scheme val="minor"/>
      </rPr>
      <t>- *ISSUE THIS WILL LIKELY INCLUDE OMA ON BULK EQUIP</t>
    </r>
  </si>
  <si>
    <t>Account</t>
  </si>
  <si>
    <t>Description</t>
  </si>
  <si>
    <t>Reduction for Acquireds determined in Sheet 5. for GBV</t>
  </si>
  <si>
    <t>Adjusted in proportion to GBV reduction ("Should be" allocated)</t>
  </si>
  <si>
    <t>Annual Depn Subtotal (non-Bulk assets):</t>
  </si>
  <si>
    <t>Depreciation (total for all classes)</t>
  </si>
  <si>
    <r>
      <t>Total CAM O6 O&amp;M (i.e. O6 includes only USofA 5005-5680, 6105 &amp; 6205-1) including Direct Allocation</t>
    </r>
    <r>
      <rPr>
        <sz val="11"/>
        <color theme="1"/>
        <rFont val="Calibri"/>
        <family val="2"/>
        <scheme val="minor"/>
      </rPr>
      <t>:</t>
    </r>
  </si>
  <si>
    <t>****MAKE SURE NO DEPENDENTS</t>
  </si>
  <si>
    <t>Overallocation (Amount to reallocate to legacy rate classes)</t>
  </si>
  <si>
    <r>
      <t>i) Amount of incremental O&amp;M associated with Acquired LDCs in 2021 Business Plan (</t>
    </r>
    <r>
      <rPr>
        <u/>
        <sz val="11"/>
        <color theme="1"/>
        <rFont val="Calibri"/>
        <family val="2"/>
        <scheme val="minor"/>
      </rPr>
      <t>exclude Admin costs i.e. amounts allocated to drivers, as indicated in Table 1)</t>
    </r>
  </si>
  <si>
    <t>UR</t>
  </si>
  <si>
    <t>R1</t>
  </si>
  <si>
    <t>R2</t>
  </si>
  <si>
    <t>GSe</t>
  </si>
  <si>
    <t>GSd</t>
  </si>
  <si>
    <t>UGe</t>
  </si>
  <si>
    <t>UGd</t>
  </si>
  <si>
    <t>St Lgt</t>
  </si>
  <si>
    <t>Sen Lgt</t>
  </si>
  <si>
    <t>USL</t>
  </si>
  <si>
    <t>DGen</t>
  </si>
  <si>
    <t>ST</t>
  </si>
  <si>
    <t>***issue with Vlookup</t>
  </si>
  <si>
    <t>***issue with Vlookup - seems fine now, no updates made, check with henrys' old printout</t>
  </si>
  <si>
    <t>iii) Determine amount of O&amp;M that should be allocated to Acquireds</t>
  </si>
  <si>
    <r>
      <t xml:space="preserve">(Assume incremental OMA is associated with USofA 5020-5075,5120-5160,5175 (i.e. OMA associated with "local" fixed assets that serve end-users) </t>
    </r>
    <r>
      <rPr>
        <sz val="11"/>
        <color rgb="FFFF0000"/>
        <rFont val="Calibri"/>
        <family val="2"/>
        <scheme val="minor"/>
      </rPr>
      <t>- *ISSUE THIS WILL LIKELY INCLUDE OMA ON BULK EQUIP)</t>
    </r>
  </si>
  <si>
    <t>a) Extract values from each utilities last CAM to determine portion of total O&amp;M allocated to RES, GSe and GSd rate classes:</t>
  </si>
  <si>
    <t>Total Acquired associated with just RES and GS rate classes</t>
  </si>
  <si>
    <t>Amount that "should be" allocated to Acq RES and GS rate classes</t>
  </si>
  <si>
    <t>O&amp;M being allocated that is NOT associated with "end user" fixed assets</t>
  </si>
  <si>
    <t>Total (O&amp;M NOT associated with end user fixed assets + O&amp;M that "should be" assocated with end-user fixed assets)</t>
  </si>
  <si>
    <t>Reduction to Acquireds for O&amp;M</t>
  </si>
  <si>
    <t>Total to just RES and GS</t>
  </si>
  <si>
    <t>ii) Determine amount that "is" being allocated to Acquireds for O&amp;M</t>
  </si>
  <si>
    <t>iv) Determine amount that "is" being allocated to Acquireds for OM&amp;A</t>
  </si>
  <si>
    <t>OM&amp;A being allocated that is NOT associated with "end user" fixed assets</t>
  </si>
  <si>
    <t>iv) Determine amount of OM&amp;A that should be allocated to Acquireds</t>
  </si>
  <si>
    <t>Reduction to Acquireds for OM&amp;A</t>
  </si>
  <si>
    <t>a)  Current Total OM&amp;A allocated to "end-user" fixed assets (same values as O&amp;M but mapped to OM&amp;A section of CAM O6):</t>
  </si>
  <si>
    <t>CAM I4 BO ASSETS</t>
  </si>
  <si>
    <t>BREAK OUT (%)</t>
  </si>
  <si>
    <t>BREAK OUT ($)</t>
  </si>
  <si>
    <t>Break out Functions (GBV2021)</t>
  </si>
  <si>
    <t>AUR</t>
  </si>
  <si>
    <t>AUGe</t>
  </si>
  <si>
    <t>AUGd</t>
  </si>
  <si>
    <t>AR</t>
  </si>
  <si>
    <t>AGSe</t>
  </si>
  <si>
    <t>AGSd</t>
  </si>
  <si>
    <t>Transformer station equip - above 50kV</t>
  </si>
  <si>
    <t>Distribution station equip - below 50kV</t>
  </si>
  <si>
    <t>1815</t>
  </si>
  <si>
    <t>Transformer Station Equipment - Normally Primary above 50 kV</t>
  </si>
  <si>
    <t>1820</t>
  </si>
  <si>
    <t>Distribution Station Equipment - Normally Primary below 50 kV</t>
  </si>
  <si>
    <t>1820-1</t>
  </si>
  <si>
    <t>Distribution Station Equipment - Normally Primary below 50 kV (Bulk)</t>
  </si>
  <si>
    <t>1820-2</t>
  </si>
  <si>
    <t>Distribution Station Equipment - Normally Primary below 50 kV (Primary)</t>
  </si>
  <si>
    <t>1820-3</t>
  </si>
  <si>
    <t>Distribution Station Equipment - Normally Primary below 50 kV (Wholesale Meters)</t>
  </si>
  <si>
    <t>1815-1</t>
  </si>
  <si>
    <t>HVDS - Retail</t>
  </si>
  <si>
    <t>1815-2</t>
  </si>
  <si>
    <t>HVDS - ST</t>
  </si>
  <si>
    <t>Distribution Station Equipment - Normally Primary below 50 kV Primary)</t>
  </si>
  <si>
    <t>NFA being allocated that is NOT associated with 1815-1860</t>
  </si>
  <si>
    <t>Total NBV ECC that should be allocated for 1815-1860</t>
  </si>
  <si>
    <t>Non Adjusted CAM allocation (input to O4 row 282)</t>
  </si>
  <si>
    <t>IESO</t>
  </si>
  <si>
    <t>Network</t>
  </si>
  <si>
    <t>Line Connection</t>
  </si>
  <si>
    <t>Transformation Connection</t>
  </si>
  <si>
    <t>Total Connection</t>
  </si>
  <si>
    <t>Month</t>
  </si>
  <si>
    <t>Units Billed</t>
  </si>
  <si>
    <t>Rate</t>
  </si>
  <si>
    <t>Amount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</si>
  <si>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</si>
  <si>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</si>
  <si>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</si>
  <si>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</si>
  <si>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</si>
  <si>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</si>
  <si>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</si>
  <si>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</si>
  <si>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</si>
  <si>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</si>
  <si>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</si>
  <si>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</si>
  <si>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Hydro One</t>
  </si>
  <si>
    <t>Line</t>
  </si>
  <si>
    <t>Transformation</t>
  </si>
  <si>
    <t>% of Total Demand connected to HONI</t>
  </si>
  <si>
    <t>LDC</t>
  </si>
  <si>
    <t>Combined (weighted)</t>
  </si>
  <si>
    <t>Norfolk &amp; Hald</t>
  </si>
  <si>
    <r>
      <t xml:space="preserve">Bulk Factor:
</t>
    </r>
    <r>
      <rPr>
        <sz val="9"/>
        <color theme="1"/>
        <rFont val="Calibri"/>
        <family val="2"/>
        <scheme val="minor"/>
      </rPr>
      <t xml:space="preserve"> </t>
    </r>
    <r>
      <rPr>
        <u/>
        <sz val="9"/>
        <color theme="1"/>
        <rFont val="Calibri"/>
        <family val="2"/>
        <scheme val="minor"/>
      </rPr>
      <t xml:space="preserve">         Bulk Retail                 </t>
    </r>
    <r>
      <rPr>
        <sz val="9"/>
        <color theme="1"/>
        <rFont val="Calibri"/>
        <family val="2"/>
        <scheme val="minor"/>
      </rPr>
      <t xml:space="preserve">
(Primary Retail + Sec)</t>
    </r>
  </si>
  <si>
    <t>Reduction for Acquireds based on Totals</t>
  </si>
  <si>
    <t>% Demand Connected to HONI ST (approx. using Network Peak) for Norfolk and Haldimand existing GBV</t>
  </si>
  <si>
    <t>Total 2023 GBV</t>
  </si>
  <si>
    <t>Acquired Customers should be allocated the 2023 Forecast GBV + 2023 Allocated Bulk GBV</t>
  </si>
  <si>
    <t>Copy of Tab 12 Historical Wholesale 2021 IRM</t>
  </si>
  <si>
    <t>Total 2023 NFA (O6 CAM)</t>
  </si>
  <si>
    <t>Total 2023 NFA ECC (O6 CAM)</t>
  </si>
  <si>
    <t>Mtr-All</t>
  </si>
  <si>
    <t>ISA</t>
  </si>
  <si>
    <t>Disposals</t>
  </si>
  <si>
    <t>ISA Net of Disposals</t>
  </si>
  <si>
    <t>1. Determine Forecast Acquired GBV for Dx Assets based on Historical Data and I/S Adds (net of disposals)</t>
  </si>
  <si>
    <t>Historical Data</t>
  </si>
  <si>
    <t>Woodstock Hydro Service Inc.</t>
  </si>
  <si>
    <t>Haldimand County Hydro Inc.</t>
  </si>
  <si>
    <t>Norfolk Power Distribution Inc.</t>
  </si>
  <si>
    <t>3a. 2023 GBV from Worksheet 1. Forecast Acq GBV</t>
  </si>
  <si>
    <t>5. Determine Allocation for Acquired Customers</t>
  </si>
  <si>
    <t>Norfolk - 2021 IRM Rate Generator Model</t>
  </si>
  <si>
    <t>Haldimand - 2021 IRM Rate Generator Model</t>
  </si>
  <si>
    <t>NFA Direct Allocation Factors</t>
  </si>
  <si>
    <t>NFA ECC Direct Allocation Factors</t>
  </si>
  <si>
    <t xml:space="preserve">Annual Depreciation (USoA 5705) </t>
  </si>
  <si>
    <t>7a. Determine % by which GBV is "overstated" for 1815-1860 by rate class</t>
  </si>
  <si>
    <t xml:space="preserve">7b. Determine Annual Depn associated with 1830-1860 (O7 CAM) - primary and secondary end user assets only (i.e. exclude bulk)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</si>
</sst>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_-* #,##0_-;\-* #,##0_-;_-* &quot;-&quot;_-;_-@_-"/>
    <numFmt numFmtId="169" formatCode="0.0%"/>
    <numFmt numFmtId="170" formatCode="_(* #,##0.000_);_(* \(#,##0.000\);_(* &quot;-&quot;???_);_(@_)"/>
    <numFmt numFmtId="171" formatCode="_-* #,##0_-;\-* #,##0_-;_-* &quot;-&quot;??_-;_-@_-"/>
    <numFmt numFmtId="172" formatCode="_-* #,##0.0_-;\-* #,##0.0_-;_-* &quot;-&quot;??_-;_-@_-"/>
    <numFmt numFmtId="173" formatCode="_-&quot;$&quot;* #,##0_-;\-&quot;$&quot;* #,##0_-;_-&quot;$&quot;* &quot;-&quot;??_-;_-@_-"/>
    <numFmt numFmtId="174" formatCode="&quot;$&quot;#,##0.0000_);\(&quot;$&quot;#,##0.0000\)"/>
    <numFmt numFmtId="175" formatCode="_(&quot;$&quot;* #,##0.0000_);_(&quot;$&quot;* \(#,##0.0000\);_(&quot;$&quot;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indexed="12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10"/>
      <name val="Arial"/>
      <family val="2"/>
    </font>
    <font>
      <sz val="10"/>
      <color indexed="16"/>
      <name val="Arial"/>
      <family val="2"/>
    </font>
    <font>
      <sz val="8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Book Antiqua"/>
      <family val="1"/>
    </font>
    <font>
      <b/>
      <sz val="10"/>
      <name val="Book Antiqua"/>
      <family val="1"/>
    </font>
    <font>
      <b/>
      <sz val="10"/>
      <color theme="1"/>
      <name val="Calibri"/>
      <family val="2"/>
      <scheme val="minor"/>
    </font>
    <font>
      <b/>
      <sz val="9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u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14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5" fillId="0" borderId="0" applyNumberFormat="0" applyFont="0" applyFill="0" applyAlignment="0" applyProtection="0"/>
    <xf numFmtId="0" fontId="6" fillId="0" borderId="0" applyNumberFormat="0" applyFont="0" applyFill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3" applyNumberFormat="0" applyFont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 applyNumberFormat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8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44" fontId="0" fillId="0" borderId="0" xfId="2" applyFont="1"/>
    <xf numFmtId="164" fontId="0" fillId="0" borderId="0" xfId="2" applyNumberFormat="1" applyFont="1"/>
    <xf numFmtId="0" fontId="0" fillId="0" borderId="0" xfId="0" applyAlignment="1">
      <alignment wrapText="1"/>
    </xf>
    <xf numFmtId="164" fontId="0" fillId="0" borderId="0" xfId="0" applyNumberFormat="1"/>
    <xf numFmtId="165" fontId="0" fillId="0" borderId="0" xfId="1" applyNumberFormat="1" applyFont="1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Continuous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wrapText="1"/>
    </xf>
    <xf numFmtId="0" fontId="2" fillId="2" borderId="0" xfId="0" applyFont="1" applyFill="1"/>
    <xf numFmtId="164" fontId="0" fillId="2" borderId="0" xfId="2" applyNumberFormat="1" applyFont="1" applyFill="1"/>
    <xf numFmtId="37" fontId="2" fillId="2" borderId="0" xfId="0" applyNumberFormat="1" applyFont="1" applyFill="1"/>
    <xf numFmtId="0" fontId="0" fillId="0" borderId="0" xfId="0" applyFill="1"/>
    <xf numFmtId="37" fontId="0" fillId="0" borderId="0" xfId="0" applyNumberFormat="1"/>
    <xf numFmtId="37" fontId="0" fillId="2" borderId="0" xfId="0" applyNumberFormat="1" applyFill="1"/>
    <xf numFmtId="9" fontId="0" fillId="0" borderId="0" xfId="3" applyFont="1"/>
    <xf numFmtId="164" fontId="2" fillId="0" borderId="0" xfId="2" applyNumberFormat="1" applyFont="1" applyFill="1"/>
    <xf numFmtId="164" fontId="2" fillId="0" borderId="0" xfId="2" applyNumberFormat="1" applyFont="1" applyFill="1" applyAlignment="1">
      <alignment horizontal="center"/>
    </xf>
    <xf numFmtId="164" fontId="2" fillId="2" borderId="0" xfId="2" applyNumberFormat="1" applyFont="1" applyFill="1"/>
    <xf numFmtId="0" fontId="0" fillId="0" borderId="0" xfId="0" applyNumberFormat="1"/>
    <xf numFmtId="0" fontId="0" fillId="0" borderId="0" xfId="0" applyFill="1" applyAlignment="1">
      <alignment wrapText="1"/>
    </xf>
    <xf numFmtId="6" fontId="0" fillId="0" borderId="0" xfId="0" applyNumberFormat="1" applyFill="1"/>
    <xf numFmtId="0" fontId="0" fillId="6" borderId="0" xfId="0" applyFill="1" applyAlignment="1">
      <alignment wrapText="1"/>
    </xf>
    <xf numFmtId="0" fontId="0" fillId="6" borderId="0" xfId="0" applyFill="1"/>
    <xf numFmtId="0" fontId="0" fillId="0" borderId="0" xfId="0" applyNumberFormat="1" applyAlignment="1">
      <alignment wrapText="1"/>
    </xf>
    <xf numFmtId="6" fontId="0" fillId="0" borderId="0" xfId="0" applyNumberFormat="1"/>
    <xf numFmtId="164" fontId="0" fillId="0" borderId="0" xfId="2" applyNumberFormat="1" applyFont="1" applyFill="1"/>
    <xf numFmtId="0" fontId="0" fillId="0" borderId="4" xfId="0" applyBorder="1"/>
    <xf numFmtId="164" fontId="0" fillId="0" borderId="4" xfId="0" applyNumberFormat="1" applyBorder="1"/>
    <xf numFmtId="0" fontId="0" fillId="0" borderId="4" xfId="0" applyBorder="1" applyAlignment="1">
      <alignment wrapText="1"/>
    </xf>
    <xf numFmtId="0" fontId="0" fillId="6" borderId="0" xfId="0" applyNumberFormat="1" applyFill="1"/>
    <xf numFmtId="164" fontId="0" fillId="6" borderId="0" xfId="0" applyNumberFormat="1" applyFill="1"/>
    <xf numFmtId="0" fontId="0" fillId="0" borderId="0" xfId="0" applyFont="1"/>
    <xf numFmtId="0" fontId="8" fillId="0" borderId="0" xfId="0" applyFont="1"/>
    <xf numFmtId="0" fontId="9" fillId="0" borderId="0" xfId="0" applyFont="1" applyAlignment="1">
      <alignment wrapText="1"/>
    </xf>
    <xf numFmtId="164" fontId="9" fillId="0" borderId="0" xfId="0" applyNumberFormat="1" applyFont="1"/>
    <xf numFmtId="0" fontId="9" fillId="0" borderId="0" xfId="0" applyFont="1"/>
    <xf numFmtId="0" fontId="0" fillId="0" borderId="4" xfId="0" applyBorder="1" applyAlignment="1">
      <alignment horizontal="centerContinuous" wrapText="1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center"/>
    </xf>
    <xf numFmtId="164" fontId="0" fillId="0" borderId="4" xfId="2" applyNumberFormat="1" applyFont="1" applyBorder="1"/>
    <xf numFmtId="9" fontId="0" fillId="0" borderId="4" xfId="0" applyNumberFormat="1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5" xfId="0" applyBorder="1"/>
    <xf numFmtId="168" fontId="3" fillId="3" borderId="8" xfId="0" applyNumberFormat="1" applyFont="1" applyFill="1" applyBorder="1" applyAlignment="1">
      <alignment horizontal="center" vertical="center" wrapText="1"/>
    </xf>
    <xf numFmtId="0" fontId="0" fillId="0" borderId="0" xfId="0" applyBorder="1"/>
    <xf numFmtId="168" fontId="3" fillId="3" borderId="4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Continuous"/>
    </xf>
    <xf numFmtId="0" fontId="0" fillId="0" borderId="10" xfId="0" applyBorder="1" applyAlignment="1">
      <alignment horizontal="centerContinuous"/>
    </xf>
    <xf numFmtId="0" fontId="0" fillId="0" borderId="11" xfId="0" applyBorder="1" applyAlignment="1">
      <alignment horizontal="centerContinuous"/>
    </xf>
    <xf numFmtId="168" fontId="3" fillId="3" borderId="12" xfId="0" applyNumberFormat="1" applyFont="1" applyFill="1" applyBorder="1" applyAlignment="1">
      <alignment horizontal="center" vertical="center" wrapText="1"/>
    </xf>
    <xf numFmtId="164" fontId="0" fillId="0" borderId="12" xfId="2" applyNumberFormat="1" applyFont="1" applyBorder="1"/>
    <xf numFmtId="164" fontId="0" fillId="0" borderId="8" xfId="2" applyNumberFormat="1" applyFont="1" applyBorder="1"/>
    <xf numFmtId="164" fontId="0" fillId="0" borderId="13" xfId="2" applyNumberFormat="1" applyFont="1" applyBorder="1"/>
    <xf numFmtId="164" fontId="0" fillId="0" borderId="14" xfId="2" applyNumberFormat="1" applyFont="1" applyBorder="1"/>
    <xf numFmtId="0" fontId="0" fillId="0" borderId="9" xfId="0" applyBorder="1" applyAlignment="1">
      <alignment horizontal="centerContinuous" wrapText="1"/>
    </xf>
    <xf numFmtId="0" fontId="0" fillId="0" borderId="10" xfId="0" applyBorder="1" applyAlignment="1">
      <alignment horizontal="centerContinuous" wrapText="1"/>
    </xf>
    <xf numFmtId="0" fontId="0" fillId="8" borderId="0" xfId="0" applyFill="1"/>
    <xf numFmtId="164" fontId="0" fillId="8" borderId="0" xfId="0" applyNumberFormat="1" applyFill="1"/>
    <xf numFmtId="0" fontId="0" fillId="7" borderId="0" xfId="0" applyFill="1"/>
    <xf numFmtId="168" fontId="11" fillId="3" borderId="19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wrapText="1"/>
    </xf>
    <xf numFmtId="0" fontId="13" fillId="0" borderId="0" xfId="0" applyFont="1"/>
    <xf numFmtId="0" fontId="0" fillId="0" borderId="20" xfId="0" applyBorder="1"/>
    <xf numFmtId="0" fontId="0" fillId="0" borderId="21" xfId="0" applyBorder="1"/>
    <xf numFmtId="164" fontId="13" fillId="0" borderId="4" xfId="2" applyNumberFormat="1" applyFont="1" applyBorder="1"/>
    <xf numFmtId="44" fontId="13" fillId="0" borderId="0" xfId="0" applyNumberFormat="1" applyFont="1"/>
    <xf numFmtId="0" fontId="12" fillId="0" borderId="0" xfId="0" applyFont="1" applyFill="1" applyAlignment="1">
      <alignment horizontal="left"/>
    </xf>
    <xf numFmtId="6" fontId="13" fillId="0" borderId="0" xfId="0" applyNumberFormat="1" applyFont="1" applyFill="1"/>
    <xf numFmtId="0" fontId="13" fillId="0" borderId="0" xfId="0" applyFont="1" applyFill="1"/>
    <xf numFmtId="168" fontId="3" fillId="3" borderId="22" xfId="0" applyNumberFormat="1" applyFont="1" applyFill="1" applyBorder="1" applyAlignment="1">
      <alignment horizontal="center" vertical="center" wrapText="1"/>
    </xf>
    <xf numFmtId="168" fontId="3" fillId="3" borderId="23" xfId="0" applyNumberFormat="1" applyFont="1" applyFill="1" applyBorder="1" applyAlignment="1">
      <alignment horizontal="center" vertical="center" wrapText="1"/>
    </xf>
    <xf numFmtId="168" fontId="3" fillId="3" borderId="24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/>
    <xf numFmtId="0" fontId="0" fillId="0" borderId="0" xfId="0" applyAlignment="1">
      <alignment horizontal="left"/>
    </xf>
    <xf numFmtId="0" fontId="14" fillId="0" borderId="0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top"/>
    </xf>
    <xf numFmtId="6" fontId="14" fillId="3" borderId="0" xfId="5" applyNumberFormat="1" applyFont="1" applyFill="1" applyBorder="1" applyAlignment="1" applyProtection="1">
      <alignment horizontal="center" vertical="center" wrapText="1"/>
    </xf>
    <xf numFmtId="164" fontId="0" fillId="0" borderId="25" xfId="0" applyNumberFormat="1" applyFill="1" applyBorder="1"/>
    <xf numFmtId="0" fontId="14" fillId="0" borderId="0" xfId="0" applyFont="1" applyFill="1" applyBorder="1" applyAlignment="1" applyProtection="1">
      <alignment horizontal="left" wrapText="1"/>
      <protection locked="0"/>
    </xf>
    <xf numFmtId="9" fontId="16" fillId="3" borderId="4" xfId="16" applyFont="1" applyFill="1" applyBorder="1" applyAlignment="1">
      <alignment horizontal="left" vertical="center"/>
    </xf>
    <xf numFmtId="168" fontId="3" fillId="3" borderId="26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 applyProtection="1">
      <alignment horizontal="left" vertical="center"/>
    </xf>
    <xf numFmtId="0" fontId="15" fillId="0" borderId="0" xfId="0" applyFont="1" applyFill="1" applyBorder="1" applyAlignment="1" applyProtection="1">
      <alignment horizontal="left" wrapText="1"/>
      <protection locked="0"/>
    </xf>
    <xf numFmtId="169" fontId="0" fillId="0" borderId="0" xfId="3" applyNumberFormat="1" applyFont="1"/>
    <xf numFmtId="10" fontId="0" fillId="0" borderId="0" xfId="3" applyNumberFormat="1" applyFont="1"/>
    <xf numFmtId="8" fontId="0" fillId="0" borderId="0" xfId="0" applyNumberFormat="1"/>
    <xf numFmtId="164" fontId="0" fillId="0" borderId="25" xfId="2" applyNumberFormat="1" applyFont="1" applyBorder="1"/>
    <xf numFmtId="0" fontId="9" fillId="0" borderId="0" xfId="0" applyFont="1" applyBorder="1"/>
    <xf numFmtId="169" fontId="0" fillId="0" borderId="0" xfId="3" applyNumberFormat="1" applyFont="1" applyBorder="1"/>
    <xf numFmtId="6" fontId="0" fillId="9" borderId="0" xfId="0" applyNumberFormat="1" applyFill="1"/>
    <xf numFmtId="164" fontId="9" fillId="0" borderId="0" xfId="0" applyNumberFormat="1" applyFont="1" applyBorder="1"/>
    <xf numFmtId="164" fontId="0" fillId="10" borderId="0" xfId="0" applyNumberFormat="1" applyFill="1" applyBorder="1"/>
    <xf numFmtId="6" fontId="0" fillId="10" borderId="0" xfId="0" applyNumberFormat="1" applyFill="1"/>
    <xf numFmtId="170" fontId="3" fillId="0" borderId="0" xfId="19" applyNumberFormat="1" applyFont="1" applyFill="1" applyBorder="1" applyAlignment="1"/>
    <xf numFmtId="6" fontId="13" fillId="0" borderId="0" xfId="0" applyNumberFormat="1" applyFont="1"/>
    <xf numFmtId="44" fontId="13" fillId="0" borderId="0" xfId="0" applyNumberFormat="1" applyFont="1" applyAlignment="1">
      <alignment horizontal="right"/>
    </xf>
    <xf numFmtId="0" fontId="13" fillId="0" borderId="0" xfId="0" applyFont="1" applyFill="1" applyAlignment="1">
      <alignment horizontal="right"/>
    </xf>
    <xf numFmtId="0" fontId="13" fillId="0" borderId="27" xfId="0" applyFont="1" applyFill="1" applyBorder="1"/>
    <xf numFmtId="0" fontId="13" fillId="0" borderId="28" xfId="20" applyFont="1" applyFill="1" applyBorder="1"/>
    <xf numFmtId="0" fontId="13" fillId="0" borderId="29" xfId="0" applyFont="1" applyFill="1" applyBorder="1"/>
    <xf numFmtId="0" fontId="13" fillId="0" borderId="31" xfId="0" applyFont="1" applyFill="1" applyBorder="1"/>
    <xf numFmtId="0" fontId="13" fillId="0" borderId="33" xfId="0" applyFont="1" applyFill="1" applyBorder="1"/>
    <xf numFmtId="170" fontId="12" fillId="0" borderId="30" xfId="19" applyNumberFormat="1" applyFont="1" applyFill="1" applyBorder="1" applyAlignment="1"/>
    <xf numFmtId="170" fontId="12" fillId="0" borderId="0" xfId="19" applyNumberFormat="1" applyFont="1" applyFill="1" applyBorder="1" applyAlignment="1"/>
    <xf numFmtId="170" fontId="12" fillId="0" borderId="32" xfId="19" applyNumberFormat="1" applyFont="1" applyFill="1" applyBorder="1" applyAlignment="1"/>
    <xf numFmtId="170" fontId="12" fillId="0" borderId="7" xfId="19" applyNumberFormat="1" applyFont="1" applyFill="1" applyBorder="1" applyAlignment="1"/>
    <xf numFmtId="0" fontId="13" fillId="0" borderId="0" xfId="0" applyFont="1" applyFill="1" applyBorder="1"/>
    <xf numFmtId="170" fontId="11" fillId="0" borderId="27" xfId="19" applyNumberFormat="1" applyFont="1" applyFill="1" applyBorder="1" applyAlignment="1">
      <alignment horizontal="left"/>
    </xf>
    <xf numFmtId="0" fontId="13" fillId="0" borderId="28" xfId="0" applyFont="1" applyBorder="1"/>
    <xf numFmtId="0" fontId="13" fillId="0" borderId="29" xfId="0" applyFont="1" applyBorder="1"/>
    <xf numFmtId="164" fontId="0" fillId="0" borderId="25" xfId="0" applyNumberFormat="1" applyBorder="1"/>
    <xf numFmtId="0" fontId="0" fillId="0" borderId="0" xfId="0" applyFill="1" applyBorder="1" applyAlignment="1">
      <alignment wrapText="1"/>
    </xf>
    <xf numFmtId="164" fontId="0" fillId="0" borderId="0" xfId="2" applyNumberFormat="1" applyFont="1" applyFill="1" applyBorder="1"/>
    <xf numFmtId="169" fontId="0" fillId="0" borderId="0" xfId="0" applyNumberFormat="1"/>
    <xf numFmtId="0" fontId="18" fillId="0" borderId="0" xfId="0" applyFont="1"/>
    <xf numFmtId="10" fontId="0" fillId="0" borderId="0" xfId="3" applyNumberFormat="1" applyFont="1" applyFill="1"/>
    <xf numFmtId="10" fontId="0" fillId="0" borderId="0" xfId="3" applyNumberFormat="1" applyFont="1" applyFill="1" applyBorder="1"/>
    <xf numFmtId="44" fontId="0" fillId="0" borderId="0" xfId="2" applyFont="1" applyFill="1"/>
    <xf numFmtId="0" fontId="20" fillId="0" borderId="0" xfId="0" applyFont="1" applyFill="1" applyBorder="1" applyAlignment="1" applyProtection="1">
      <alignment vertical="center" wrapText="1"/>
    </xf>
    <xf numFmtId="0" fontId="17" fillId="0" borderId="0" xfId="0" applyFont="1"/>
    <xf numFmtId="0" fontId="0" fillId="8" borderId="0" xfId="0" applyFill="1" applyBorder="1"/>
    <xf numFmtId="169" fontId="0" fillId="8" borderId="0" xfId="3" applyNumberFormat="1" applyFont="1" applyFill="1" applyBorder="1"/>
    <xf numFmtId="0" fontId="9" fillId="8" borderId="0" xfId="0" applyFont="1" applyFill="1" applyBorder="1"/>
    <xf numFmtId="164" fontId="0" fillId="8" borderId="0" xfId="0" applyNumberFormat="1" applyFill="1" applyBorder="1"/>
    <xf numFmtId="0" fontId="18" fillId="8" borderId="0" xfId="0" applyFont="1" applyFill="1"/>
    <xf numFmtId="0" fontId="20" fillId="0" borderId="0" xfId="0" applyFont="1" applyFill="1" applyBorder="1" applyAlignment="1" applyProtection="1">
      <alignment horizontal="left" vertical="center"/>
    </xf>
    <xf numFmtId="0" fontId="20" fillId="0" borderId="0" xfId="0" applyFont="1" applyFill="1" applyBorder="1" applyAlignment="1" applyProtection="1">
      <alignment horizontal="left" wrapText="1"/>
    </xf>
    <xf numFmtId="0" fontId="13" fillId="0" borderId="0" xfId="0" applyFont="1" applyAlignment="1">
      <alignment horizontal="right"/>
    </xf>
    <xf numFmtId="44" fontId="13" fillId="0" borderId="0" xfId="2" applyFont="1"/>
    <xf numFmtId="43" fontId="0" fillId="0" borderId="0" xfId="1" applyFont="1" applyFill="1"/>
    <xf numFmtId="0" fontId="18" fillId="7" borderId="0" xfId="0" applyFont="1" applyFill="1"/>
    <xf numFmtId="170" fontId="21" fillId="7" borderId="0" xfId="19" applyNumberFormat="1" applyFont="1" applyFill="1" applyBorder="1" applyAlignment="1"/>
    <xf numFmtId="0" fontId="21" fillId="7" borderId="0" xfId="0" applyFont="1" applyFill="1" applyBorder="1"/>
    <xf numFmtId="164" fontId="13" fillId="0" borderId="0" xfId="2" applyNumberFormat="1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 wrapText="1"/>
    </xf>
    <xf numFmtId="0" fontId="13" fillId="7" borderId="0" xfId="0" applyFont="1" applyFill="1" applyAlignment="1">
      <alignment horizontal="right"/>
    </xf>
    <xf numFmtId="10" fontId="0" fillId="7" borderId="0" xfId="3" applyNumberFormat="1" applyFont="1" applyFill="1"/>
    <xf numFmtId="164" fontId="0" fillId="2" borderId="12" xfId="2" applyNumberFormat="1" applyFont="1" applyFill="1" applyBorder="1"/>
    <xf numFmtId="164" fontId="0" fillId="2" borderId="4" xfId="2" applyNumberFormat="1" applyFont="1" applyFill="1" applyBorder="1"/>
    <xf numFmtId="164" fontId="0" fillId="2" borderId="13" xfId="2" applyNumberFormat="1" applyFont="1" applyFill="1" applyBorder="1"/>
    <xf numFmtId="164" fontId="0" fillId="2" borderId="14" xfId="2" applyNumberFormat="1" applyFont="1" applyFill="1" applyBorder="1"/>
    <xf numFmtId="0" fontId="0" fillId="11" borderId="0" xfId="0" applyFill="1"/>
    <xf numFmtId="6" fontId="0" fillId="0" borderId="0" xfId="0" applyNumberFormat="1" applyAlignment="1">
      <alignment wrapText="1"/>
    </xf>
    <xf numFmtId="0" fontId="4" fillId="12" borderId="0" xfId="0" applyFont="1" applyFill="1" applyBorder="1" applyAlignment="1"/>
    <xf numFmtId="5" fontId="24" fillId="0" borderId="0" xfId="0" applyNumberFormat="1" applyFont="1" applyFill="1" applyBorder="1" applyAlignment="1" applyProtection="1">
      <protection locked="0"/>
    </xf>
    <xf numFmtId="6" fontId="15" fillId="0" borderId="0" xfId="0" applyNumberFormat="1" applyFont="1" applyFill="1" applyBorder="1" applyAlignment="1" applyProtection="1">
      <protection locked="0"/>
    </xf>
    <xf numFmtId="164" fontId="24" fillId="0" borderId="0" xfId="21" applyNumberFormat="1" applyFont="1" applyFill="1" applyBorder="1" applyAlignment="1" applyProtection="1">
      <protection locked="0"/>
    </xf>
    <xf numFmtId="0" fontId="4" fillId="0" borderId="0" xfId="0" applyFont="1" applyFill="1" applyBorder="1" applyAlignment="1"/>
    <xf numFmtId="6" fontId="4" fillId="0" borderId="0" xfId="0" applyNumberFormat="1" applyFont="1" applyFill="1" applyBorder="1" applyAlignment="1" applyProtection="1">
      <protection locked="0"/>
    </xf>
    <xf numFmtId="0" fontId="0" fillId="0" borderId="35" xfId="0" applyBorder="1"/>
    <xf numFmtId="37" fontId="2" fillId="0" borderId="0" xfId="0" applyNumberFormat="1" applyFont="1" applyFill="1"/>
    <xf numFmtId="164" fontId="0" fillId="2" borderId="8" xfId="2" applyNumberFormat="1" applyFont="1" applyFill="1" applyBorder="1"/>
    <xf numFmtId="9" fontId="0" fillId="0" borderId="4" xfId="0" applyNumberFormat="1" applyFill="1" applyBorder="1"/>
    <xf numFmtId="0" fontId="26" fillId="0" borderId="0" xfId="0" applyFont="1"/>
    <xf numFmtId="0" fontId="26" fillId="0" borderId="0" xfId="0" applyNumberFormat="1" applyFont="1"/>
    <xf numFmtId="0" fontId="26" fillId="0" borderId="4" xfId="0" applyFont="1" applyBorder="1"/>
    <xf numFmtId="0" fontId="15" fillId="3" borderId="4" xfId="0" applyNumberFormat="1" applyFont="1" applyFill="1" applyBorder="1" applyAlignment="1">
      <alignment horizontal="center" vertical="center"/>
    </xf>
    <xf numFmtId="0" fontId="15" fillId="3" borderId="34" xfId="0" applyNumberFormat="1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/>
    </xf>
    <xf numFmtId="0" fontId="15" fillId="3" borderId="7" xfId="0" applyNumberFormat="1" applyFont="1" applyFill="1" applyBorder="1" applyAlignment="1">
      <alignment horizontal="center" vertical="center"/>
    </xf>
    <xf numFmtId="0" fontId="15" fillId="3" borderId="23" xfId="0" applyFont="1" applyFill="1" applyBorder="1" applyAlignment="1" applyProtection="1">
      <alignment horizontal="center" vertical="center" wrapText="1"/>
    </xf>
    <xf numFmtId="0" fontId="15" fillId="3" borderId="23" xfId="0" applyNumberFormat="1" applyFont="1" applyFill="1" applyBorder="1" applyAlignment="1">
      <alignment horizontal="center" vertical="center" wrapText="1"/>
    </xf>
    <xf numFmtId="0" fontId="15" fillId="3" borderId="34" xfId="0" applyNumberFormat="1" applyFont="1" applyFill="1" applyBorder="1" applyAlignment="1">
      <alignment horizontal="center" vertical="center" wrapText="1"/>
    </xf>
    <xf numFmtId="0" fontId="15" fillId="3" borderId="2" xfId="0" applyNumberFormat="1" applyFont="1" applyFill="1" applyBorder="1" applyAlignment="1">
      <alignment horizontal="center" vertical="center" wrapText="1"/>
    </xf>
    <xf numFmtId="0" fontId="15" fillId="3" borderId="0" xfId="0" applyFont="1" applyFill="1" applyBorder="1" applyAlignment="1" applyProtection="1">
      <alignment horizontal="center" vertical="center" wrapText="1"/>
    </xf>
    <xf numFmtId="164" fontId="26" fillId="0" borderId="0" xfId="2" applyNumberFormat="1" applyFont="1" applyBorder="1"/>
    <xf numFmtId="0" fontId="15" fillId="3" borderId="0" xfId="0" applyNumberFormat="1" applyFont="1" applyFill="1" applyBorder="1" applyAlignment="1">
      <alignment horizontal="center" vertical="center" wrapText="1"/>
    </xf>
    <xf numFmtId="0" fontId="26" fillId="0" borderId="0" xfId="2" applyNumberFormat="1" applyFont="1"/>
    <xf numFmtId="164" fontId="26" fillId="0" borderId="0" xfId="0" applyNumberFormat="1" applyFont="1"/>
    <xf numFmtId="164" fontId="26" fillId="0" borderId="0" xfId="2" applyNumberFormat="1" applyFont="1"/>
    <xf numFmtId="1" fontId="15" fillId="4" borderId="0" xfId="0" applyNumberFormat="1" applyFont="1" applyFill="1" applyBorder="1" applyAlignment="1" applyProtection="1">
      <alignment horizontal="left" vertical="center"/>
    </xf>
    <xf numFmtId="0" fontId="15" fillId="4" borderId="0" xfId="0" applyFont="1" applyFill="1" applyBorder="1" applyAlignment="1" applyProtection="1">
      <alignment horizontal="left" vertical="center" wrapText="1"/>
    </xf>
    <xf numFmtId="0" fontId="15" fillId="5" borderId="0" xfId="0" applyFont="1" applyFill="1" applyBorder="1" applyAlignment="1" applyProtection="1">
      <alignment horizontal="left" vertical="center"/>
    </xf>
    <xf numFmtId="0" fontId="15" fillId="5" borderId="0" xfId="0" applyFont="1" applyFill="1" applyBorder="1" applyAlignment="1" applyProtection="1">
      <alignment vertical="center" wrapText="1"/>
    </xf>
    <xf numFmtId="44" fontId="26" fillId="0" borderId="0" xfId="0" applyNumberFormat="1" applyFont="1"/>
    <xf numFmtId="0" fontId="26" fillId="0" borderId="0" xfId="0" applyFont="1" applyAlignment="1">
      <alignment wrapText="1"/>
    </xf>
    <xf numFmtId="0" fontId="0" fillId="0" borderId="34" xfId="0" applyBorder="1"/>
    <xf numFmtId="0" fontId="4" fillId="0" borderId="0" xfId="13" applyProtection="1"/>
    <xf numFmtId="0" fontId="27" fillId="13" borderId="0" xfId="13" applyFont="1" applyFill="1" applyAlignment="1" applyProtection="1">
      <alignment horizontal="center" vertical="center"/>
    </xf>
    <xf numFmtId="0" fontId="3" fillId="0" borderId="0" xfId="13" applyFont="1" applyAlignment="1" applyProtection="1">
      <alignment horizontal="center" vertical="center"/>
    </xf>
    <xf numFmtId="0" fontId="4" fillId="3" borderId="0" xfId="13" applyFill="1" applyProtection="1"/>
    <xf numFmtId="0" fontId="4" fillId="3" borderId="0" xfId="13" applyFont="1" applyFill="1" applyProtection="1"/>
    <xf numFmtId="0" fontId="6" fillId="3" borderId="0" xfId="13" applyFont="1" applyFill="1" applyBorder="1" applyAlignment="1" applyProtection="1">
      <alignment wrapText="1"/>
    </xf>
    <xf numFmtId="0" fontId="3" fillId="0" borderId="0" xfId="13" applyFont="1" applyAlignment="1" applyProtection="1">
      <alignment horizontal="center" wrapText="1"/>
    </xf>
    <xf numFmtId="0" fontId="4" fillId="3" borderId="0" xfId="13" applyFont="1" applyFill="1" applyAlignment="1" applyProtection="1">
      <alignment horizontal="center"/>
    </xf>
    <xf numFmtId="173" fontId="4" fillId="3" borderId="0" xfId="7" applyNumberFormat="1" applyFont="1" applyFill="1" applyProtection="1"/>
    <xf numFmtId="171" fontId="4" fillId="3" borderId="37" xfId="22" applyNumberFormat="1" applyFont="1" applyFill="1" applyBorder="1" applyProtection="1"/>
    <xf numFmtId="166" fontId="4" fillId="3" borderId="37" xfId="7" applyFont="1" applyFill="1" applyBorder="1" applyProtection="1"/>
    <xf numFmtId="173" fontId="4" fillId="3" borderId="37" xfId="7" applyNumberFormat="1" applyFont="1" applyFill="1" applyBorder="1" applyProtection="1"/>
    <xf numFmtId="0" fontId="28" fillId="3" borderId="0" xfId="13" applyFont="1" applyFill="1" applyProtection="1"/>
    <xf numFmtId="0" fontId="29" fillId="3" borderId="0" xfId="13" applyFont="1" applyFill="1" applyAlignment="1" applyProtection="1">
      <alignment horizontal="center" wrapText="1"/>
    </xf>
    <xf numFmtId="171" fontId="4" fillId="14" borderId="36" xfId="22" applyNumberFormat="1" applyFont="1" applyFill="1" applyBorder="1" applyProtection="1">
      <protection locked="0"/>
    </xf>
    <xf numFmtId="7" fontId="4" fillId="14" borderId="36" xfId="7" applyNumberFormat="1" applyFont="1" applyFill="1" applyBorder="1" applyAlignment="1" applyProtection="1">
      <alignment horizontal="center"/>
      <protection locked="0"/>
    </xf>
    <xf numFmtId="173" fontId="4" fillId="14" borderId="36" xfId="7" applyNumberFormat="1" applyFont="1" applyFill="1" applyBorder="1" applyProtection="1">
      <protection locked="0"/>
    </xf>
    <xf numFmtId="174" fontId="4" fillId="15" borderId="36" xfId="7" applyNumberFormat="1" applyFont="1" applyFill="1" applyBorder="1" applyAlignment="1" applyProtection="1">
      <alignment horizontal="center"/>
      <protection locked="0"/>
    </xf>
    <xf numFmtId="175" fontId="4" fillId="3" borderId="37" xfId="7" applyNumberFormat="1" applyFont="1" applyFill="1" applyBorder="1" applyProtection="1"/>
    <xf numFmtId="0" fontId="4" fillId="0" borderId="4" xfId="13" applyBorder="1" applyProtection="1"/>
    <xf numFmtId="0" fontId="4" fillId="3" borderId="4" xfId="13" applyFill="1" applyBorder="1" applyProtection="1"/>
    <xf numFmtId="169" fontId="4" fillId="0" borderId="4" xfId="3" applyNumberFormat="1" applyFont="1" applyBorder="1" applyProtection="1"/>
    <xf numFmtId="169" fontId="0" fillId="0" borderId="0" xfId="3" applyNumberFormat="1" applyFont="1" applyFill="1"/>
    <xf numFmtId="169" fontId="0" fillId="0" borderId="0" xfId="3" applyNumberFormat="1" applyFont="1" applyFill="1" applyBorder="1"/>
    <xf numFmtId="169" fontId="8" fillId="0" borderId="0" xfId="3" applyNumberFormat="1" applyFont="1" applyFill="1" applyBorder="1"/>
    <xf numFmtId="169" fontId="4" fillId="9" borderId="4" xfId="3" applyNumberFormat="1" applyFont="1" applyFill="1" applyBorder="1" applyProtection="1"/>
    <xf numFmtId="0" fontId="4" fillId="0" borderId="4" xfId="13" applyBorder="1" applyAlignment="1" applyProtection="1">
      <alignment horizontal="center"/>
    </xf>
    <xf numFmtId="0" fontId="0" fillId="0" borderId="0" xfId="0" applyNumberFormat="1" applyFill="1"/>
    <xf numFmtId="0" fontId="0" fillId="0" borderId="0" xfId="0" applyFill="1" applyBorder="1" applyAlignment="1">
      <alignment horizontal="right"/>
    </xf>
    <xf numFmtId="6" fontId="3" fillId="0" borderId="4" xfId="21" applyNumberFormat="1" applyFont="1" applyFill="1" applyBorder="1" applyAlignment="1" applyProtection="1">
      <alignment horizontal="center" vertical="center" wrapText="1"/>
    </xf>
    <xf numFmtId="171" fontId="3" fillId="0" borderId="4" xfId="21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/>
    <xf numFmtId="0" fontId="0" fillId="0" borderId="0" xfId="0" applyFont="1" applyFill="1"/>
    <xf numFmtId="0" fontId="0" fillId="0" borderId="9" xfId="0" applyFont="1" applyFill="1" applyBorder="1" applyAlignment="1">
      <alignment horizontal="centerContinuous"/>
    </xf>
    <xf numFmtId="0" fontId="0" fillId="0" borderId="10" xfId="0" applyFont="1" applyFill="1" applyBorder="1" applyAlignment="1">
      <alignment horizontal="centerContinuous"/>
    </xf>
    <xf numFmtId="0" fontId="0" fillId="0" borderId="11" xfId="0" applyFont="1" applyFill="1" applyBorder="1" applyAlignment="1">
      <alignment horizontal="centerContinuous"/>
    </xf>
    <xf numFmtId="168" fontId="19" fillId="0" borderId="12" xfId="0" applyNumberFormat="1" applyFont="1" applyFill="1" applyBorder="1" applyAlignment="1">
      <alignment horizontal="center" vertical="center" wrapText="1"/>
    </xf>
    <xf numFmtId="168" fontId="19" fillId="0" borderId="4" xfId="0" applyNumberFormat="1" applyFont="1" applyFill="1" applyBorder="1" applyAlignment="1">
      <alignment horizontal="center" vertical="center" wrapText="1"/>
    </xf>
    <xf numFmtId="168" fontId="19" fillId="0" borderId="8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164" fontId="0" fillId="0" borderId="0" xfId="0" applyNumberFormat="1" applyFont="1" applyFill="1"/>
    <xf numFmtId="0" fontId="0" fillId="0" borderId="0" xfId="0" applyFont="1" applyFill="1" applyAlignment="1">
      <alignment wrapText="1"/>
    </xf>
    <xf numFmtId="164" fontId="9" fillId="0" borderId="8" xfId="2" applyNumberFormat="1" applyFont="1" applyBorder="1"/>
    <xf numFmtId="164" fontId="9" fillId="0" borderId="15" xfId="2" applyNumberFormat="1" applyFont="1" applyBorder="1"/>
    <xf numFmtId="0" fontId="8" fillId="0" borderId="0" xfId="0" applyFont="1" applyFill="1"/>
    <xf numFmtId="0" fontId="8" fillId="0" borderId="0" xfId="0" applyFont="1" applyFill="1" applyBorder="1" applyAlignment="1">
      <alignment horizontal="right"/>
    </xf>
    <xf numFmtId="169" fontId="4" fillId="0" borderId="4" xfId="3" applyNumberFormat="1" applyFont="1" applyFill="1" applyBorder="1" applyProtection="1"/>
    <xf numFmtId="0" fontId="0" fillId="0" borderId="0" xfId="0" applyFill="1" applyAlignment="1">
      <alignment horizontal="center"/>
    </xf>
    <xf numFmtId="164" fontId="0" fillId="0" borderId="0" xfId="0" applyNumberFormat="1" applyFill="1"/>
    <xf numFmtId="168" fontId="11" fillId="0" borderId="0" xfId="0" applyNumberFormat="1" applyFont="1" applyFill="1" applyBorder="1" applyAlignment="1">
      <alignment horizontal="center" vertical="center" wrapText="1"/>
    </xf>
    <xf numFmtId="6" fontId="13" fillId="0" borderId="0" xfId="0" applyNumberFormat="1" applyFont="1" applyFill="1" applyBorder="1"/>
    <xf numFmtId="10" fontId="13" fillId="0" borderId="0" xfId="3" applyNumberFormat="1" applyFont="1" applyFill="1" applyBorder="1"/>
    <xf numFmtId="164" fontId="13" fillId="0" borderId="8" xfId="2" applyNumberFormat="1" applyFont="1" applyBorder="1"/>
    <xf numFmtId="0" fontId="0" fillId="0" borderId="40" xfId="0" applyBorder="1"/>
    <xf numFmtId="164" fontId="13" fillId="0" borderId="23" xfId="2" applyNumberFormat="1" applyFont="1" applyBorder="1"/>
    <xf numFmtId="164" fontId="13" fillId="0" borderId="24" xfId="2" applyNumberFormat="1" applyFont="1" applyBorder="1"/>
    <xf numFmtId="164" fontId="30" fillId="0" borderId="1" xfId="2" applyNumberFormat="1" applyFont="1" applyBorder="1"/>
    <xf numFmtId="164" fontId="30" fillId="0" borderId="41" xfId="2" applyNumberFormat="1" applyFont="1" applyBorder="1"/>
    <xf numFmtId="0" fontId="30" fillId="0" borderId="38" xfId="0" applyFont="1" applyBorder="1" applyAlignment="1">
      <alignment horizontal="right" indent="1"/>
    </xf>
    <xf numFmtId="164" fontId="13" fillId="0" borderId="12" xfId="2" applyNumberFormat="1" applyFont="1" applyBorder="1"/>
    <xf numFmtId="164" fontId="13" fillId="0" borderId="22" xfId="2" applyNumberFormat="1" applyFont="1" applyBorder="1"/>
    <xf numFmtId="164" fontId="30" fillId="0" borderId="42" xfId="2" applyNumberFormat="1" applyFont="1" applyBorder="1"/>
    <xf numFmtId="0" fontId="0" fillId="0" borderId="43" xfId="0" applyBorder="1"/>
    <xf numFmtId="164" fontId="13" fillId="0" borderId="44" xfId="2" applyNumberFormat="1" applyFont="1" applyBorder="1"/>
    <xf numFmtId="164" fontId="13" fillId="0" borderId="45" xfId="2" applyNumberFormat="1" applyFont="1" applyBorder="1"/>
    <xf numFmtId="164" fontId="13" fillId="0" borderId="46" xfId="2" applyNumberFormat="1" applyFont="1" applyBorder="1"/>
    <xf numFmtId="168" fontId="3" fillId="3" borderId="13" xfId="0" applyNumberFormat="1" applyFont="1" applyFill="1" applyBorder="1" applyAlignment="1">
      <alignment horizontal="center" vertical="center" wrapText="1"/>
    </xf>
    <xf numFmtId="168" fontId="3" fillId="3" borderId="14" xfId="0" applyNumberFormat="1" applyFont="1" applyFill="1" applyBorder="1" applyAlignment="1">
      <alignment horizontal="center" vertical="center" wrapText="1"/>
    </xf>
    <xf numFmtId="168" fontId="3" fillId="3" borderId="15" xfId="0" applyNumberFormat="1" applyFont="1" applyFill="1" applyBorder="1" applyAlignment="1">
      <alignment horizontal="center" vertical="center" wrapText="1"/>
    </xf>
    <xf numFmtId="0" fontId="30" fillId="0" borderId="27" xfId="0" applyFont="1" applyBorder="1"/>
    <xf numFmtId="0" fontId="8" fillId="0" borderId="9" xfId="0" applyFont="1" applyBorder="1" applyAlignment="1">
      <alignment horizontal="centerContinuous"/>
    </xf>
    <xf numFmtId="0" fontId="8" fillId="0" borderId="10" xfId="0" applyFont="1" applyBorder="1" applyAlignment="1">
      <alignment horizontal="centerContinuous"/>
    </xf>
    <xf numFmtId="0" fontId="8" fillId="0" borderId="11" xfId="0" applyFont="1" applyBorder="1" applyAlignment="1">
      <alignment horizontal="centerContinuous"/>
    </xf>
    <xf numFmtId="0" fontId="3" fillId="3" borderId="21" xfId="0" applyNumberFormat="1" applyFont="1" applyFill="1" applyBorder="1" applyAlignment="1">
      <alignment horizontal="center" vertical="center" wrapText="1"/>
    </xf>
    <xf numFmtId="0" fontId="8" fillId="0" borderId="35" xfId="0" applyFont="1" applyBorder="1"/>
    <xf numFmtId="164" fontId="13" fillId="0" borderId="12" xfId="0" applyNumberFormat="1" applyFont="1" applyFill="1" applyBorder="1"/>
    <xf numFmtId="164" fontId="13" fillId="0" borderId="4" xfId="0" applyNumberFormat="1" applyFont="1" applyFill="1" applyBorder="1"/>
    <xf numFmtId="164" fontId="13" fillId="0" borderId="8" xfId="0" applyNumberFormat="1" applyFont="1" applyFill="1" applyBorder="1"/>
    <xf numFmtId="164" fontId="13" fillId="0" borderId="13" xfId="0" applyNumberFormat="1" applyFont="1" applyFill="1" applyBorder="1"/>
    <xf numFmtId="164" fontId="13" fillId="0" borderId="14" xfId="0" applyNumberFormat="1" applyFont="1" applyFill="1" applyBorder="1"/>
    <xf numFmtId="164" fontId="13" fillId="0" borderId="15" xfId="0" applyNumberFormat="1" applyFont="1" applyFill="1" applyBorder="1"/>
    <xf numFmtId="164" fontId="13" fillId="0" borderId="9" xfId="0" applyNumberFormat="1" applyFont="1" applyFill="1" applyBorder="1"/>
    <xf numFmtId="164" fontId="13" fillId="0" borderId="10" xfId="0" applyNumberFormat="1" applyFont="1" applyFill="1" applyBorder="1"/>
    <xf numFmtId="164" fontId="13" fillId="0" borderId="11" xfId="0" applyNumberFormat="1" applyFont="1" applyFill="1" applyBorder="1"/>
    <xf numFmtId="164" fontId="30" fillId="0" borderId="32" xfId="0" applyNumberFormat="1" applyFont="1" applyBorder="1"/>
    <xf numFmtId="164" fontId="30" fillId="0" borderId="7" xfId="0" applyNumberFormat="1" applyFont="1" applyBorder="1"/>
    <xf numFmtId="0" fontId="30" fillId="0" borderId="32" xfId="0" applyFont="1" applyBorder="1" applyAlignment="1">
      <alignment horizontal="right"/>
    </xf>
    <xf numFmtId="164" fontId="13" fillId="0" borderId="47" xfId="0" applyNumberFormat="1" applyFont="1" applyFill="1" applyBorder="1"/>
    <xf numFmtId="164" fontId="13" fillId="0" borderId="26" xfId="0" applyNumberFormat="1" applyFont="1" applyFill="1" applyBorder="1"/>
    <xf numFmtId="164" fontId="13" fillId="0" borderId="19" xfId="0" applyNumberFormat="1" applyFont="1" applyFill="1" applyBorder="1"/>
    <xf numFmtId="164" fontId="13" fillId="0" borderId="48" xfId="0" applyNumberFormat="1" applyFont="1" applyBorder="1"/>
    <xf numFmtId="164" fontId="13" fillId="0" borderId="49" xfId="0" applyNumberFormat="1" applyFont="1" applyBorder="1"/>
    <xf numFmtId="164" fontId="13" fillId="0" borderId="50" xfId="0" applyNumberFormat="1" applyFont="1" applyBorder="1"/>
    <xf numFmtId="164" fontId="30" fillId="0" borderId="39" xfId="0" applyNumberFormat="1" applyFont="1" applyBorder="1"/>
    <xf numFmtId="0" fontId="8" fillId="0" borderId="38" xfId="0" applyFont="1" applyBorder="1" applyAlignment="1">
      <alignment horizontal="left" indent="1"/>
    </xf>
    <xf numFmtId="164" fontId="30" fillId="0" borderId="33" xfId="0" applyNumberFormat="1" applyFont="1" applyBorder="1"/>
    <xf numFmtId="0" fontId="8" fillId="0" borderId="35" xfId="0" applyFont="1" applyBorder="1" applyAlignment="1">
      <alignment horizontal="center"/>
    </xf>
    <xf numFmtId="164" fontId="13" fillId="0" borderId="51" xfId="0" applyNumberFormat="1" applyFont="1" applyBorder="1"/>
    <xf numFmtId="164" fontId="13" fillId="0" borderId="52" xfId="0" applyNumberFormat="1" applyFont="1" applyBorder="1"/>
    <xf numFmtId="164" fontId="13" fillId="0" borderId="53" xfId="0" applyNumberFormat="1" applyFont="1" applyBorder="1"/>
    <xf numFmtId="164" fontId="13" fillId="0" borderId="54" xfId="0" applyNumberFormat="1" applyFont="1" applyBorder="1"/>
    <xf numFmtId="164" fontId="13" fillId="0" borderId="37" xfId="0" applyNumberFormat="1" applyFont="1" applyBorder="1"/>
    <xf numFmtId="164" fontId="1" fillId="2" borderId="0" xfId="2" applyNumberFormat="1" applyFont="1" applyFill="1"/>
    <xf numFmtId="37" fontId="0" fillId="0" borderId="0" xfId="0" applyNumberFormat="1" applyFill="1"/>
    <xf numFmtId="164" fontId="1" fillId="0" borderId="0" xfId="2" applyNumberFormat="1" applyFont="1"/>
    <xf numFmtId="164" fontId="20" fillId="0" borderId="0" xfId="2" applyNumberFormat="1" applyFont="1" applyFill="1"/>
    <xf numFmtId="164" fontId="20" fillId="0" borderId="0" xfId="2" applyNumberFormat="1" applyFont="1" applyFill="1" applyAlignment="1">
      <alignment horizontal="center"/>
    </xf>
    <xf numFmtId="164" fontId="20" fillId="2" borderId="0" xfId="2" applyNumberFormat="1" applyFont="1" applyFill="1"/>
    <xf numFmtId="164" fontId="0" fillId="0" borderId="26" xfId="2" applyNumberFormat="1" applyFont="1" applyBorder="1"/>
    <xf numFmtId="164" fontId="0" fillId="2" borderId="22" xfId="2" applyNumberFormat="1" applyFont="1" applyFill="1" applyBorder="1"/>
    <xf numFmtId="164" fontId="0" fillId="2" borderId="23" xfId="2" applyNumberFormat="1" applyFont="1" applyFill="1" applyBorder="1"/>
    <xf numFmtId="164" fontId="0" fillId="2" borderId="46" xfId="2" applyNumberFormat="1" applyFont="1" applyFill="1" applyBorder="1"/>
    <xf numFmtId="164" fontId="0" fillId="2" borderId="44" xfId="2" applyNumberFormat="1" applyFont="1" applyFill="1" applyBorder="1"/>
    <xf numFmtId="0" fontId="0" fillId="0" borderId="47" xfId="0" applyBorder="1" applyAlignment="1">
      <alignment horizontal="centerContinuous" wrapText="1"/>
    </xf>
    <xf numFmtId="164" fontId="0" fillId="0" borderId="19" xfId="2" applyNumberFormat="1" applyFont="1" applyBorder="1"/>
    <xf numFmtId="164" fontId="0" fillId="2" borderId="15" xfId="2" applyNumberFormat="1" applyFont="1" applyFill="1" applyBorder="1"/>
    <xf numFmtId="164" fontId="0" fillId="0" borderId="49" xfId="2" applyNumberFormat="1" applyFont="1" applyBorder="1"/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37" fontId="0" fillId="0" borderId="0" xfId="0" applyNumberFormat="1" applyAlignment="1">
      <alignment horizontal="center"/>
    </xf>
    <xf numFmtId="37" fontId="0" fillId="0" borderId="0" xfId="0" applyNumberFormat="1" applyAlignment="1">
      <alignment horizontal="center" vertical="center" wrapText="1"/>
    </xf>
    <xf numFmtId="0" fontId="0" fillId="11" borderId="0" xfId="0" applyFill="1" applyAlignment="1">
      <alignment horizontal="center"/>
    </xf>
    <xf numFmtId="0" fontId="0" fillId="11" borderId="0" xfId="0" applyFill="1" applyAlignment="1">
      <alignment horizontal="center" vertical="center" wrapText="1"/>
    </xf>
    <xf numFmtId="164" fontId="31" fillId="0" borderId="0" xfId="2" applyNumberFormat="1" applyFont="1" applyFill="1"/>
    <xf numFmtId="164" fontId="31" fillId="0" borderId="0" xfId="2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37" fontId="8" fillId="0" borderId="0" xfId="0" applyNumberFormat="1" applyFont="1"/>
    <xf numFmtId="164" fontId="19" fillId="0" borderId="0" xfId="2" applyNumberFormat="1" applyFont="1" applyFill="1"/>
    <xf numFmtId="164" fontId="19" fillId="0" borderId="0" xfId="2" applyNumberFormat="1" applyFont="1" applyFill="1" applyAlignment="1">
      <alignment horizontal="center"/>
    </xf>
    <xf numFmtId="37" fontId="8" fillId="0" borderId="0" xfId="0" applyNumberFormat="1" applyFont="1" applyAlignment="1">
      <alignment horizontal="center"/>
    </xf>
    <xf numFmtId="0" fontId="3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1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37" fontId="0" fillId="0" borderId="0" xfId="0" applyNumberFormat="1" applyFill="1" applyAlignment="1">
      <alignment horizontal="center" vertical="center" wrapText="1"/>
    </xf>
    <xf numFmtId="37" fontId="0" fillId="0" borderId="0" xfId="0" applyNumberFormat="1" applyFill="1" applyAlignment="1">
      <alignment horizontal="center"/>
    </xf>
    <xf numFmtId="0" fontId="8" fillId="0" borderId="0" xfId="0" applyFont="1" applyAlignment="1">
      <alignment horizontal="center"/>
    </xf>
    <xf numFmtId="0" fontId="27" fillId="13" borderId="0" xfId="13" applyFont="1" applyFill="1" applyAlignment="1" applyProtection="1">
      <alignment horizontal="center" vertic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right"/>
    </xf>
    <xf numFmtId="165" fontId="0" fillId="0" borderId="0" xfId="1" applyNumberFormat="1" applyFont="1" applyFill="1"/>
    <xf numFmtId="0" fontId="32" fillId="0" borderId="0" xfId="0" applyFont="1"/>
    <xf numFmtId="0" fontId="33" fillId="3" borderId="23" xfId="0" applyNumberFormat="1" applyFont="1" applyFill="1" applyBorder="1" applyAlignment="1">
      <alignment horizontal="center" vertical="center" wrapText="1"/>
    </xf>
    <xf numFmtId="0" fontId="15" fillId="3" borderId="0" xfId="0" applyFont="1" applyFill="1" applyBorder="1" applyAlignment="1" applyProtection="1">
      <alignment horizontal="left" vertical="center" wrapText="1"/>
    </xf>
    <xf numFmtId="0" fontId="8" fillId="0" borderId="0" xfId="0" applyFont="1" applyAlignment="1">
      <alignment horizontal="left"/>
    </xf>
    <xf numFmtId="0" fontId="0" fillId="0" borderId="16" xfId="0" applyBorder="1" applyAlignment="1">
      <alignment horizontal="left"/>
    </xf>
    <xf numFmtId="0" fontId="4" fillId="3" borderId="17" xfId="0" applyNumberFormat="1" applyFont="1" applyFill="1" applyBorder="1" applyAlignment="1">
      <alignment horizontal="left" vertical="center" wrapText="1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9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9" xfId="0" applyFill="1" applyBorder="1" applyAlignment="1">
      <alignment horizontal="centerContinuous"/>
    </xf>
    <xf numFmtId="0" fontId="0" fillId="0" borderId="10" xfId="0" applyFill="1" applyBorder="1" applyAlignment="1">
      <alignment horizontal="centerContinuous"/>
    </xf>
    <xf numFmtId="0" fontId="0" fillId="0" borderId="11" xfId="0" applyFill="1" applyBorder="1" applyAlignment="1">
      <alignment horizontal="centerContinuous"/>
    </xf>
    <xf numFmtId="168" fontId="4" fillId="0" borderId="4" xfId="0" applyNumberFormat="1" applyFont="1" applyFill="1" applyBorder="1" applyAlignment="1">
      <alignment horizontal="center" vertical="center" wrapText="1"/>
    </xf>
    <xf numFmtId="0" fontId="0" fillId="0" borderId="27" xfId="0" applyFill="1" applyBorder="1" applyAlignment="1">
      <alignment horizontal="left"/>
    </xf>
    <xf numFmtId="0" fontId="0" fillId="0" borderId="28" xfId="0" applyFill="1" applyBorder="1"/>
    <xf numFmtId="0" fontId="0" fillId="0" borderId="29" xfId="0" applyFill="1" applyBorder="1"/>
    <xf numFmtId="0" fontId="0" fillId="0" borderId="4" xfId="0" applyBorder="1" applyAlignment="1">
      <alignment horizontal="left"/>
    </xf>
    <xf numFmtId="0" fontId="4" fillId="0" borderId="4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vertical="center" wrapText="1"/>
    </xf>
    <xf numFmtId="6" fontId="25" fillId="0" borderId="4" xfId="21" applyNumberFormat="1" applyFont="1" applyFill="1" applyBorder="1" applyAlignment="1">
      <alignment horizontal="right" vertical="center"/>
    </xf>
    <xf numFmtId="164" fontId="8" fillId="0" borderId="4" xfId="2" applyNumberFormat="1" applyFont="1" applyBorder="1"/>
    <xf numFmtId="169" fontId="0" fillId="0" borderId="4" xfId="3" applyNumberFormat="1" applyFont="1" applyBorder="1"/>
    <xf numFmtId="169" fontId="0" fillId="0" borderId="4" xfId="3" applyNumberFormat="1" applyFont="1" applyFill="1" applyBorder="1" applyAlignment="1">
      <alignment horizontal="center"/>
    </xf>
    <xf numFmtId="164" fontId="0" fillId="2" borderId="4" xfId="0" applyNumberFormat="1" applyFill="1" applyBorder="1"/>
    <xf numFmtId="0" fontId="4" fillId="5" borderId="4" xfId="0" applyFont="1" applyFill="1" applyBorder="1" applyAlignment="1" applyProtection="1">
      <alignment horizontal="left" vertical="center"/>
    </xf>
    <xf numFmtId="0" fontId="0" fillId="5" borderId="4" xfId="0" applyFont="1" applyFill="1" applyBorder="1" applyAlignment="1" applyProtection="1">
      <alignment vertical="center" wrapText="1"/>
    </xf>
    <xf numFmtId="172" fontId="4" fillId="0" borderId="4" xfId="21" applyNumberFormat="1" applyFont="1" applyFill="1" applyBorder="1" applyAlignment="1" applyProtection="1"/>
    <xf numFmtId="5" fontId="4" fillId="0" borderId="4" xfId="0" applyNumberFormat="1" applyFont="1" applyFill="1" applyBorder="1" applyAlignment="1" applyProtection="1">
      <protection locked="0"/>
    </xf>
    <xf numFmtId="5" fontId="4" fillId="2" borderId="4" xfId="0" applyNumberFormat="1" applyFont="1" applyFill="1" applyBorder="1" applyAlignment="1" applyProtection="1">
      <protection locked="0"/>
    </xf>
    <xf numFmtId="37" fontId="4" fillId="2" borderId="4" xfId="0" applyNumberFormat="1" applyFont="1" applyFill="1" applyBorder="1" applyAlignment="1" applyProtection="1">
      <protection locked="0"/>
    </xf>
    <xf numFmtId="164" fontId="15" fillId="2" borderId="4" xfId="21" applyNumberFormat="1" applyFont="1" applyFill="1" applyBorder="1" applyAlignment="1" applyProtection="1">
      <protection locked="0"/>
    </xf>
    <xf numFmtId="171" fontId="10" fillId="0" borderId="4" xfId="21" applyNumberFormat="1" applyFont="1" applyFill="1" applyBorder="1" applyAlignment="1" applyProtection="1">
      <alignment vertical="center"/>
    </xf>
    <xf numFmtId="6" fontId="15" fillId="0" borderId="4" xfId="0" applyNumberFormat="1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vertical="center" indent="1"/>
    </xf>
    <xf numFmtId="0" fontId="4" fillId="0" borderId="4" xfId="0" applyFont="1" applyFill="1" applyBorder="1" applyAlignment="1" applyProtection="1">
      <alignment horizontal="left" vertical="center" wrapText="1" indent="1"/>
    </xf>
    <xf numFmtId="10" fontId="4" fillId="0" borderId="4" xfId="21" applyNumberFormat="1" applyFont="1" applyFill="1" applyBorder="1" applyAlignment="1" applyProtection="1">
      <alignment horizontal="right" vertical="center"/>
      <protection locked="0"/>
    </xf>
    <xf numFmtId="37" fontId="4" fillId="2" borderId="4" xfId="21" applyNumberFormat="1" applyFont="1" applyFill="1" applyBorder="1" applyAlignment="1" applyProtection="1">
      <protection locked="0"/>
    </xf>
    <xf numFmtId="164" fontId="4" fillId="0" borderId="4" xfId="21" applyNumberFormat="1" applyFont="1" applyFill="1" applyBorder="1" applyAlignment="1" applyProtection="1">
      <protection locked="0"/>
    </xf>
    <xf numFmtId="6" fontId="0" fillId="0" borderId="4" xfId="0" applyNumberFormat="1" applyBorder="1"/>
    <xf numFmtId="0" fontId="0" fillId="0" borderId="4" xfId="0" applyFill="1" applyBorder="1"/>
    <xf numFmtId="0" fontId="0" fillId="2" borderId="4" xfId="0" applyFill="1" applyBorder="1"/>
    <xf numFmtId="169" fontId="8" fillId="0" borderId="4" xfId="3" applyNumberFormat="1" applyFont="1" applyBorder="1"/>
    <xf numFmtId="0" fontId="4" fillId="5" borderId="4" xfId="0" applyFont="1" applyFill="1" applyBorder="1" applyAlignment="1" applyProtection="1">
      <alignment vertical="center" wrapText="1"/>
    </xf>
    <xf numFmtId="44" fontId="0" fillId="0" borderId="4" xfId="0" applyNumberFormat="1" applyBorder="1"/>
    <xf numFmtId="44" fontId="0" fillId="0" borderId="4" xfId="0" applyNumberFormat="1" applyFill="1" applyBorder="1"/>
    <xf numFmtId="0" fontId="30" fillId="0" borderId="0" xfId="0" applyFont="1"/>
    <xf numFmtId="168" fontId="30" fillId="3" borderId="13" xfId="0" applyNumberFormat="1" applyFont="1" applyFill="1" applyBorder="1" applyAlignment="1">
      <alignment horizontal="center" vertical="center" wrapText="1"/>
    </xf>
    <xf numFmtId="10" fontId="13" fillId="0" borderId="0" xfId="3" applyNumberFormat="1" applyFont="1" applyFill="1"/>
    <xf numFmtId="10" fontId="30" fillId="0" borderId="0" xfId="3" applyNumberFormat="1" applyFont="1" applyFill="1"/>
    <xf numFmtId="0" fontId="30" fillId="0" borderId="0" xfId="0" applyFont="1" applyFill="1"/>
    <xf numFmtId="0" fontId="8" fillId="0" borderId="0" xfId="0" applyFont="1" applyFill="1" applyAlignment="1">
      <alignment vertical="center"/>
    </xf>
    <xf numFmtId="5" fontId="30" fillId="0" borderId="0" xfId="21" applyNumberFormat="1" applyFont="1" applyFill="1" applyBorder="1" applyAlignment="1">
      <alignment horizontal="center" vertical="center" wrapText="1"/>
    </xf>
    <xf numFmtId="0" fontId="34" fillId="0" borderId="0" xfId="0" applyFont="1" applyFill="1"/>
  </cellXfs>
  <cellStyles count="23">
    <cellStyle name="Comma" xfId="1" builtinId="3"/>
    <cellStyle name="Comma 2" xfId="5"/>
    <cellStyle name="Comma 4" xfId="22"/>
    <cellStyle name="Comma_Changes" xfId="21"/>
    <cellStyle name="Comma0" xfId="6"/>
    <cellStyle name="Currency" xfId="2" builtinId="4"/>
    <cellStyle name="Currency 2" xfId="7"/>
    <cellStyle name="Currency0" xfId="8"/>
    <cellStyle name="Date" xfId="9"/>
    <cellStyle name="Fixed" xfId="10"/>
    <cellStyle name="Heading 1 2" xfId="11"/>
    <cellStyle name="Heading 2 2" xfId="12"/>
    <cellStyle name="Hyperlink 2" xfId="18"/>
    <cellStyle name="Normal" xfId="0" builtinId="0"/>
    <cellStyle name="Normal 2" xfId="13"/>
    <cellStyle name="Normal 297" xfId="20"/>
    <cellStyle name="Normal 3" xfId="14"/>
    <cellStyle name="Normal 4" xfId="15"/>
    <cellStyle name="Normal 5" xfId="4"/>
    <cellStyle name="Normal_Accomplishment File 2011-2015 - Board Approved" xfId="19"/>
    <cellStyle name="Percent" xfId="3" builtinId="5"/>
    <cellStyle name="Percent 2" xfId="16"/>
    <cellStyle name="Tot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52"/>
  <sheetViews>
    <sheetView zoomScaleNormal="100" workbookViewId="0">
      <selection activeCell="A2" sqref="A2"/>
    </sheetView>
  </sheetViews>
  <sheetFormatPr defaultRowHeight="15" x14ac:dyDescent="0.25"/>
  <cols>
    <col min="1" max="1" width="11.28515625" bestFit="1" customWidth="1"/>
    <col min="2" max="2" width="5" bestFit="1" customWidth="1"/>
    <col min="3" max="3" width="32.42578125" bestFit="1" customWidth="1"/>
    <col min="4" max="4" width="15.5703125" style="8" bestFit="1" customWidth="1"/>
    <col min="5" max="5" width="15.5703125" bestFit="1" customWidth="1"/>
    <col min="6" max="6" width="15.5703125" style="301" bestFit="1" customWidth="1"/>
    <col min="7" max="7" width="11.5703125" bestFit="1" customWidth="1"/>
    <col min="8" max="8" width="12.7109375" bestFit="1" customWidth="1"/>
    <col min="9" max="10" width="11.5703125" bestFit="1" customWidth="1"/>
    <col min="11" max="12" width="12.7109375" bestFit="1" customWidth="1"/>
    <col min="13" max="14" width="11.5703125" bestFit="1" customWidth="1"/>
    <col min="15" max="15" width="11.28515625" bestFit="1" customWidth="1"/>
    <col min="16" max="16" width="11.5703125" bestFit="1" customWidth="1"/>
    <col min="17" max="18" width="11.28515625" bestFit="1" customWidth="1"/>
    <col min="19" max="19" width="10.5703125" bestFit="1" customWidth="1"/>
    <col min="20" max="20" width="11.28515625" bestFit="1" customWidth="1"/>
    <col min="21" max="22" width="10.5703125" bestFit="1" customWidth="1"/>
    <col min="23" max="23" width="9.28515625" bestFit="1" customWidth="1"/>
    <col min="24" max="25" width="10.5703125" bestFit="1" customWidth="1"/>
    <col min="26" max="26" width="9.28515625" bestFit="1" customWidth="1"/>
    <col min="27" max="28" width="10.5703125" bestFit="1" customWidth="1"/>
    <col min="29" max="29" width="11.28515625" bestFit="1" customWidth="1"/>
    <col min="30" max="30" width="10.5703125" bestFit="1" customWidth="1"/>
    <col min="31" max="31" width="10.7109375" bestFit="1" customWidth="1"/>
  </cols>
  <sheetData>
    <row r="2" spans="1:31" x14ac:dyDescent="0.25">
      <c r="A2" s="37" t="s">
        <v>0</v>
      </c>
      <c r="B2" s="8"/>
      <c r="C2" s="8"/>
      <c r="D2" s="323">
        <v>2015</v>
      </c>
      <c r="E2" s="323"/>
      <c r="F2" s="323"/>
      <c r="G2" s="323">
        <v>2016</v>
      </c>
      <c r="H2" s="323"/>
      <c r="I2" s="323"/>
      <c r="J2" s="323">
        <v>2017</v>
      </c>
      <c r="K2" s="323"/>
      <c r="L2" s="323"/>
      <c r="M2" s="323">
        <v>2018</v>
      </c>
      <c r="N2" s="323"/>
      <c r="O2" s="323"/>
      <c r="P2" s="323">
        <v>2019</v>
      </c>
      <c r="Q2" s="323"/>
      <c r="R2" s="323"/>
      <c r="S2" s="323">
        <v>2020</v>
      </c>
      <c r="T2" s="323"/>
      <c r="U2" s="323"/>
      <c r="V2" s="323">
        <v>2021</v>
      </c>
      <c r="W2" s="323"/>
      <c r="X2" s="323"/>
      <c r="Y2" s="323">
        <v>2022</v>
      </c>
      <c r="Z2" s="323"/>
      <c r="AA2" s="323"/>
      <c r="AB2" s="323">
        <v>2023</v>
      </c>
      <c r="AC2" s="323"/>
      <c r="AD2" s="323"/>
    </row>
    <row r="3" spans="1:31" s="317" customFormat="1" ht="30" x14ac:dyDescent="0.25">
      <c r="A3" s="316"/>
      <c r="B3" s="302"/>
      <c r="C3" s="302"/>
      <c r="D3" s="303" t="s">
        <v>337</v>
      </c>
      <c r="E3" s="303" t="s">
        <v>338</v>
      </c>
      <c r="F3" s="304" t="s">
        <v>339</v>
      </c>
      <c r="G3" s="303" t="s">
        <v>337</v>
      </c>
      <c r="H3" s="303" t="s">
        <v>338</v>
      </c>
      <c r="I3" s="304" t="s">
        <v>339</v>
      </c>
      <c r="J3" s="303" t="s">
        <v>337</v>
      </c>
      <c r="K3" s="303" t="s">
        <v>338</v>
      </c>
      <c r="L3" s="304" t="s">
        <v>339</v>
      </c>
      <c r="M3" s="303" t="s">
        <v>337</v>
      </c>
      <c r="N3" s="303" t="s">
        <v>338</v>
      </c>
      <c r="O3" s="304" t="s">
        <v>339</v>
      </c>
      <c r="P3" s="303" t="s">
        <v>337</v>
      </c>
      <c r="Q3" s="303" t="s">
        <v>338</v>
      </c>
      <c r="R3" s="304" t="s">
        <v>339</v>
      </c>
      <c r="S3" s="303" t="s">
        <v>337</v>
      </c>
      <c r="T3" s="303" t="s">
        <v>338</v>
      </c>
      <c r="U3" s="304" t="s">
        <v>339</v>
      </c>
      <c r="V3" s="303" t="s">
        <v>337</v>
      </c>
      <c r="W3" s="319" t="s">
        <v>338</v>
      </c>
      <c r="X3" s="320" t="s">
        <v>339</v>
      </c>
      <c r="Y3" s="319" t="s">
        <v>337</v>
      </c>
      <c r="Z3" s="319" t="s">
        <v>338</v>
      </c>
      <c r="AA3" s="320" t="s">
        <v>339</v>
      </c>
      <c r="AB3" s="319" t="s">
        <v>337</v>
      </c>
      <c r="AC3" s="319" t="s">
        <v>338</v>
      </c>
      <c r="AD3" s="304" t="s">
        <v>339</v>
      </c>
    </row>
    <row r="4" spans="1:31" x14ac:dyDescent="0.25">
      <c r="A4" s="1"/>
      <c r="B4" s="2">
        <v>1815</v>
      </c>
      <c r="C4" s="1" t="s">
        <v>280</v>
      </c>
      <c r="D4" s="307"/>
      <c r="E4" s="148"/>
      <c r="F4" s="308"/>
      <c r="G4" s="17">
        <v>0</v>
      </c>
      <c r="H4" s="17">
        <v>0</v>
      </c>
      <c r="I4" s="17">
        <f>G4+H4</f>
        <v>0</v>
      </c>
      <c r="J4" s="17">
        <v>0</v>
      </c>
      <c r="K4" s="17">
        <v>0</v>
      </c>
      <c r="L4" s="17">
        <f>J4+K4</f>
        <v>0</v>
      </c>
      <c r="M4" s="17">
        <v>0</v>
      </c>
      <c r="N4" s="17">
        <v>0</v>
      </c>
      <c r="O4" s="17">
        <f>M4+N4</f>
        <v>0</v>
      </c>
      <c r="P4" s="17">
        <v>0</v>
      </c>
      <c r="Q4" s="17">
        <v>0</v>
      </c>
      <c r="R4" s="17">
        <f>P4+Q4</f>
        <v>0</v>
      </c>
      <c r="S4" s="17">
        <v>0</v>
      </c>
      <c r="T4" s="17">
        <v>0</v>
      </c>
      <c r="U4" s="17">
        <f>S4+T4</f>
        <v>0</v>
      </c>
      <c r="V4" s="17">
        <v>23462.017219080004</v>
      </c>
      <c r="W4" s="287">
        <v>-437.89919882414199</v>
      </c>
      <c r="X4" s="287">
        <f>V4+W4</f>
        <v>23024.118020255861</v>
      </c>
      <c r="Y4" s="287">
        <v>21055.649999999991</v>
      </c>
      <c r="Z4" s="287">
        <v>-780.83129777211661</v>
      </c>
      <c r="AA4" s="287">
        <f>Y4+Z4</f>
        <v>20274.818702227873</v>
      </c>
      <c r="AB4" s="287">
        <v>21055.649999999991</v>
      </c>
      <c r="AC4" s="287">
        <v>-1888.2860936852567</v>
      </c>
      <c r="AD4" s="17">
        <f>AB4+AC4</f>
        <v>19167.363906314735</v>
      </c>
      <c r="AE4" s="17"/>
    </row>
    <row r="5" spans="1:31" x14ac:dyDescent="0.25">
      <c r="A5" s="1"/>
      <c r="B5" s="2">
        <v>1820</v>
      </c>
      <c r="C5" s="1" t="s">
        <v>281</v>
      </c>
      <c r="D5" s="307"/>
      <c r="E5" s="148"/>
      <c r="F5" s="308"/>
      <c r="G5" s="17">
        <v>0</v>
      </c>
      <c r="H5" s="17">
        <v>0</v>
      </c>
      <c r="I5" s="17">
        <f t="shared" ref="I5:I12" si="0">G5+H5</f>
        <v>0</v>
      </c>
      <c r="J5" s="17">
        <v>0</v>
      </c>
      <c r="K5" s="17">
        <v>0</v>
      </c>
      <c r="L5" s="17">
        <f t="shared" ref="L5:L12" si="1">J5+K5</f>
        <v>0</v>
      </c>
      <c r="M5" s="17">
        <v>0</v>
      </c>
      <c r="N5" s="17">
        <v>0</v>
      </c>
      <c r="O5" s="17">
        <f t="shared" ref="O5:O12" si="2">M5+N5</f>
        <v>0</v>
      </c>
      <c r="P5" s="17">
        <v>0</v>
      </c>
      <c r="Q5" s="17">
        <v>0</v>
      </c>
      <c r="R5" s="17">
        <f t="shared" ref="R5:R12" si="3">P5+Q5</f>
        <v>0</v>
      </c>
      <c r="S5" s="17">
        <v>0</v>
      </c>
      <c r="T5" s="17">
        <v>0</v>
      </c>
      <c r="U5" s="17">
        <f t="shared" ref="U5:U12" si="4">S5+T5</f>
        <v>0</v>
      </c>
      <c r="V5" s="17">
        <v>64334.972451592213</v>
      </c>
      <c r="W5" s="287">
        <v>-5900.7855088820061</v>
      </c>
      <c r="X5" s="287">
        <f t="shared" ref="X5:X12" si="5">V5+W5</f>
        <v>58434.186942710206</v>
      </c>
      <c r="Y5" s="287">
        <v>148516.74999999994</v>
      </c>
      <c r="Z5" s="287">
        <v>-6715.1425129841027</v>
      </c>
      <c r="AA5" s="287">
        <f t="shared" ref="AA5:AA12" si="6">Y5+Z5</f>
        <v>141801.60748701583</v>
      </c>
      <c r="AB5" s="287">
        <v>48742.40545101717</v>
      </c>
      <c r="AC5" s="287">
        <v>-11658.063507665694</v>
      </c>
      <c r="AD5" s="17">
        <f t="shared" ref="AD5:AD12" si="7">AB5+AC5</f>
        <v>37084.341943351479</v>
      </c>
      <c r="AE5" s="17"/>
    </row>
    <row r="6" spans="1:31" x14ac:dyDescent="0.25">
      <c r="A6" s="1"/>
      <c r="B6" s="2">
        <v>1830</v>
      </c>
      <c r="C6" s="1" t="s">
        <v>2</v>
      </c>
      <c r="D6" s="307"/>
      <c r="E6" s="148"/>
      <c r="F6" s="308"/>
      <c r="G6" s="17">
        <v>385837.11931889632</v>
      </c>
      <c r="H6" s="17">
        <v>-135785.04</v>
      </c>
      <c r="I6" s="17">
        <f t="shared" si="0"/>
        <v>250052.07931889631</v>
      </c>
      <c r="J6" s="17">
        <v>403829.94829999987</v>
      </c>
      <c r="K6" s="17">
        <v>0</v>
      </c>
      <c r="L6" s="17">
        <f t="shared" si="1"/>
        <v>403829.94829999987</v>
      </c>
      <c r="M6" s="17">
        <v>977938.13039999956</v>
      </c>
      <c r="N6" s="17">
        <v>109565.09000000001</v>
      </c>
      <c r="O6" s="17">
        <f t="shared" si="2"/>
        <v>1087503.2203999995</v>
      </c>
      <c r="P6" s="17">
        <v>1348480.2606000002</v>
      </c>
      <c r="Q6" s="17">
        <v>35653.420000000042</v>
      </c>
      <c r="R6" s="17">
        <f t="shared" si="3"/>
        <v>1384133.6806000001</v>
      </c>
      <c r="S6" s="17">
        <v>273669.87119999999</v>
      </c>
      <c r="T6" s="17">
        <v>1213194.68</v>
      </c>
      <c r="U6" s="17">
        <f t="shared" si="4"/>
        <v>1486864.5511999999</v>
      </c>
      <c r="V6" s="17">
        <v>1629261.2858831675</v>
      </c>
      <c r="W6" s="287">
        <v>-120125.48287575792</v>
      </c>
      <c r="X6" s="287">
        <f t="shared" si="5"/>
        <v>1509135.8030074097</v>
      </c>
      <c r="Y6" s="287">
        <v>746786.78098806355</v>
      </c>
      <c r="Z6" s="287">
        <v>-117816.17098483752</v>
      </c>
      <c r="AA6" s="287">
        <f t="shared" si="6"/>
        <v>628970.61000322597</v>
      </c>
      <c r="AB6" s="287">
        <v>758706.33460782492</v>
      </c>
      <c r="AC6" s="287">
        <v>-202900.85797186222</v>
      </c>
      <c r="AD6" s="17">
        <f t="shared" si="7"/>
        <v>555805.47663596272</v>
      </c>
      <c r="AE6" s="17"/>
    </row>
    <row r="7" spans="1:31" x14ac:dyDescent="0.25">
      <c r="A7" s="1"/>
      <c r="B7" s="2">
        <v>1835</v>
      </c>
      <c r="C7" s="1" t="s">
        <v>3</v>
      </c>
      <c r="D7" s="307"/>
      <c r="E7" s="148"/>
      <c r="F7" s="308"/>
      <c r="G7" s="17">
        <v>468874.0944</v>
      </c>
      <c r="H7" s="17">
        <v>0</v>
      </c>
      <c r="I7" s="17">
        <f t="shared" si="0"/>
        <v>468874.0944</v>
      </c>
      <c r="J7" s="17">
        <v>58529.012900000045</v>
      </c>
      <c r="K7" s="17">
        <v>2747.98</v>
      </c>
      <c r="L7" s="17">
        <f t="shared" si="1"/>
        <v>61276.992900000048</v>
      </c>
      <c r="M7" s="17">
        <v>69514.539600000018</v>
      </c>
      <c r="N7" s="17">
        <v>125802.30000000002</v>
      </c>
      <c r="O7" s="17">
        <f t="shared" si="2"/>
        <v>195316.83960000004</v>
      </c>
      <c r="P7" s="17">
        <v>0</v>
      </c>
      <c r="Q7" s="17">
        <v>0</v>
      </c>
      <c r="R7" s="17">
        <f t="shared" si="3"/>
        <v>0</v>
      </c>
      <c r="S7" s="17">
        <v>5668.1261999999997</v>
      </c>
      <c r="T7" s="17">
        <v>0</v>
      </c>
      <c r="U7" s="17">
        <f t="shared" si="4"/>
        <v>5668.1261999999997</v>
      </c>
      <c r="V7" s="17">
        <v>1789237.0179668053</v>
      </c>
      <c r="W7" s="287">
        <v>-81581.589111184105</v>
      </c>
      <c r="X7" s="287">
        <f t="shared" si="5"/>
        <v>1707655.4288556213</v>
      </c>
      <c r="Y7" s="287">
        <v>630487.33752908965</v>
      </c>
      <c r="Z7" s="287">
        <v>-80786.241035995132</v>
      </c>
      <c r="AA7" s="287">
        <f t="shared" si="6"/>
        <v>549701.09649309446</v>
      </c>
      <c r="AB7" s="287">
        <v>638320.03827967145</v>
      </c>
      <c r="AC7" s="287">
        <v>-138996.42134213721</v>
      </c>
      <c r="AD7" s="17">
        <f t="shared" si="7"/>
        <v>499323.61693753424</v>
      </c>
      <c r="AE7" s="17"/>
    </row>
    <row r="8" spans="1:31" x14ac:dyDescent="0.25">
      <c r="A8" s="1"/>
      <c r="B8" s="2">
        <v>1840</v>
      </c>
      <c r="C8" s="1" t="s">
        <v>4</v>
      </c>
      <c r="D8" s="307"/>
      <c r="E8" s="148"/>
      <c r="F8" s="308"/>
      <c r="G8" s="17">
        <v>95119.292000000001</v>
      </c>
      <c r="H8" s="17">
        <v>0</v>
      </c>
      <c r="I8" s="17">
        <f t="shared" si="0"/>
        <v>95119.292000000001</v>
      </c>
      <c r="J8" s="17">
        <v>0</v>
      </c>
      <c r="K8" s="17">
        <v>0</v>
      </c>
      <c r="L8" s="17">
        <f t="shared" si="1"/>
        <v>0</v>
      </c>
      <c r="M8" s="17">
        <v>0</v>
      </c>
      <c r="N8" s="17">
        <v>0</v>
      </c>
      <c r="O8" s="17">
        <f t="shared" si="2"/>
        <v>0</v>
      </c>
      <c r="P8" s="17">
        <v>0</v>
      </c>
      <c r="Q8" s="17">
        <v>0</v>
      </c>
      <c r="R8" s="17">
        <f t="shared" si="3"/>
        <v>0</v>
      </c>
      <c r="S8" s="17">
        <v>0</v>
      </c>
      <c r="T8" s="17">
        <v>0</v>
      </c>
      <c r="U8" s="17">
        <f t="shared" si="4"/>
        <v>0</v>
      </c>
      <c r="V8" s="17">
        <v>0</v>
      </c>
      <c r="W8" s="287">
        <v>0</v>
      </c>
      <c r="X8" s="287">
        <f t="shared" si="5"/>
        <v>0</v>
      </c>
      <c r="Y8" s="287">
        <v>0</v>
      </c>
      <c r="Z8" s="287">
        <v>0</v>
      </c>
      <c r="AA8" s="287">
        <f t="shared" si="6"/>
        <v>0</v>
      </c>
      <c r="AB8" s="287">
        <v>0</v>
      </c>
      <c r="AC8" s="287">
        <v>0</v>
      </c>
      <c r="AD8" s="17">
        <f t="shared" si="7"/>
        <v>0</v>
      </c>
      <c r="AE8" s="17"/>
    </row>
    <row r="9" spans="1:31" x14ac:dyDescent="0.25">
      <c r="A9" s="1"/>
      <c r="B9" s="2">
        <v>1845</v>
      </c>
      <c r="C9" s="1" t="s">
        <v>5</v>
      </c>
      <c r="D9" s="307"/>
      <c r="E9" s="148"/>
      <c r="F9" s="308"/>
      <c r="G9" s="17">
        <v>207977.15487566972</v>
      </c>
      <c r="H9" s="17">
        <v>0</v>
      </c>
      <c r="I9" s="17">
        <f t="shared" si="0"/>
        <v>207977.15487566972</v>
      </c>
      <c r="J9" s="17">
        <v>120615.8851999999</v>
      </c>
      <c r="K9" s="17">
        <v>0</v>
      </c>
      <c r="L9" s="17">
        <f t="shared" si="1"/>
        <v>120615.8851999999</v>
      </c>
      <c r="M9" s="17">
        <v>114367.37399999992</v>
      </c>
      <c r="N9" s="17">
        <v>13121.18</v>
      </c>
      <c r="O9" s="17">
        <f t="shared" si="2"/>
        <v>127488.55399999992</v>
      </c>
      <c r="P9" s="17">
        <v>170.06220000000005</v>
      </c>
      <c r="Q9" s="17">
        <v>0</v>
      </c>
      <c r="R9" s="17">
        <f t="shared" si="3"/>
        <v>170.06220000000005</v>
      </c>
      <c r="S9" s="17">
        <v>34380.957600000016</v>
      </c>
      <c r="T9" s="17">
        <v>0</v>
      </c>
      <c r="U9" s="17">
        <f t="shared" si="4"/>
        <v>34380.957600000016</v>
      </c>
      <c r="V9" s="17">
        <v>767232.68449664803</v>
      </c>
      <c r="W9" s="287">
        <v>-26413.265084014038</v>
      </c>
      <c r="X9" s="287">
        <f t="shared" si="5"/>
        <v>740819.41941263399</v>
      </c>
      <c r="Y9" s="287">
        <v>174702.50425590071</v>
      </c>
      <c r="Z9" s="287">
        <v>-25643.673079641863</v>
      </c>
      <c r="AA9" s="287">
        <f t="shared" si="6"/>
        <v>149058.83117625886</v>
      </c>
      <c r="AB9" s="287">
        <v>177693.7143410187</v>
      </c>
      <c r="AC9" s="287">
        <v>-44188.243640747314</v>
      </c>
      <c r="AD9" s="17">
        <f t="shared" si="7"/>
        <v>133505.47070027137</v>
      </c>
      <c r="AE9" s="17"/>
    </row>
    <row r="10" spans="1:31" x14ac:dyDescent="0.25">
      <c r="A10" s="1"/>
      <c r="B10" s="2">
        <v>1850</v>
      </c>
      <c r="C10" s="1" t="s">
        <v>6</v>
      </c>
      <c r="D10" s="307"/>
      <c r="E10" s="148"/>
      <c r="F10" s="308"/>
      <c r="G10" s="17">
        <v>418491.24307210068</v>
      </c>
      <c r="H10" s="17">
        <v>-341416.10999999987</v>
      </c>
      <c r="I10" s="17">
        <f t="shared" si="0"/>
        <v>77075.133072100813</v>
      </c>
      <c r="J10" s="17">
        <v>472445.42959999997</v>
      </c>
      <c r="K10" s="17">
        <v>51667.56</v>
      </c>
      <c r="L10" s="17">
        <f t="shared" si="1"/>
        <v>524112.98959999997</v>
      </c>
      <c r="M10" s="17">
        <v>321621.40560000011</v>
      </c>
      <c r="N10" s="17">
        <v>5334.2199999999993</v>
      </c>
      <c r="O10" s="17">
        <f t="shared" si="2"/>
        <v>326955.62560000009</v>
      </c>
      <c r="P10" s="17">
        <v>56.826000000001258</v>
      </c>
      <c r="Q10" s="17">
        <v>0</v>
      </c>
      <c r="R10" s="17">
        <f t="shared" si="3"/>
        <v>56.826000000001258</v>
      </c>
      <c r="S10" s="17">
        <v>0</v>
      </c>
      <c r="T10" s="17">
        <v>0</v>
      </c>
      <c r="U10" s="17">
        <f t="shared" si="4"/>
        <v>0</v>
      </c>
      <c r="V10" s="17">
        <v>1396000.6579931518</v>
      </c>
      <c r="W10" s="287">
        <v>-98033.716311482422</v>
      </c>
      <c r="X10" s="287">
        <f t="shared" si="5"/>
        <v>1297966.9416816693</v>
      </c>
      <c r="Y10" s="287">
        <v>951402.74430646154</v>
      </c>
      <c r="Z10" s="287">
        <v>-96103.582803430225</v>
      </c>
      <c r="AA10" s="287">
        <f t="shared" si="6"/>
        <v>855299.16150303127</v>
      </c>
      <c r="AB10" s="287">
        <v>968097.4201925908</v>
      </c>
      <c r="AC10" s="287">
        <v>-166558.61290775874</v>
      </c>
      <c r="AD10" s="17">
        <f t="shared" si="7"/>
        <v>801538.807284832</v>
      </c>
      <c r="AE10" s="17"/>
    </row>
    <row r="11" spans="1:31" x14ac:dyDescent="0.25">
      <c r="A11" s="1"/>
      <c r="B11" s="2">
        <v>1855</v>
      </c>
      <c r="C11" s="1" t="s">
        <v>16</v>
      </c>
      <c r="D11" s="307"/>
      <c r="E11" s="148"/>
      <c r="F11" s="308"/>
      <c r="G11" s="17">
        <v>0</v>
      </c>
      <c r="H11" s="17">
        <v>0</v>
      </c>
      <c r="I11" s="17">
        <f t="shared" si="0"/>
        <v>0</v>
      </c>
      <c r="J11" s="17">
        <v>0</v>
      </c>
      <c r="K11" s="17">
        <v>0</v>
      </c>
      <c r="L11" s="17">
        <f t="shared" si="1"/>
        <v>0</v>
      </c>
      <c r="M11" s="17">
        <v>0</v>
      </c>
      <c r="N11" s="17">
        <v>0</v>
      </c>
      <c r="O11" s="17">
        <f t="shared" si="2"/>
        <v>0</v>
      </c>
      <c r="P11" s="17">
        <v>0</v>
      </c>
      <c r="Q11" s="17">
        <v>0</v>
      </c>
      <c r="R11" s="17">
        <f t="shared" si="3"/>
        <v>0</v>
      </c>
      <c r="S11" s="17">
        <v>0</v>
      </c>
      <c r="T11" s="17">
        <v>0</v>
      </c>
      <c r="U11" s="17">
        <f t="shared" si="4"/>
        <v>0</v>
      </c>
      <c r="V11" s="17">
        <v>0</v>
      </c>
      <c r="W11" s="287">
        <v>0</v>
      </c>
      <c r="X11" s="287">
        <f t="shared" si="5"/>
        <v>0</v>
      </c>
      <c r="Y11" s="287">
        <v>0</v>
      </c>
      <c r="Z11" s="287">
        <v>0</v>
      </c>
      <c r="AA11" s="287">
        <f t="shared" si="6"/>
        <v>0</v>
      </c>
      <c r="AB11" s="287">
        <v>0</v>
      </c>
      <c r="AC11" s="287">
        <v>0</v>
      </c>
      <c r="AD11" s="17">
        <f t="shared" si="7"/>
        <v>0</v>
      </c>
      <c r="AE11" s="17"/>
    </row>
    <row r="12" spans="1:31" x14ac:dyDescent="0.25">
      <c r="A12" s="1"/>
      <c r="B12" s="2">
        <v>1860</v>
      </c>
      <c r="C12" s="1" t="s">
        <v>7</v>
      </c>
      <c r="D12" s="307"/>
      <c r="E12" s="148"/>
      <c r="F12" s="308"/>
      <c r="G12" s="17">
        <v>85886.602400000003</v>
      </c>
      <c r="H12" s="17">
        <v>-109838.42</v>
      </c>
      <c r="I12" s="17">
        <f t="shared" si="0"/>
        <v>-23951.817599999995</v>
      </c>
      <c r="J12" s="17">
        <v>153506.99879999997</v>
      </c>
      <c r="K12" s="17">
        <v>0</v>
      </c>
      <c r="L12" s="17">
        <f t="shared" si="1"/>
        <v>153506.99879999997</v>
      </c>
      <c r="M12" s="17">
        <v>174399.97080000001</v>
      </c>
      <c r="N12" s="17">
        <v>-6590.99</v>
      </c>
      <c r="O12" s="17">
        <f t="shared" si="2"/>
        <v>167808.98080000002</v>
      </c>
      <c r="P12" s="17">
        <v>330377.89619999996</v>
      </c>
      <c r="Q12" s="17">
        <v>-315403.31</v>
      </c>
      <c r="R12" s="17">
        <f t="shared" si="3"/>
        <v>14974.586199999962</v>
      </c>
      <c r="S12" s="17">
        <v>684122.86140000017</v>
      </c>
      <c r="T12" s="17">
        <v>0</v>
      </c>
      <c r="U12" s="17">
        <f t="shared" si="4"/>
        <v>684122.86140000017</v>
      </c>
      <c r="V12" s="17">
        <v>147860.98055183524</v>
      </c>
      <c r="W12" s="287">
        <v>0</v>
      </c>
      <c r="X12" s="287">
        <f t="shared" si="5"/>
        <v>147860.98055183524</v>
      </c>
      <c r="Y12" s="287">
        <v>193191.93156527181</v>
      </c>
      <c r="Z12" s="287">
        <v>0</v>
      </c>
      <c r="AA12" s="287">
        <f t="shared" si="6"/>
        <v>193191.93156527181</v>
      </c>
      <c r="AB12" s="287">
        <v>193724.97019657725</v>
      </c>
      <c r="AC12" s="287">
        <v>0</v>
      </c>
      <c r="AD12" s="17">
        <f t="shared" si="7"/>
        <v>193724.97019657725</v>
      </c>
      <c r="AE12" s="17"/>
    </row>
    <row r="13" spans="1:31" s="37" customFormat="1" x14ac:dyDescent="0.25">
      <c r="A13" s="309"/>
      <c r="B13" s="310"/>
      <c r="C13" s="309" t="s">
        <v>18</v>
      </c>
      <c r="D13" s="311"/>
      <c r="F13" s="304"/>
      <c r="G13" s="312">
        <f>SUM(G4:G12)</f>
        <v>1662185.5060666667</v>
      </c>
      <c r="H13" s="312">
        <f t="shared" ref="H13:AD13" si="8">SUM(H4:H12)</f>
        <v>-587039.56999999995</v>
      </c>
      <c r="I13" s="312">
        <f t="shared" si="8"/>
        <v>1075145.9360666669</v>
      </c>
      <c r="J13" s="312">
        <f t="shared" si="8"/>
        <v>1208927.2747999998</v>
      </c>
      <c r="K13" s="312">
        <f t="shared" si="8"/>
        <v>54415.54</v>
      </c>
      <c r="L13" s="312">
        <f t="shared" si="8"/>
        <v>1263342.8147999998</v>
      </c>
      <c r="M13" s="312">
        <f t="shared" si="8"/>
        <v>1657841.4203999997</v>
      </c>
      <c r="N13" s="312">
        <f t="shared" si="8"/>
        <v>247231.80000000002</v>
      </c>
      <c r="O13" s="312">
        <f t="shared" si="8"/>
        <v>1905073.2203999998</v>
      </c>
      <c r="P13" s="312">
        <f t="shared" si="8"/>
        <v>1679085.0450000004</v>
      </c>
      <c r="Q13" s="312">
        <f t="shared" si="8"/>
        <v>-279749.88999999996</v>
      </c>
      <c r="R13" s="312">
        <f t="shared" si="8"/>
        <v>1399335.1550000003</v>
      </c>
      <c r="S13" s="312">
        <f t="shared" si="8"/>
        <v>997841.81640000013</v>
      </c>
      <c r="T13" s="312">
        <f t="shared" si="8"/>
        <v>1213194.68</v>
      </c>
      <c r="U13" s="312">
        <f t="shared" si="8"/>
        <v>2211036.4964000001</v>
      </c>
      <c r="V13" s="312">
        <f t="shared" si="8"/>
        <v>5817389.6165622799</v>
      </c>
      <c r="W13" s="312">
        <f t="shared" si="8"/>
        <v>-332492.73809014464</v>
      </c>
      <c r="X13" s="312">
        <f t="shared" si="8"/>
        <v>5484896.8784721354</v>
      </c>
      <c r="Y13" s="312">
        <f t="shared" si="8"/>
        <v>2866143.6986447871</v>
      </c>
      <c r="Z13" s="312">
        <f t="shared" si="8"/>
        <v>-327845.64171466097</v>
      </c>
      <c r="AA13" s="312">
        <f t="shared" si="8"/>
        <v>2538298.0569301257</v>
      </c>
      <c r="AB13" s="312">
        <f t="shared" si="8"/>
        <v>2806340.5330687002</v>
      </c>
      <c r="AC13" s="312">
        <f t="shared" si="8"/>
        <v>-566190.48546385649</v>
      </c>
      <c r="AD13" s="312">
        <f t="shared" si="8"/>
        <v>2240150.047604844</v>
      </c>
    </row>
    <row r="14" spans="1:31" x14ac:dyDescent="0.25">
      <c r="A14" s="16"/>
      <c r="B14" s="16"/>
      <c r="C14" s="16"/>
      <c r="E14" s="17"/>
    </row>
    <row r="15" spans="1:31" x14ac:dyDescent="0.25">
      <c r="E15" s="19"/>
    </row>
    <row r="16" spans="1:31" x14ac:dyDescent="0.25">
      <c r="A16" s="37" t="s">
        <v>13</v>
      </c>
      <c r="D16" s="323">
        <v>2015</v>
      </c>
      <c r="E16" s="323"/>
      <c r="F16" s="323"/>
      <c r="G16" s="323">
        <v>2016</v>
      </c>
      <c r="H16" s="323"/>
      <c r="I16" s="323"/>
      <c r="J16" s="323">
        <v>2017</v>
      </c>
      <c r="K16" s="323"/>
      <c r="L16" s="323"/>
      <c r="M16" s="323">
        <v>2018</v>
      </c>
      <c r="N16" s="323"/>
      <c r="O16" s="323"/>
      <c r="P16" s="323">
        <v>2019</v>
      </c>
      <c r="Q16" s="323"/>
      <c r="R16" s="323"/>
      <c r="S16" s="323">
        <v>2020</v>
      </c>
      <c r="T16" s="323"/>
      <c r="U16" s="323"/>
      <c r="V16" s="323">
        <v>2021</v>
      </c>
      <c r="W16" s="323"/>
      <c r="X16" s="323"/>
      <c r="Y16" s="323">
        <v>2022</v>
      </c>
      <c r="Z16" s="323"/>
      <c r="AA16" s="323"/>
      <c r="AB16" s="323">
        <v>2023</v>
      </c>
      <c r="AC16" s="323"/>
      <c r="AD16" s="323"/>
    </row>
    <row r="17" spans="1:31" s="8" customFormat="1" ht="30" x14ac:dyDescent="0.25">
      <c r="A17" s="318"/>
      <c r="B17" s="2"/>
      <c r="C17" s="2"/>
      <c r="D17" s="303" t="s">
        <v>337</v>
      </c>
      <c r="E17" s="303" t="s">
        <v>338</v>
      </c>
      <c r="F17" s="304" t="s">
        <v>339</v>
      </c>
      <c r="G17" s="303" t="s">
        <v>337</v>
      </c>
      <c r="H17" s="303" t="s">
        <v>338</v>
      </c>
      <c r="I17" s="304" t="s">
        <v>339</v>
      </c>
      <c r="J17" s="303" t="s">
        <v>337</v>
      </c>
      <c r="K17" s="303" t="s">
        <v>338</v>
      </c>
      <c r="L17" s="304" t="s">
        <v>339</v>
      </c>
      <c r="M17" s="303" t="s">
        <v>337</v>
      </c>
      <c r="N17" s="303" t="s">
        <v>338</v>
      </c>
      <c r="O17" s="304" t="s">
        <v>339</v>
      </c>
      <c r="P17" s="303" t="s">
        <v>337</v>
      </c>
      <c r="Q17" s="303" t="s">
        <v>338</v>
      </c>
      <c r="R17" s="304" t="s">
        <v>339</v>
      </c>
      <c r="S17" s="303" t="s">
        <v>337</v>
      </c>
      <c r="T17" s="303" t="s">
        <v>338</v>
      </c>
      <c r="U17" s="304" t="s">
        <v>339</v>
      </c>
      <c r="V17" s="303" t="s">
        <v>337</v>
      </c>
      <c r="W17" s="319" t="s">
        <v>338</v>
      </c>
      <c r="X17" s="320" t="s">
        <v>339</v>
      </c>
      <c r="Y17" s="319" t="s">
        <v>337</v>
      </c>
      <c r="Z17" s="319" t="s">
        <v>338</v>
      </c>
      <c r="AA17" s="320" t="s">
        <v>339</v>
      </c>
      <c r="AB17" s="319" t="s">
        <v>337</v>
      </c>
      <c r="AC17" s="319" t="s">
        <v>338</v>
      </c>
      <c r="AD17" s="304" t="s">
        <v>339</v>
      </c>
    </row>
    <row r="18" spans="1:31" x14ac:dyDescent="0.25">
      <c r="A18" s="1"/>
      <c r="B18" s="2">
        <v>1815</v>
      </c>
      <c r="C18" s="1" t="s">
        <v>280</v>
      </c>
      <c r="D18" s="307"/>
      <c r="E18" s="148"/>
      <c r="F18" s="308"/>
      <c r="G18" s="17">
        <v>0</v>
      </c>
      <c r="H18" s="17">
        <v>0</v>
      </c>
      <c r="I18" s="17">
        <f>G18+H18</f>
        <v>0</v>
      </c>
      <c r="J18" s="17">
        <v>0</v>
      </c>
      <c r="K18" s="17">
        <v>0</v>
      </c>
      <c r="L18" s="17">
        <f>J18+K18</f>
        <v>0</v>
      </c>
      <c r="M18" s="17">
        <v>0</v>
      </c>
      <c r="N18" s="17">
        <v>0</v>
      </c>
      <c r="O18" s="17">
        <f>M18+N18</f>
        <v>0</v>
      </c>
      <c r="P18" s="17">
        <v>0</v>
      </c>
      <c r="Q18" s="17">
        <v>0</v>
      </c>
      <c r="R18" s="17">
        <f>P18+Q18</f>
        <v>0</v>
      </c>
      <c r="S18" s="17">
        <v>0</v>
      </c>
      <c r="T18" s="17">
        <v>0</v>
      </c>
      <c r="U18" s="17">
        <f>S18+T18</f>
        <v>0</v>
      </c>
      <c r="V18" s="17">
        <v>8422.2575936400026</v>
      </c>
      <c r="W18" s="287">
        <v>-157.19449091300774</v>
      </c>
      <c r="X18" s="287">
        <f>V18+W18</f>
        <v>8265.0631027269956</v>
      </c>
      <c r="Y18" s="287">
        <v>6015.9000000000005</v>
      </c>
      <c r="Z18" s="287">
        <v>-253.2424997877786</v>
      </c>
      <c r="AA18" s="287">
        <f>Y18+Z18</f>
        <v>5762.6575002122217</v>
      </c>
      <c r="AB18" s="287">
        <v>19347.134399999995</v>
      </c>
      <c r="AC18" s="287">
        <v>-972.90025498547345</v>
      </c>
      <c r="AD18" s="17">
        <f>AB18+AC18</f>
        <v>18374.234145014521</v>
      </c>
      <c r="AE18" s="17"/>
    </row>
    <row r="19" spans="1:31" x14ac:dyDescent="0.25">
      <c r="A19" s="1"/>
      <c r="B19" s="2">
        <v>1820</v>
      </c>
      <c r="C19" s="1" t="s">
        <v>281</v>
      </c>
      <c r="D19" s="307"/>
      <c r="E19" s="148"/>
      <c r="F19" s="308"/>
      <c r="G19" s="17">
        <v>0</v>
      </c>
      <c r="H19" s="17">
        <v>0</v>
      </c>
      <c r="I19" s="17">
        <f t="shared" ref="I19:I26" si="9">G19+H19</f>
        <v>0</v>
      </c>
      <c r="J19" s="17">
        <v>0</v>
      </c>
      <c r="K19" s="17">
        <v>0</v>
      </c>
      <c r="L19" s="17">
        <f t="shared" ref="L19:L26" si="10">J19+K19</f>
        <v>0</v>
      </c>
      <c r="M19" s="17">
        <v>0</v>
      </c>
      <c r="N19" s="17">
        <v>0</v>
      </c>
      <c r="O19" s="17">
        <f t="shared" ref="O19:O26" si="11">M19+N19</f>
        <v>0</v>
      </c>
      <c r="P19" s="17">
        <v>0</v>
      </c>
      <c r="Q19" s="17">
        <v>0</v>
      </c>
      <c r="R19" s="17">
        <f t="shared" ref="R19:R26" si="12">P19+Q19</f>
        <v>0</v>
      </c>
      <c r="S19" s="17">
        <v>0</v>
      </c>
      <c r="T19" s="17">
        <v>0</v>
      </c>
      <c r="U19" s="17">
        <f t="shared" ref="U19:U26" si="13">S19+T19</f>
        <v>0</v>
      </c>
      <c r="V19" s="17">
        <v>6482.7402478000022</v>
      </c>
      <c r="W19" s="287">
        <v>-4023.0319157433282</v>
      </c>
      <c r="X19" s="287">
        <f t="shared" ref="X19:X26" si="14">V19+W19</f>
        <v>2459.708332056674</v>
      </c>
      <c r="Y19" s="287">
        <v>4630.5</v>
      </c>
      <c r="Z19" s="287">
        <v>-3807.8728403627429</v>
      </c>
      <c r="AA19" s="287">
        <f t="shared" ref="AA19:AA26" si="15">Y19+Z19</f>
        <v>822.62715963725714</v>
      </c>
      <c r="AB19" s="287">
        <v>14891.687999999998</v>
      </c>
      <c r="AC19" s="287">
        <v>-6443.9953208731986</v>
      </c>
      <c r="AD19" s="17">
        <f t="shared" ref="AD19:AD26" si="16">AB19+AC19</f>
        <v>8447.6926791267997</v>
      </c>
      <c r="AE19" s="17"/>
    </row>
    <row r="20" spans="1:31" x14ac:dyDescent="0.25">
      <c r="A20" s="1"/>
      <c r="B20" s="2">
        <v>1830</v>
      </c>
      <c r="C20" s="1" t="s">
        <v>2</v>
      </c>
      <c r="D20" s="307"/>
      <c r="E20" s="148"/>
      <c r="F20" s="308"/>
      <c r="G20" s="17">
        <v>856232.13545009145</v>
      </c>
      <c r="H20" s="17">
        <v>-35753.4</v>
      </c>
      <c r="I20" s="17">
        <f t="shared" si="9"/>
        <v>820478.73545009142</v>
      </c>
      <c r="J20" s="17">
        <v>1562926.4302999994</v>
      </c>
      <c r="K20" s="17">
        <v>-4638.9399999999996</v>
      </c>
      <c r="L20" s="17">
        <f t="shared" si="10"/>
        <v>1558287.4902999995</v>
      </c>
      <c r="M20" s="17">
        <v>1420076.9417999994</v>
      </c>
      <c r="N20" s="17">
        <v>-126185.23000000001</v>
      </c>
      <c r="O20" s="17">
        <f t="shared" si="11"/>
        <v>1293891.7117999995</v>
      </c>
      <c r="P20" s="17">
        <v>1929343.8054000004</v>
      </c>
      <c r="Q20" s="17">
        <v>-71924.450000000012</v>
      </c>
      <c r="R20" s="17">
        <f t="shared" si="12"/>
        <v>1857419.3554000005</v>
      </c>
      <c r="S20" s="17">
        <v>2144577.7320000003</v>
      </c>
      <c r="T20" s="17">
        <v>-536600.25</v>
      </c>
      <c r="U20" s="17">
        <f t="shared" si="13"/>
        <v>1607977.4820000003</v>
      </c>
      <c r="V20" s="17">
        <v>1463580.0450088552</v>
      </c>
      <c r="W20" s="287">
        <v>-268932.34105785546</v>
      </c>
      <c r="X20" s="287">
        <f t="shared" si="14"/>
        <v>1194647.7039509998</v>
      </c>
      <c r="Y20" s="287">
        <v>1492846.2100316607</v>
      </c>
      <c r="Z20" s="287">
        <v>-262436.06515830633</v>
      </c>
      <c r="AA20" s="287">
        <f t="shared" si="15"/>
        <v>1230410.1448733544</v>
      </c>
      <c r="AB20" s="287">
        <v>1589620.7518322938</v>
      </c>
      <c r="AC20" s="287">
        <v>-450740.00315496913</v>
      </c>
      <c r="AD20" s="17">
        <f t="shared" si="16"/>
        <v>1138880.7486773247</v>
      </c>
      <c r="AE20" s="17"/>
    </row>
    <row r="21" spans="1:31" x14ac:dyDescent="0.25">
      <c r="A21" s="1"/>
      <c r="B21" s="2">
        <v>1835</v>
      </c>
      <c r="C21" s="1" t="s">
        <v>3</v>
      </c>
      <c r="D21" s="307"/>
      <c r="E21" s="148"/>
      <c r="F21" s="308"/>
      <c r="G21" s="17">
        <v>616030.88600315247</v>
      </c>
      <c r="H21" s="17">
        <v>2513.23</v>
      </c>
      <c r="I21" s="17">
        <f t="shared" si="9"/>
        <v>618544.11600315245</v>
      </c>
      <c r="J21" s="17">
        <v>503160.77820000023</v>
      </c>
      <c r="K21" s="17">
        <v>-2527.8700000000003</v>
      </c>
      <c r="L21" s="17">
        <f t="shared" si="10"/>
        <v>500632.90820000024</v>
      </c>
      <c r="M21" s="17">
        <v>244492.92780000015</v>
      </c>
      <c r="N21" s="17">
        <v>-4972.0599999999995</v>
      </c>
      <c r="O21" s="17">
        <f t="shared" si="11"/>
        <v>239520.86780000015</v>
      </c>
      <c r="P21" s="17">
        <v>8741.5151999999998</v>
      </c>
      <c r="Q21" s="17">
        <v>0</v>
      </c>
      <c r="R21" s="17">
        <f t="shared" si="12"/>
        <v>8741.5151999999998</v>
      </c>
      <c r="S21" s="17">
        <v>0</v>
      </c>
      <c r="T21" s="17">
        <v>0</v>
      </c>
      <c r="U21" s="17">
        <f t="shared" si="13"/>
        <v>0</v>
      </c>
      <c r="V21" s="17">
        <v>783237.278561563</v>
      </c>
      <c r="W21" s="287">
        <v>-200404.82072841015</v>
      </c>
      <c r="X21" s="287">
        <f t="shared" si="14"/>
        <v>582832.45783315285</v>
      </c>
      <c r="Y21" s="287">
        <v>804381.64912018448</v>
      </c>
      <c r="Z21" s="287">
        <v>-191701.75488584899</v>
      </c>
      <c r="AA21" s="287">
        <f t="shared" si="15"/>
        <v>612679.89423433552</v>
      </c>
      <c r="AB21" s="287">
        <v>947626.89890258806</v>
      </c>
      <c r="AC21" s="287">
        <v>-321576.8469815969</v>
      </c>
      <c r="AD21" s="17">
        <f t="shared" si="16"/>
        <v>626050.05192099116</v>
      </c>
      <c r="AE21" s="17"/>
    </row>
    <row r="22" spans="1:31" x14ac:dyDescent="0.25">
      <c r="A22" s="1"/>
      <c r="B22" s="2">
        <v>1840</v>
      </c>
      <c r="C22" s="1" t="s">
        <v>4</v>
      </c>
      <c r="D22" s="307"/>
      <c r="E22" s="148"/>
      <c r="F22" s="308"/>
      <c r="G22" s="17">
        <v>25.031699999999997</v>
      </c>
      <c r="H22" s="17">
        <v>0</v>
      </c>
      <c r="I22" s="17">
        <f t="shared" si="9"/>
        <v>25.031699999999997</v>
      </c>
      <c r="J22" s="17">
        <v>0</v>
      </c>
      <c r="K22" s="17">
        <v>0</v>
      </c>
      <c r="L22" s="17">
        <f t="shared" si="10"/>
        <v>0</v>
      </c>
      <c r="M22" s="17">
        <v>0</v>
      </c>
      <c r="N22" s="17">
        <v>0</v>
      </c>
      <c r="O22" s="17">
        <f t="shared" si="11"/>
        <v>0</v>
      </c>
      <c r="P22" s="17">
        <v>0</v>
      </c>
      <c r="Q22" s="17">
        <v>0</v>
      </c>
      <c r="R22" s="17">
        <f t="shared" si="12"/>
        <v>0</v>
      </c>
      <c r="S22" s="17">
        <v>0</v>
      </c>
      <c r="T22" s="17">
        <v>0</v>
      </c>
      <c r="U22" s="17">
        <f t="shared" si="13"/>
        <v>0</v>
      </c>
      <c r="V22" s="17">
        <v>0</v>
      </c>
      <c r="W22" s="287">
        <v>0</v>
      </c>
      <c r="X22" s="287">
        <f t="shared" si="14"/>
        <v>0</v>
      </c>
      <c r="Y22" s="287">
        <v>0</v>
      </c>
      <c r="Z22" s="287">
        <v>0</v>
      </c>
      <c r="AA22" s="287">
        <f t="shared" si="15"/>
        <v>0</v>
      </c>
      <c r="AB22" s="287">
        <v>0</v>
      </c>
      <c r="AC22" s="287">
        <v>0</v>
      </c>
      <c r="AD22" s="17">
        <f t="shared" si="16"/>
        <v>0</v>
      </c>
      <c r="AE22" s="17"/>
    </row>
    <row r="23" spans="1:31" x14ac:dyDescent="0.25">
      <c r="A23" s="1"/>
      <c r="B23" s="2">
        <v>1845</v>
      </c>
      <c r="C23" s="1" t="s">
        <v>5</v>
      </c>
      <c r="D23" s="307"/>
      <c r="E23" s="148"/>
      <c r="F23" s="308"/>
      <c r="G23" s="17">
        <v>299832.71019999997</v>
      </c>
      <c r="H23" s="17">
        <v>0</v>
      </c>
      <c r="I23" s="17">
        <f t="shared" si="9"/>
        <v>299832.71019999997</v>
      </c>
      <c r="J23" s="17">
        <v>232957.57810000007</v>
      </c>
      <c r="K23" s="17">
        <v>0</v>
      </c>
      <c r="L23" s="17">
        <f t="shared" si="10"/>
        <v>232957.57810000007</v>
      </c>
      <c r="M23" s="17">
        <v>131757.62820000004</v>
      </c>
      <c r="N23" s="17">
        <v>-88936.35</v>
      </c>
      <c r="O23" s="17">
        <f t="shared" si="11"/>
        <v>42821.27820000003</v>
      </c>
      <c r="P23" s="17">
        <v>0</v>
      </c>
      <c r="Q23" s="17">
        <v>0</v>
      </c>
      <c r="R23" s="17">
        <f t="shared" si="12"/>
        <v>0</v>
      </c>
      <c r="S23" s="17">
        <v>0</v>
      </c>
      <c r="T23" s="17">
        <v>0</v>
      </c>
      <c r="U23" s="17">
        <f t="shared" si="13"/>
        <v>0</v>
      </c>
      <c r="V23" s="17">
        <v>167762.09875134943</v>
      </c>
      <c r="W23" s="287">
        <v>-23871.002273769987</v>
      </c>
      <c r="X23" s="287">
        <f t="shared" si="14"/>
        <v>143891.09647757944</v>
      </c>
      <c r="Y23" s="287">
        <v>193541.86295565643</v>
      </c>
      <c r="Z23" s="287">
        <v>-23270.026911790155</v>
      </c>
      <c r="AA23" s="287">
        <f t="shared" si="15"/>
        <v>170271.83604386626</v>
      </c>
      <c r="AB23" s="287">
        <v>207154.56621476953</v>
      </c>
      <c r="AC23" s="287">
        <v>-40304.04715534579</v>
      </c>
      <c r="AD23" s="17">
        <f t="shared" si="16"/>
        <v>166850.51905942374</v>
      </c>
      <c r="AE23" s="17"/>
    </row>
    <row r="24" spans="1:31" x14ac:dyDescent="0.25">
      <c r="A24" s="1"/>
      <c r="B24" s="2">
        <v>1850</v>
      </c>
      <c r="C24" s="1" t="s">
        <v>6</v>
      </c>
      <c r="D24" s="307"/>
      <c r="E24" s="148"/>
      <c r="F24" s="308"/>
      <c r="G24" s="17">
        <v>1076138.6156134228</v>
      </c>
      <c r="H24" s="17">
        <v>-262431.34999999998</v>
      </c>
      <c r="I24" s="17">
        <f t="shared" si="9"/>
        <v>813707.26561342285</v>
      </c>
      <c r="J24" s="17">
        <v>1573085.6140000012</v>
      </c>
      <c r="K24" s="17">
        <v>0</v>
      </c>
      <c r="L24" s="17">
        <f t="shared" si="10"/>
        <v>1573085.6140000012</v>
      </c>
      <c r="M24" s="17">
        <v>992819.40780000086</v>
      </c>
      <c r="N24" s="17">
        <v>-77.540000000000006</v>
      </c>
      <c r="O24" s="17">
        <f t="shared" si="11"/>
        <v>992741.86780000082</v>
      </c>
      <c r="P24" s="17">
        <v>21690.946200000006</v>
      </c>
      <c r="Q24" s="17">
        <v>-74980.14</v>
      </c>
      <c r="R24" s="17">
        <f t="shared" si="12"/>
        <v>-53289.193799999994</v>
      </c>
      <c r="S24" s="17">
        <v>8049.6570000000011</v>
      </c>
      <c r="T24" s="17">
        <v>0</v>
      </c>
      <c r="U24" s="17">
        <f t="shared" si="13"/>
        <v>8049.6570000000011</v>
      </c>
      <c r="V24" s="17">
        <v>3204288.6624211236</v>
      </c>
      <c r="W24" s="287">
        <v>-187990.55288505059</v>
      </c>
      <c r="X24" s="287">
        <f t="shared" si="14"/>
        <v>3016298.1095360732</v>
      </c>
      <c r="Y24" s="287">
        <v>3081741.7432648633</v>
      </c>
      <c r="Z24" s="287">
        <v>-194415.37081391504</v>
      </c>
      <c r="AA24" s="287">
        <f t="shared" si="15"/>
        <v>2887326.3724509482</v>
      </c>
      <c r="AB24" s="287">
        <v>3179620.8893301599</v>
      </c>
      <c r="AC24" s="287">
        <v>-352710.42270225729</v>
      </c>
      <c r="AD24" s="17">
        <f t="shared" si="16"/>
        <v>2826910.4666279024</v>
      </c>
      <c r="AE24" s="17"/>
    </row>
    <row r="25" spans="1:31" x14ac:dyDescent="0.25">
      <c r="A25" s="1"/>
      <c r="B25" s="2">
        <v>1855</v>
      </c>
      <c r="C25" s="1" t="s">
        <v>16</v>
      </c>
      <c r="D25" s="307"/>
      <c r="E25" s="148"/>
      <c r="F25" s="308"/>
      <c r="G25" s="17">
        <v>0</v>
      </c>
      <c r="H25" s="17">
        <v>0</v>
      </c>
      <c r="I25" s="17">
        <f t="shared" si="9"/>
        <v>0</v>
      </c>
      <c r="J25" s="17">
        <v>0</v>
      </c>
      <c r="K25" s="17">
        <v>0</v>
      </c>
      <c r="L25" s="17">
        <f t="shared" si="10"/>
        <v>0</v>
      </c>
      <c r="M25" s="17">
        <v>0</v>
      </c>
      <c r="N25" s="17">
        <v>0</v>
      </c>
      <c r="O25" s="17">
        <f t="shared" si="11"/>
        <v>0</v>
      </c>
      <c r="P25" s="17">
        <v>0</v>
      </c>
      <c r="Q25" s="17">
        <v>0</v>
      </c>
      <c r="R25" s="17">
        <f t="shared" si="12"/>
        <v>0</v>
      </c>
      <c r="S25" s="17">
        <v>0</v>
      </c>
      <c r="T25" s="17">
        <v>0</v>
      </c>
      <c r="U25" s="17">
        <f t="shared" si="13"/>
        <v>0</v>
      </c>
      <c r="V25" s="17">
        <v>0</v>
      </c>
      <c r="W25" s="287">
        <v>0</v>
      </c>
      <c r="X25" s="287">
        <f t="shared" si="14"/>
        <v>0</v>
      </c>
      <c r="Y25" s="287">
        <v>0</v>
      </c>
      <c r="Z25" s="287">
        <v>0</v>
      </c>
      <c r="AA25" s="287">
        <f t="shared" si="15"/>
        <v>0</v>
      </c>
      <c r="AB25" s="287">
        <v>0</v>
      </c>
      <c r="AC25" s="287">
        <v>0</v>
      </c>
      <c r="AD25" s="17">
        <f t="shared" si="16"/>
        <v>0</v>
      </c>
      <c r="AE25" s="17"/>
    </row>
    <row r="26" spans="1:31" x14ac:dyDescent="0.25">
      <c r="A26" s="1"/>
      <c r="B26" s="2">
        <v>1860</v>
      </c>
      <c r="C26" s="1" t="s">
        <v>7</v>
      </c>
      <c r="D26" s="307"/>
      <c r="E26" s="148"/>
      <c r="F26" s="308"/>
      <c r="G26" s="17">
        <v>31397.650399999991</v>
      </c>
      <c r="H26" s="17">
        <v>-103403.25</v>
      </c>
      <c r="I26" s="17">
        <f t="shared" si="9"/>
        <v>-72005.599600000016</v>
      </c>
      <c r="J26" s="17">
        <v>62897.186900000001</v>
      </c>
      <c r="K26" s="17">
        <v>0</v>
      </c>
      <c r="L26" s="17">
        <f t="shared" si="10"/>
        <v>62897.186900000001</v>
      </c>
      <c r="M26" s="17">
        <v>3292890.0642000004</v>
      </c>
      <c r="N26" s="17">
        <v>6569.6200000000026</v>
      </c>
      <c r="O26" s="17">
        <f t="shared" si="11"/>
        <v>3299459.6842000005</v>
      </c>
      <c r="P26" s="17">
        <v>269376.97380000004</v>
      </c>
      <c r="Q26" s="17">
        <v>-547360.79999999993</v>
      </c>
      <c r="R26" s="17">
        <f t="shared" si="12"/>
        <v>-277983.82619999989</v>
      </c>
      <c r="S26" s="17">
        <v>1277096.8452000001</v>
      </c>
      <c r="T26" s="17">
        <v>-63993.200000000004</v>
      </c>
      <c r="U26" s="17">
        <f t="shared" si="13"/>
        <v>1213103.6452000001</v>
      </c>
      <c r="V26" s="17">
        <v>201265.35712990662</v>
      </c>
      <c r="W26" s="287">
        <v>0</v>
      </c>
      <c r="X26" s="287">
        <f t="shared" si="14"/>
        <v>201265.35712990662</v>
      </c>
      <c r="Y26" s="287">
        <v>193893.9553701047</v>
      </c>
      <c r="Z26" s="287">
        <v>0</v>
      </c>
      <c r="AA26" s="287">
        <f t="shared" si="15"/>
        <v>193893.9553701047</v>
      </c>
      <c r="AB26" s="287">
        <v>196087.55447750672</v>
      </c>
      <c r="AC26" s="287">
        <v>0</v>
      </c>
      <c r="AD26" s="17">
        <f t="shared" si="16"/>
        <v>196087.55447750672</v>
      </c>
      <c r="AE26" s="17"/>
    </row>
    <row r="27" spans="1:31" s="37" customFormat="1" x14ac:dyDescent="0.25">
      <c r="A27" s="313"/>
      <c r="B27" s="314"/>
      <c r="C27" s="313" t="s">
        <v>18</v>
      </c>
      <c r="D27" s="311"/>
      <c r="F27" s="304"/>
      <c r="G27" s="312">
        <f>SUM(G18:G26)</f>
        <v>2879657.0293666669</v>
      </c>
      <c r="H27" s="312">
        <f t="shared" ref="H27:AD27" si="17">SUM(H18:H26)</f>
        <v>-399074.76999999996</v>
      </c>
      <c r="I27" s="312">
        <f t="shared" si="17"/>
        <v>2480582.2593666664</v>
      </c>
      <c r="J27" s="312">
        <f t="shared" si="17"/>
        <v>3935027.5875000013</v>
      </c>
      <c r="K27" s="312">
        <f t="shared" si="17"/>
        <v>-7166.8099999999995</v>
      </c>
      <c r="L27" s="312">
        <f t="shared" si="17"/>
        <v>3927860.7775000008</v>
      </c>
      <c r="M27" s="312">
        <f t="shared" si="17"/>
        <v>6082036.969800001</v>
      </c>
      <c r="N27" s="312">
        <f t="shared" si="17"/>
        <v>-213601.56000000003</v>
      </c>
      <c r="O27" s="312">
        <f t="shared" si="17"/>
        <v>5868435.4098000005</v>
      </c>
      <c r="P27" s="312">
        <f t="shared" si="17"/>
        <v>2229153.2406000001</v>
      </c>
      <c r="Q27" s="312">
        <f t="shared" si="17"/>
        <v>-694265.3899999999</v>
      </c>
      <c r="R27" s="312">
        <f t="shared" si="17"/>
        <v>1534887.8506000005</v>
      </c>
      <c r="S27" s="312">
        <f t="shared" si="17"/>
        <v>3429724.2342000008</v>
      </c>
      <c r="T27" s="312">
        <f t="shared" si="17"/>
        <v>-600593.44999999995</v>
      </c>
      <c r="U27" s="312">
        <f t="shared" si="17"/>
        <v>2829130.7842000006</v>
      </c>
      <c r="V27" s="312">
        <f t="shared" si="17"/>
        <v>5835038.4397142371</v>
      </c>
      <c r="W27" s="312">
        <f t="shared" si="17"/>
        <v>-685378.94335174258</v>
      </c>
      <c r="X27" s="312">
        <f t="shared" si="17"/>
        <v>5149659.4963624952</v>
      </c>
      <c r="Y27" s="312">
        <f t="shared" si="17"/>
        <v>5777051.8207424702</v>
      </c>
      <c r="Z27" s="312">
        <f t="shared" si="17"/>
        <v>-675884.33311001107</v>
      </c>
      <c r="AA27" s="312">
        <f t="shared" si="17"/>
        <v>5101167.487632459</v>
      </c>
      <c r="AB27" s="312">
        <f t="shared" si="17"/>
        <v>6154349.4831573172</v>
      </c>
      <c r="AC27" s="312">
        <f t="shared" si="17"/>
        <v>-1172748.2155700277</v>
      </c>
      <c r="AD27" s="312">
        <f t="shared" si="17"/>
        <v>4981601.2675872901</v>
      </c>
    </row>
    <row r="28" spans="1:31" x14ac:dyDescent="0.25">
      <c r="A28" s="16"/>
      <c r="B28" s="16"/>
      <c r="C28" s="16"/>
      <c r="E28" s="17"/>
    </row>
    <row r="29" spans="1:31" x14ac:dyDescent="0.25">
      <c r="E29" s="19"/>
    </row>
    <row r="30" spans="1:31" x14ac:dyDescent="0.25">
      <c r="A30" s="37" t="s">
        <v>12</v>
      </c>
      <c r="D30" s="323">
        <v>2015</v>
      </c>
      <c r="E30" s="323"/>
      <c r="F30" s="323"/>
      <c r="G30" s="323">
        <v>2016</v>
      </c>
      <c r="H30" s="323"/>
      <c r="I30" s="323"/>
      <c r="J30" s="323">
        <v>2017</v>
      </c>
      <c r="K30" s="323"/>
      <c r="L30" s="323"/>
      <c r="M30" s="323">
        <v>2018</v>
      </c>
      <c r="N30" s="323"/>
      <c r="O30" s="323"/>
      <c r="P30" s="323">
        <v>2019</v>
      </c>
      <c r="Q30" s="323"/>
      <c r="R30" s="323"/>
      <c r="S30" s="323">
        <v>2020</v>
      </c>
      <c r="T30" s="323"/>
      <c r="U30" s="323"/>
      <c r="V30" s="323">
        <v>2021</v>
      </c>
      <c r="W30" s="323"/>
      <c r="X30" s="323"/>
      <c r="Y30" s="323">
        <v>2022</v>
      </c>
      <c r="Z30" s="323"/>
      <c r="AA30" s="323"/>
      <c r="AB30" s="323">
        <v>2023</v>
      </c>
      <c r="AC30" s="323"/>
      <c r="AD30" s="323"/>
    </row>
    <row r="31" spans="1:31" s="8" customFormat="1" ht="30" x14ac:dyDescent="0.25">
      <c r="A31" s="2"/>
      <c r="B31" s="2"/>
      <c r="C31" s="2"/>
      <c r="D31" s="303" t="s">
        <v>337</v>
      </c>
      <c r="E31" s="303" t="s">
        <v>338</v>
      </c>
      <c r="F31" s="304" t="s">
        <v>339</v>
      </c>
      <c r="G31" s="303" t="s">
        <v>337</v>
      </c>
      <c r="H31" s="303" t="s">
        <v>338</v>
      </c>
      <c r="I31" s="304" t="s">
        <v>339</v>
      </c>
      <c r="J31" s="303" t="s">
        <v>337</v>
      </c>
      <c r="K31" s="303" t="s">
        <v>338</v>
      </c>
      <c r="L31" s="304" t="s">
        <v>339</v>
      </c>
      <c r="M31" s="303" t="s">
        <v>337</v>
      </c>
      <c r="N31" s="303" t="s">
        <v>338</v>
      </c>
      <c r="O31" s="304" t="s">
        <v>339</v>
      </c>
      <c r="P31" s="303" t="s">
        <v>337</v>
      </c>
      <c r="Q31" s="303" t="s">
        <v>338</v>
      </c>
      <c r="R31" s="304" t="s">
        <v>339</v>
      </c>
      <c r="S31" s="303" t="s">
        <v>337</v>
      </c>
      <c r="T31" s="303" t="s">
        <v>338</v>
      </c>
      <c r="U31" s="304" t="s">
        <v>339</v>
      </c>
      <c r="V31" s="303" t="s">
        <v>337</v>
      </c>
      <c r="W31" s="319" t="s">
        <v>338</v>
      </c>
      <c r="X31" s="320" t="s">
        <v>339</v>
      </c>
      <c r="Y31" s="319" t="s">
        <v>337</v>
      </c>
      <c r="Z31" s="319" t="s">
        <v>338</v>
      </c>
      <c r="AA31" s="320" t="s">
        <v>339</v>
      </c>
      <c r="AB31" s="319" t="s">
        <v>337</v>
      </c>
      <c r="AC31" s="319" t="s">
        <v>338</v>
      </c>
      <c r="AD31" s="320" t="s">
        <v>339</v>
      </c>
    </row>
    <row r="32" spans="1:31" x14ac:dyDescent="0.25">
      <c r="A32" s="1"/>
      <c r="B32" s="2">
        <v>1815</v>
      </c>
      <c r="C32" s="1" t="s">
        <v>280</v>
      </c>
      <c r="D32" s="305">
        <v>0</v>
      </c>
      <c r="E32" s="305">
        <v>0</v>
      </c>
      <c r="F32" s="306">
        <f>D32+E32</f>
        <v>0</v>
      </c>
      <c r="G32" s="305">
        <v>0</v>
      </c>
      <c r="H32" s="305">
        <v>0</v>
      </c>
      <c r="I32" s="306">
        <f>G32+H32</f>
        <v>0</v>
      </c>
      <c r="J32" s="305">
        <v>0</v>
      </c>
      <c r="K32" s="305">
        <v>0</v>
      </c>
      <c r="L32" s="306">
        <f>J32+K32</f>
        <v>0</v>
      </c>
      <c r="M32" s="305">
        <v>0</v>
      </c>
      <c r="N32" s="305">
        <v>0</v>
      </c>
      <c r="O32" s="306">
        <f>M32+N32</f>
        <v>0</v>
      </c>
      <c r="P32" s="305">
        <v>0</v>
      </c>
      <c r="Q32" s="305">
        <v>0</v>
      </c>
      <c r="R32" s="306">
        <f>P32+Q32</f>
        <v>0</v>
      </c>
      <c r="S32" s="305">
        <v>83954.1054</v>
      </c>
      <c r="T32" s="305">
        <v>0</v>
      </c>
      <c r="U32" s="306">
        <f>S32+T32</f>
        <v>83954.1054</v>
      </c>
      <c r="V32" s="305">
        <v>7180.5842558999975</v>
      </c>
      <c r="W32" s="287">
        <v>-169454.48636367742</v>
      </c>
      <c r="X32" s="321">
        <f>V32+W32</f>
        <v>-162273.90210777742</v>
      </c>
      <c r="Y32" s="322">
        <v>10515.023164800001</v>
      </c>
      <c r="Z32" s="287">
        <v>-159430.633737928</v>
      </c>
      <c r="AA32" s="321">
        <f>Y32+Z32</f>
        <v>-148915.61057312801</v>
      </c>
      <c r="AB32" s="322">
        <v>10640.202012</v>
      </c>
      <c r="AC32" s="287">
        <v>-262056.94884309836</v>
      </c>
      <c r="AD32" s="321">
        <f>AB32+AC32</f>
        <v>-251416.74683109837</v>
      </c>
      <c r="AE32" s="17"/>
    </row>
    <row r="33" spans="1:31" x14ac:dyDescent="0.25">
      <c r="A33" s="1"/>
      <c r="B33" s="2">
        <v>1820</v>
      </c>
      <c r="C33" s="1" t="s">
        <v>281</v>
      </c>
      <c r="D33" s="305">
        <v>11064.055199999999</v>
      </c>
      <c r="E33" s="305">
        <v>-166857.87999999998</v>
      </c>
      <c r="F33" s="306">
        <f t="shared" ref="F33:F40" si="18">D33+E33</f>
        <v>-155793.82479999997</v>
      </c>
      <c r="G33" s="305">
        <v>0</v>
      </c>
      <c r="H33" s="305">
        <v>0</v>
      </c>
      <c r="I33" s="306">
        <f t="shared" ref="I33:I40" si="19">G33+H33</f>
        <v>0</v>
      </c>
      <c r="J33" s="305">
        <v>0</v>
      </c>
      <c r="K33" s="305">
        <v>0</v>
      </c>
      <c r="L33" s="306">
        <f t="shared" ref="L33:L40" si="20">J33+K33</f>
        <v>0</v>
      </c>
      <c r="M33" s="305">
        <v>193083.2904</v>
      </c>
      <c r="N33" s="305">
        <v>0</v>
      </c>
      <c r="O33" s="306">
        <f t="shared" ref="O33:O40" si="21">M33+N33</f>
        <v>193083.2904</v>
      </c>
      <c r="P33" s="305">
        <v>1174765.7988000002</v>
      </c>
      <c r="Q33" s="305">
        <v>-1392513.5800000003</v>
      </c>
      <c r="R33" s="306">
        <f t="shared" ref="R33:R40" si="22">P33+Q33</f>
        <v>-217747.78120000008</v>
      </c>
      <c r="S33" s="305">
        <v>631889.94000000006</v>
      </c>
      <c r="T33" s="305">
        <v>0</v>
      </c>
      <c r="U33" s="306">
        <f t="shared" ref="U33:U40" si="23">S33+T33</f>
        <v>631889.94000000006</v>
      </c>
      <c r="V33" s="305">
        <v>24518.460103920002</v>
      </c>
      <c r="W33" s="287">
        <v>-44577.740095197878</v>
      </c>
      <c r="X33" s="321">
        <f t="shared" ref="X33:X40" si="24">V33+W33</f>
        <v>-20059.279991277876</v>
      </c>
      <c r="Y33" s="322">
        <v>62472.150267468409</v>
      </c>
      <c r="Z33" s="287">
        <v>-42282.643706990704</v>
      </c>
      <c r="AA33" s="321">
        <f t="shared" ref="AA33:AA40" si="25">Y33+Z33</f>
        <v>20189.506560477705</v>
      </c>
      <c r="AB33" s="322">
        <v>63268.64873999999</v>
      </c>
      <c r="AC33" s="287">
        <v>-70218.411497686699</v>
      </c>
      <c r="AD33" s="321">
        <f t="shared" ref="AD33:AD40" si="26">AB33+AC33</f>
        <v>-6949.7627576867089</v>
      </c>
      <c r="AE33" s="17"/>
    </row>
    <row r="34" spans="1:31" x14ac:dyDescent="0.25">
      <c r="A34" s="1"/>
      <c r="B34" s="2">
        <v>1830</v>
      </c>
      <c r="C34" s="1" t="s">
        <v>2</v>
      </c>
      <c r="D34" s="305">
        <v>12870.126299999998</v>
      </c>
      <c r="E34" s="305">
        <v>0</v>
      </c>
      <c r="F34" s="306">
        <f t="shared" si="18"/>
        <v>12870.126299999998</v>
      </c>
      <c r="G34" s="305">
        <v>315258.94480610039</v>
      </c>
      <c r="H34" s="305">
        <v>0</v>
      </c>
      <c r="I34" s="306">
        <f t="shared" si="19"/>
        <v>315258.94480610039</v>
      </c>
      <c r="J34" s="305">
        <v>445038.87899999967</v>
      </c>
      <c r="K34" s="305">
        <v>0</v>
      </c>
      <c r="L34" s="306">
        <f t="shared" si="20"/>
        <v>445038.87899999967</v>
      </c>
      <c r="M34" s="305">
        <v>715105.43280000053</v>
      </c>
      <c r="N34" s="305">
        <v>6251.32</v>
      </c>
      <c r="O34" s="306">
        <f t="shared" si="21"/>
        <v>721356.75280000048</v>
      </c>
      <c r="P34" s="305">
        <v>1695870.5873999996</v>
      </c>
      <c r="Q34" s="305">
        <v>-186014.88999999996</v>
      </c>
      <c r="R34" s="306">
        <f t="shared" si="22"/>
        <v>1509855.6973999997</v>
      </c>
      <c r="S34" s="305">
        <v>1172483.3736</v>
      </c>
      <c r="T34" s="305">
        <v>-1319335.31</v>
      </c>
      <c r="U34" s="306">
        <f t="shared" si="23"/>
        <v>-146851.93640000001</v>
      </c>
      <c r="V34" s="305">
        <v>1406605.4869925817</v>
      </c>
      <c r="W34" s="287">
        <v>-198759.44821902429</v>
      </c>
      <c r="X34" s="321">
        <f t="shared" si="24"/>
        <v>1207846.0387735574</v>
      </c>
      <c r="Y34" s="322">
        <v>1415656.1983749017</v>
      </c>
      <c r="Z34" s="287">
        <v>-196272.0924535704</v>
      </c>
      <c r="AA34" s="321">
        <f t="shared" si="25"/>
        <v>1219384.1059213313</v>
      </c>
      <c r="AB34" s="322">
        <v>1445668.1701644151</v>
      </c>
      <c r="AC34" s="287">
        <v>-340229.10497159732</v>
      </c>
      <c r="AD34" s="321">
        <f t="shared" si="26"/>
        <v>1105439.0651928177</v>
      </c>
      <c r="AE34" s="17"/>
    </row>
    <row r="35" spans="1:31" x14ac:dyDescent="0.25">
      <c r="A35" s="1"/>
      <c r="B35" s="2">
        <v>1835</v>
      </c>
      <c r="C35" s="1" t="s">
        <v>3</v>
      </c>
      <c r="D35" s="305">
        <v>82140.118299999987</v>
      </c>
      <c r="E35" s="305">
        <v>0</v>
      </c>
      <c r="F35" s="306">
        <f t="shared" si="18"/>
        <v>82140.118299999987</v>
      </c>
      <c r="G35" s="305">
        <v>85130.395087993456</v>
      </c>
      <c r="H35" s="305">
        <v>0</v>
      </c>
      <c r="I35" s="306">
        <f t="shared" si="19"/>
        <v>85130.395087993456</v>
      </c>
      <c r="J35" s="305">
        <v>683895.94479999982</v>
      </c>
      <c r="K35" s="305">
        <v>0</v>
      </c>
      <c r="L35" s="306">
        <f t="shared" si="20"/>
        <v>683895.94479999982</v>
      </c>
      <c r="M35" s="305">
        <v>82979.496599999984</v>
      </c>
      <c r="N35" s="305">
        <v>6742</v>
      </c>
      <c r="O35" s="306">
        <f t="shared" si="21"/>
        <v>89721.496599999984</v>
      </c>
      <c r="P35" s="305">
        <v>8.9627999999999997</v>
      </c>
      <c r="Q35" s="305">
        <v>0</v>
      </c>
      <c r="R35" s="306">
        <f t="shared" si="22"/>
        <v>8.9627999999999997</v>
      </c>
      <c r="S35" s="305">
        <v>0</v>
      </c>
      <c r="T35" s="305">
        <v>0</v>
      </c>
      <c r="U35" s="306">
        <f t="shared" si="23"/>
        <v>0</v>
      </c>
      <c r="V35" s="305">
        <v>835984.02951278933</v>
      </c>
      <c r="W35" s="287">
        <v>-135052.09170408844</v>
      </c>
      <c r="X35" s="321">
        <f t="shared" si="24"/>
        <v>700931.93780870084</v>
      </c>
      <c r="Y35" s="322">
        <v>846304.29056160944</v>
      </c>
      <c r="Z35" s="287">
        <v>-131945.51828942911</v>
      </c>
      <c r="AA35" s="321">
        <f t="shared" si="25"/>
        <v>714358.7722721803</v>
      </c>
      <c r="AB35" s="322">
        <v>865562.80344656936</v>
      </c>
      <c r="AC35" s="287">
        <v>-224441.9737810168</v>
      </c>
      <c r="AD35" s="321">
        <f t="shared" si="26"/>
        <v>641120.82966555259</v>
      </c>
      <c r="AE35" s="17"/>
    </row>
    <row r="36" spans="1:31" x14ac:dyDescent="0.25">
      <c r="A36" s="1"/>
      <c r="B36" s="2">
        <v>1840</v>
      </c>
      <c r="C36" s="1" t="s">
        <v>4</v>
      </c>
      <c r="D36" s="305">
        <v>29940.957299999995</v>
      </c>
      <c r="E36" s="305">
        <v>0</v>
      </c>
      <c r="F36" s="306">
        <f t="shared" si="18"/>
        <v>29940.957299999995</v>
      </c>
      <c r="G36" s="305">
        <v>0</v>
      </c>
      <c r="H36" s="305">
        <v>0</v>
      </c>
      <c r="I36" s="306">
        <f t="shared" si="19"/>
        <v>0</v>
      </c>
      <c r="J36" s="305">
        <v>0</v>
      </c>
      <c r="K36" s="305">
        <v>0</v>
      </c>
      <c r="L36" s="306">
        <f t="shared" si="20"/>
        <v>0</v>
      </c>
      <c r="M36" s="305">
        <v>0</v>
      </c>
      <c r="N36" s="305">
        <v>0</v>
      </c>
      <c r="O36" s="306">
        <f t="shared" si="21"/>
        <v>0</v>
      </c>
      <c r="P36" s="305">
        <v>0</v>
      </c>
      <c r="Q36" s="305">
        <v>0</v>
      </c>
      <c r="R36" s="306">
        <f t="shared" si="22"/>
        <v>0</v>
      </c>
      <c r="S36" s="305">
        <v>0</v>
      </c>
      <c r="T36" s="305">
        <v>0</v>
      </c>
      <c r="U36" s="306">
        <f t="shared" si="23"/>
        <v>0</v>
      </c>
      <c r="V36" s="305">
        <v>0</v>
      </c>
      <c r="W36" s="287">
        <v>0</v>
      </c>
      <c r="X36" s="321">
        <f t="shared" si="24"/>
        <v>0</v>
      </c>
      <c r="Y36" s="322">
        <v>0</v>
      </c>
      <c r="Z36" s="287">
        <v>0</v>
      </c>
      <c r="AA36" s="321">
        <f t="shared" si="25"/>
        <v>0</v>
      </c>
      <c r="AB36" s="322">
        <v>0</v>
      </c>
      <c r="AC36" s="287">
        <v>0</v>
      </c>
      <c r="AD36" s="321">
        <f t="shared" si="26"/>
        <v>0</v>
      </c>
      <c r="AE36" s="17"/>
    </row>
    <row r="37" spans="1:31" x14ac:dyDescent="0.25">
      <c r="A37" s="1"/>
      <c r="B37" s="2">
        <v>1845</v>
      </c>
      <c r="C37" s="1" t="s">
        <v>5</v>
      </c>
      <c r="D37" s="305">
        <v>75435.849399999992</v>
      </c>
      <c r="E37" s="305">
        <v>0</v>
      </c>
      <c r="F37" s="306">
        <f t="shared" si="18"/>
        <v>75435.849399999992</v>
      </c>
      <c r="G37" s="305">
        <v>180603.71549999996</v>
      </c>
      <c r="H37" s="305">
        <v>0</v>
      </c>
      <c r="I37" s="306">
        <f t="shared" si="19"/>
        <v>180603.71549999996</v>
      </c>
      <c r="J37" s="305">
        <v>414702.342</v>
      </c>
      <c r="K37" s="305">
        <v>0</v>
      </c>
      <c r="L37" s="306">
        <f t="shared" si="20"/>
        <v>414702.342</v>
      </c>
      <c r="M37" s="305">
        <v>84575.501999999979</v>
      </c>
      <c r="N37" s="305">
        <v>0</v>
      </c>
      <c r="O37" s="306">
        <f t="shared" si="21"/>
        <v>84575.501999999979</v>
      </c>
      <c r="P37" s="305">
        <v>0</v>
      </c>
      <c r="Q37" s="305">
        <v>0</v>
      </c>
      <c r="R37" s="306">
        <f t="shared" si="22"/>
        <v>0</v>
      </c>
      <c r="S37" s="305">
        <v>0</v>
      </c>
      <c r="T37" s="305">
        <v>0</v>
      </c>
      <c r="U37" s="306">
        <f t="shared" si="23"/>
        <v>0</v>
      </c>
      <c r="V37" s="305">
        <v>296570.51375155721</v>
      </c>
      <c r="W37" s="287">
        <v>-22122.694953479018</v>
      </c>
      <c r="X37" s="321">
        <f t="shared" si="24"/>
        <v>274447.81879807822</v>
      </c>
      <c r="Y37" s="322">
        <v>291169.45455310837</v>
      </c>
      <c r="Z37" s="287">
        <v>-21862.198901842752</v>
      </c>
      <c r="AA37" s="321">
        <f t="shared" si="25"/>
        <v>269307.25565126562</v>
      </c>
      <c r="AB37" s="322">
        <v>298747.87290817045</v>
      </c>
      <c r="AC37" s="287">
        <v>-38332.8628891341</v>
      </c>
      <c r="AD37" s="321">
        <f t="shared" si="26"/>
        <v>260415.01001903636</v>
      </c>
      <c r="AE37" s="17"/>
    </row>
    <row r="38" spans="1:31" x14ac:dyDescent="0.25">
      <c r="A38" s="1"/>
      <c r="B38" s="2">
        <v>1850</v>
      </c>
      <c r="C38" s="1" t="s">
        <v>6</v>
      </c>
      <c r="D38" s="305">
        <v>446987.9571</v>
      </c>
      <c r="E38" s="305">
        <v>-324782.33999999997</v>
      </c>
      <c r="F38" s="306">
        <f t="shared" si="18"/>
        <v>122205.61710000003</v>
      </c>
      <c r="G38" s="305">
        <v>332686.84847257315</v>
      </c>
      <c r="H38" s="305">
        <v>0</v>
      </c>
      <c r="I38" s="306">
        <f t="shared" si="19"/>
        <v>332686.84847257315</v>
      </c>
      <c r="J38" s="305">
        <v>622067.86479999986</v>
      </c>
      <c r="K38" s="305">
        <v>0</v>
      </c>
      <c r="L38" s="306">
        <f t="shared" si="20"/>
        <v>622067.86479999986</v>
      </c>
      <c r="M38" s="305">
        <v>315603.47280000022</v>
      </c>
      <c r="N38" s="305">
        <v>20065.63</v>
      </c>
      <c r="O38" s="306">
        <f t="shared" si="21"/>
        <v>335669.10280000023</v>
      </c>
      <c r="P38" s="305">
        <v>50429.715600000003</v>
      </c>
      <c r="Q38" s="305">
        <v>0</v>
      </c>
      <c r="R38" s="306">
        <f t="shared" si="22"/>
        <v>50429.715600000003</v>
      </c>
      <c r="S38" s="305">
        <v>4068.6228000000006</v>
      </c>
      <c r="T38" s="305">
        <v>-2977.48</v>
      </c>
      <c r="U38" s="306">
        <f t="shared" si="23"/>
        <v>1091.1428000000005</v>
      </c>
      <c r="V38" s="305">
        <v>1271317.7570211852</v>
      </c>
      <c r="W38" s="287">
        <v>-168357.15863708447</v>
      </c>
      <c r="X38" s="321">
        <f t="shared" si="24"/>
        <v>1102960.5983841007</v>
      </c>
      <c r="Y38" s="322">
        <v>1162075.0878201155</v>
      </c>
      <c r="Z38" s="287">
        <v>-161242.6871676154</v>
      </c>
      <c r="AA38" s="321">
        <f t="shared" si="25"/>
        <v>1000832.4006525001</v>
      </c>
      <c r="AB38" s="322">
        <v>1184863.8707141499</v>
      </c>
      <c r="AC38" s="287">
        <v>-273779.17208969995</v>
      </c>
      <c r="AD38" s="321">
        <f t="shared" si="26"/>
        <v>911084.69862445001</v>
      </c>
      <c r="AE38" s="17"/>
    </row>
    <row r="39" spans="1:31" x14ac:dyDescent="0.25">
      <c r="A39" s="1"/>
      <c r="B39" s="2">
        <v>1855</v>
      </c>
      <c r="C39" s="1" t="s">
        <v>16</v>
      </c>
      <c r="D39" s="305">
        <v>0</v>
      </c>
      <c r="E39" s="305">
        <v>0</v>
      </c>
      <c r="F39" s="306">
        <f t="shared" si="18"/>
        <v>0</v>
      </c>
      <c r="G39" s="305">
        <v>0</v>
      </c>
      <c r="H39" s="305">
        <v>0</v>
      </c>
      <c r="I39" s="306">
        <f t="shared" si="19"/>
        <v>0</v>
      </c>
      <c r="J39" s="305">
        <v>0</v>
      </c>
      <c r="K39" s="305">
        <v>0</v>
      </c>
      <c r="L39" s="306">
        <f t="shared" si="20"/>
        <v>0</v>
      </c>
      <c r="M39" s="305">
        <v>0</v>
      </c>
      <c r="N39" s="305">
        <v>0</v>
      </c>
      <c r="O39" s="306">
        <f t="shared" si="21"/>
        <v>0</v>
      </c>
      <c r="P39" s="305">
        <v>0</v>
      </c>
      <c r="Q39" s="305">
        <v>0</v>
      </c>
      <c r="R39" s="306">
        <f t="shared" si="22"/>
        <v>0</v>
      </c>
      <c r="S39" s="305">
        <v>0</v>
      </c>
      <c r="T39" s="305">
        <v>0</v>
      </c>
      <c r="U39" s="306">
        <f t="shared" si="23"/>
        <v>0</v>
      </c>
      <c r="V39" s="305">
        <v>0</v>
      </c>
      <c r="W39" s="287">
        <v>0</v>
      </c>
      <c r="X39" s="321">
        <f t="shared" si="24"/>
        <v>0</v>
      </c>
      <c r="Y39" s="322">
        <v>0</v>
      </c>
      <c r="Z39" s="287">
        <v>0</v>
      </c>
      <c r="AA39" s="321">
        <f t="shared" si="25"/>
        <v>0</v>
      </c>
      <c r="AB39" s="322">
        <v>0</v>
      </c>
      <c r="AC39" s="287">
        <v>0</v>
      </c>
      <c r="AD39" s="321">
        <f t="shared" si="26"/>
        <v>0</v>
      </c>
      <c r="AE39" s="17"/>
    </row>
    <row r="40" spans="1:31" x14ac:dyDescent="0.25">
      <c r="A40" s="1"/>
      <c r="B40" s="2">
        <v>1860</v>
      </c>
      <c r="C40" s="1" t="s">
        <v>7</v>
      </c>
      <c r="D40" s="305">
        <v>37087.934699999998</v>
      </c>
      <c r="E40" s="305">
        <v>-148860.66999999998</v>
      </c>
      <c r="F40" s="306">
        <f t="shared" si="18"/>
        <v>-111772.73529999999</v>
      </c>
      <c r="G40" s="305">
        <v>0</v>
      </c>
      <c r="H40" s="305">
        <v>0</v>
      </c>
      <c r="I40" s="306">
        <f t="shared" si="19"/>
        <v>0</v>
      </c>
      <c r="J40" s="305">
        <v>30216.364399999999</v>
      </c>
      <c r="K40" s="305">
        <v>0</v>
      </c>
      <c r="L40" s="306">
        <f t="shared" si="20"/>
        <v>30216.364399999999</v>
      </c>
      <c r="M40" s="305">
        <v>83919.785400000008</v>
      </c>
      <c r="N40" s="305">
        <v>2453.579999999999</v>
      </c>
      <c r="O40" s="306">
        <f t="shared" si="21"/>
        <v>86373.36540000001</v>
      </c>
      <c r="P40" s="305">
        <v>113271.89280000002</v>
      </c>
      <c r="Q40" s="305">
        <v>-626612.92000000004</v>
      </c>
      <c r="R40" s="306">
        <f t="shared" si="22"/>
        <v>-513341.02720000001</v>
      </c>
      <c r="S40" s="305">
        <v>368011.2281999999</v>
      </c>
      <c r="T40" s="305">
        <v>-110444.90000000001</v>
      </c>
      <c r="U40" s="306">
        <f t="shared" si="23"/>
        <v>257566.32819999987</v>
      </c>
      <c r="V40" s="305">
        <v>155293.51085936438</v>
      </c>
      <c r="W40" s="287">
        <v>0</v>
      </c>
      <c r="X40" s="321">
        <f t="shared" si="24"/>
        <v>155293.51085936438</v>
      </c>
      <c r="Y40" s="322">
        <v>151937.2091429517</v>
      </c>
      <c r="Z40" s="287">
        <v>0</v>
      </c>
      <c r="AA40" s="321">
        <f t="shared" si="25"/>
        <v>151937.2091429517</v>
      </c>
      <c r="AB40" s="322">
        <v>152564.55582181073</v>
      </c>
      <c r="AC40" s="287">
        <v>0</v>
      </c>
      <c r="AD40" s="321">
        <f t="shared" si="26"/>
        <v>152564.55582181073</v>
      </c>
      <c r="AE40" s="17"/>
    </row>
    <row r="41" spans="1:31" s="37" customFormat="1" x14ac:dyDescent="0.25">
      <c r="A41" s="313"/>
      <c r="B41" s="314"/>
      <c r="C41" s="313" t="s">
        <v>18</v>
      </c>
      <c r="D41" s="315">
        <f t="shared" ref="D41:F41" si="27">SUM(D32:D40)</f>
        <v>695526.99829999998</v>
      </c>
      <c r="E41" s="315">
        <f t="shared" si="27"/>
        <v>-640500.8899999999</v>
      </c>
      <c r="F41" s="315">
        <f t="shared" si="27"/>
        <v>55026.108300000036</v>
      </c>
      <c r="G41" s="315">
        <f>SUM(G32:G40)</f>
        <v>913679.90386666707</v>
      </c>
      <c r="H41" s="315">
        <f t="shared" ref="H41" si="28">SUM(H32:H40)</f>
        <v>0</v>
      </c>
      <c r="I41" s="315">
        <f t="shared" ref="I41" si="29">SUM(I32:I40)</f>
        <v>913679.90386666707</v>
      </c>
      <c r="J41" s="315">
        <f t="shared" ref="J41" si="30">SUM(J32:J40)</f>
        <v>2195921.3949999991</v>
      </c>
      <c r="K41" s="315">
        <f t="shared" ref="K41" si="31">SUM(K32:K40)</f>
        <v>0</v>
      </c>
      <c r="L41" s="315">
        <f t="shared" ref="L41" si="32">SUM(L32:L40)</f>
        <v>2195921.3949999991</v>
      </c>
      <c r="M41" s="315">
        <f t="shared" ref="M41" si="33">SUM(M32:M40)</f>
        <v>1475266.9800000004</v>
      </c>
      <c r="N41" s="315">
        <f t="shared" ref="N41" si="34">SUM(N32:N40)</f>
        <v>35512.53</v>
      </c>
      <c r="O41" s="315">
        <f t="shared" ref="O41" si="35">SUM(O32:O40)</f>
        <v>1510779.5100000005</v>
      </c>
      <c r="P41" s="315">
        <f t="shared" ref="P41" si="36">SUM(P32:P40)</f>
        <v>3034346.9573999997</v>
      </c>
      <c r="Q41" s="315">
        <f t="shared" ref="Q41" si="37">SUM(Q32:Q40)</f>
        <v>-2205141.39</v>
      </c>
      <c r="R41" s="315">
        <f t="shared" ref="R41" si="38">SUM(R32:R40)</f>
        <v>829205.56739999971</v>
      </c>
      <c r="S41" s="315">
        <f t="shared" ref="S41" si="39">SUM(S32:S40)</f>
        <v>2260407.27</v>
      </c>
      <c r="T41" s="315">
        <f t="shared" ref="T41" si="40">SUM(T32:T40)</f>
        <v>-1432757.69</v>
      </c>
      <c r="U41" s="315">
        <f t="shared" ref="U41" si="41">SUM(U32:U40)</f>
        <v>827649.58</v>
      </c>
      <c r="V41" s="315">
        <f t="shared" ref="V41" si="42">SUM(V32:V40)</f>
        <v>3997470.3424972971</v>
      </c>
      <c r="W41" s="315">
        <f t="shared" ref="W41" si="43">SUM(W32:W40)</f>
        <v>-738323.61997255147</v>
      </c>
      <c r="X41" s="315">
        <f t="shared" ref="X41" si="44">SUM(X32:X40)</f>
        <v>3259146.7225247459</v>
      </c>
      <c r="Y41" s="315">
        <f t="shared" ref="Y41" si="45">SUM(Y32:Y40)</f>
        <v>3940129.413884955</v>
      </c>
      <c r="Z41" s="315">
        <f t="shared" ref="Z41" si="46">SUM(Z32:Z40)</f>
        <v>-713035.77425737632</v>
      </c>
      <c r="AA41" s="315">
        <f t="shared" ref="AA41" si="47">SUM(AA32:AA40)</f>
        <v>3227093.6396275791</v>
      </c>
      <c r="AB41" s="315">
        <f t="shared" ref="AB41" si="48">SUM(AB32:AB40)</f>
        <v>4021316.1238071155</v>
      </c>
      <c r="AC41" s="315">
        <f t="shared" ref="AC41" si="49">SUM(AC32:AC40)</f>
        <v>-1209058.4740722333</v>
      </c>
      <c r="AD41" s="315">
        <f t="shared" ref="AD41" si="50">SUM(AD32:AD40)</f>
        <v>2812257.6497348826</v>
      </c>
    </row>
    <row r="42" spans="1:31" x14ac:dyDescent="0.25">
      <c r="E42" s="17"/>
    </row>
    <row r="44" spans="1:31" x14ac:dyDescent="0.25">
      <c r="F44" s="306"/>
    </row>
    <row r="45" spans="1:31" x14ac:dyDescent="0.25">
      <c r="F45" s="306"/>
    </row>
    <row r="46" spans="1:31" x14ac:dyDescent="0.25">
      <c r="F46" s="306"/>
    </row>
    <row r="47" spans="1:31" x14ac:dyDescent="0.25">
      <c r="F47" s="306"/>
    </row>
    <row r="48" spans="1:31" x14ac:dyDescent="0.25">
      <c r="F48" s="306"/>
    </row>
    <row r="49" spans="6:6" x14ac:dyDescent="0.25">
      <c r="F49" s="306"/>
    </row>
    <row r="50" spans="6:6" x14ac:dyDescent="0.25">
      <c r="F50" s="306"/>
    </row>
    <row r="51" spans="6:6" x14ac:dyDescent="0.25">
      <c r="F51" s="306"/>
    </row>
    <row r="52" spans="6:6" x14ac:dyDescent="0.25">
      <c r="F52" s="306"/>
    </row>
  </sheetData>
  <mergeCells count="27">
    <mergeCell ref="AB30:AD30"/>
    <mergeCell ref="Y16:AA16"/>
    <mergeCell ref="AB16:AD16"/>
    <mergeCell ref="D30:F30"/>
    <mergeCell ref="G30:I30"/>
    <mergeCell ref="J30:L30"/>
    <mergeCell ref="M30:O30"/>
    <mergeCell ref="P30:R30"/>
    <mergeCell ref="S30:U30"/>
    <mergeCell ref="V30:X30"/>
    <mergeCell ref="Y30:AA30"/>
    <mergeCell ref="V2:X2"/>
    <mergeCell ref="Y2:AA2"/>
    <mergeCell ref="AB2:AD2"/>
    <mergeCell ref="D16:F16"/>
    <mergeCell ref="G16:I16"/>
    <mergeCell ref="J16:L16"/>
    <mergeCell ref="M16:O16"/>
    <mergeCell ref="P16:R16"/>
    <mergeCell ref="S16:U16"/>
    <mergeCell ref="V16:X16"/>
    <mergeCell ref="D2:F2"/>
    <mergeCell ref="G2:I2"/>
    <mergeCell ref="J2:L2"/>
    <mergeCell ref="M2:O2"/>
    <mergeCell ref="P2:R2"/>
    <mergeCell ref="S2:U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1"/>
  <sheetViews>
    <sheetView topLeftCell="A12" zoomScaleNormal="100" workbookViewId="0">
      <selection activeCell="B26" sqref="B26"/>
    </sheetView>
  </sheetViews>
  <sheetFormatPr defaultRowHeight="15" x14ac:dyDescent="0.25"/>
  <cols>
    <col min="2" max="2" width="59.42578125" customWidth="1"/>
    <col min="3" max="3" width="12.5703125" customWidth="1"/>
    <col min="4" max="4" width="20.5703125" customWidth="1"/>
    <col min="5" max="5" width="19.140625" customWidth="1"/>
    <col min="6" max="6" width="14.42578125" bestFit="1" customWidth="1"/>
    <col min="7" max="7" width="15.5703125" customWidth="1"/>
    <col min="8" max="8" width="15.42578125" customWidth="1"/>
    <col min="9" max="9" width="13.5703125" bestFit="1" customWidth="1"/>
    <col min="10" max="10" width="22.85546875" customWidth="1"/>
    <col min="11" max="12" width="12.140625" bestFit="1" customWidth="1"/>
    <col min="13" max="13" width="11.140625" bestFit="1" customWidth="1"/>
    <col min="14" max="14" width="12.140625" bestFit="1" customWidth="1"/>
  </cols>
  <sheetData>
    <row r="1" spans="1:11" x14ac:dyDescent="0.25">
      <c r="A1" s="37" t="s">
        <v>135</v>
      </c>
    </row>
    <row r="3" spans="1:11" ht="15.75" thickBot="1" x14ac:dyDescent="0.3">
      <c r="A3" t="s">
        <v>136</v>
      </c>
      <c r="G3" s="99"/>
      <c r="H3" s="99"/>
      <c r="I3" s="99"/>
    </row>
    <row r="4" spans="1:11" ht="15.75" thickBot="1" x14ac:dyDescent="0.3">
      <c r="I4" s="113" t="s">
        <v>216</v>
      </c>
      <c r="J4" s="114"/>
      <c r="K4" s="115"/>
    </row>
    <row r="5" spans="1:11" x14ac:dyDescent="0.25">
      <c r="A5" t="s">
        <v>240</v>
      </c>
      <c r="I5" s="103" t="s">
        <v>214</v>
      </c>
      <c r="J5" s="104"/>
      <c r="K5" s="105" t="s">
        <v>215</v>
      </c>
    </row>
    <row r="6" spans="1:11" x14ac:dyDescent="0.25">
      <c r="B6" t="s">
        <v>12</v>
      </c>
      <c r="D6" s="4">
        <v>1139301.2521073744</v>
      </c>
      <c r="E6" s="4"/>
      <c r="I6" s="108" t="s">
        <v>189</v>
      </c>
      <c r="J6" s="109" t="s">
        <v>190</v>
      </c>
      <c r="K6" s="106" t="s">
        <v>187</v>
      </c>
    </row>
    <row r="7" spans="1:11" x14ac:dyDescent="0.25">
      <c r="B7" t="s">
        <v>13</v>
      </c>
      <c r="D7" s="4">
        <v>3398391.1822902402</v>
      </c>
      <c r="E7" s="4"/>
      <c r="I7" s="108" t="s">
        <v>191</v>
      </c>
      <c r="J7" s="109" t="s">
        <v>192</v>
      </c>
      <c r="K7" s="106" t="s">
        <v>187</v>
      </c>
    </row>
    <row r="8" spans="1:11" x14ac:dyDescent="0.25">
      <c r="D8" s="4"/>
      <c r="E8" s="4"/>
      <c r="I8" s="108" t="s">
        <v>193</v>
      </c>
      <c r="J8" s="109" t="s">
        <v>194</v>
      </c>
      <c r="K8" s="106" t="s">
        <v>187</v>
      </c>
    </row>
    <row r="9" spans="1:11" x14ac:dyDescent="0.25">
      <c r="B9" s="79" t="s">
        <v>137</v>
      </c>
      <c r="D9" s="30">
        <f>SUM(D6:D7)</f>
        <v>4537692.4343976146</v>
      </c>
      <c r="E9" s="4"/>
      <c r="I9" s="108" t="s">
        <v>195</v>
      </c>
      <c r="J9" s="109" t="s">
        <v>196</v>
      </c>
      <c r="K9" s="106" t="s">
        <v>188</v>
      </c>
    </row>
    <row r="10" spans="1:11" x14ac:dyDescent="0.25">
      <c r="B10" s="79" t="s">
        <v>104</v>
      </c>
      <c r="D10" s="30">
        <v>777353.17570649902</v>
      </c>
      <c r="E10" s="4"/>
      <c r="I10" s="108" t="s">
        <v>197</v>
      </c>
      <c r="J10" s="109" t="s">
        <v>198</v>
      </c>
      <c r="K10" s="106" t="s">
        <v>187</v>
      </c>
    </row>
    <row r="11" spans="1:11" x14ac:dyDescent="0.25">
      <c r="B11" s="79"/>
      <c r="D11" s="92">
        <f>SUM(D9:D10)</f>
        <v>5315045.6101041138</v>
      </c>
      <c r="I11" s="108" t="s">
        <v>199</v>
      </c>
      <c r="J11" s="109" t="s">
        <v>200</v>
      </c>
      <c r="K11" s="106" t="s">
        <v>187</v>
      </c>
    </row>
    <row r="12" spans="1:11" x14ac:dyDescent="0.25">
      <c r="I12" s="108" t="s">
        <v>201</v>
      </c>
      <c r="J12" s="109" t="s">
        <v>202</v>
      </c>
      <c r="K12" s="106" t="s">
        <v>188</v>
      </c>
    </row>
    <row r="13" spans="1:11" x14ac:dyDescent="0.25">
      <c r="I13" s="108" t="s">
        <v>203</v>
      </c>
      <c r="J13" s="109" t="s">
        <v>204</v>
      </c>
      <c r="K13" s="106" t="s">
        <v>188</v>
      </c>
    </row>
    <row r="14" spans="1:11" x14ac:dyDescent="0.25">
      <c r="I14" s="108" t="s">
        <v>205</v>
      </c>
      <c r="J14" s="109" t="s">
        <v>206</v>
      </c>
      <c r="K14" s="106" t="s">
        <v>188</v>
      </c>
    </row>
    <row r="15" spans="1:11" x14ac:dyDescent="0.25">
      <c r="B15" s="16"/>
      <c r="C15" s="16"/>
      <c r="D15" s="16"/>
      <c r="I15" s="108" t="s">
        <v>207</v>
      </c>
      <c r="J15" s="109" t="s">
        <v>208</v>
      </c>
      <c r="K15" s="106" t="s">
        <v>188</v>
      </c>
    </row>
    <row r="16" spans="1:11" x14ac:dyDescent="0.25">
      <c r="B16" s="16"/>
      <c r="C16" s="16"/>
      <c r="D16" s="135"/>
      <c r="I16" s="108" t="s">
        <v>209</v>
      </c>
      <c r="J16" s="109" t="s">
        <v>210</v>
      </c>
      <c r="K16" s="106" t="s">
        <v>188</v>
      </c>
    </row>
    <row r="17" spans="1:11" x14ac:dyDescent="0.25">
      <c r="B17" s="16"/>
      <c r="C17" s="16"/>
      <c r="D17" s="135"/>
      <c r="E17" s="29"/>
      <c r="I17" s="108" t="s">
        <v>211</v>
      </c>
      <c r="J17" s="109" t="s">
        <v>212</v>
      </c>
      <c r="K17" s="106" t="s">
        <v>188</v>
      </c>
    </row>
    <row r="18" spans="1:11" ht="15.75" thickBot="1" x14ac:dyDescent="0.3">
      <c r="B18" s="16"/>
      <c r="C18" s="16"/>
      <c r="D18" s="135"/>
      <c r="I18" s="110" t="s">
        <v>213</v>
      </c>
      <c r="J18" s="111"/>
      <c r="K18" s="107" t="s">
        <v>188</v>
      </c>
    </row>
    <row r="19" spans="1:11" x14ac:dyDescent="0.25">
      <c r="A19" t="s">
        <v>264</v>
      </c>
      <c r="B19" s="16"/>
      <c r="C19" s="16"/>
      <c r="D19" s="16"/>
      <c r="H19" s="109"/>
      <c r="I19" s="109"/>
      <c r="J19" s="112"/>
    </row>
    <row r="20" spans="1:11" x14ac:dyDescent="0.25">
      <c r="A20" t="s">
        <v>256</v>
      </c>
      <c r="B20" s="16"/>
      <c r="C20" s="16"/>
      <c r="D20" s="16"/>
      <c r="K20" s="50"/>
    </row>
    <row r="21" spans="1:11" x14ac:dyDescent="0.25">
      <c r="A21" t="s">
        <v>228</v>
      </c>
      <c r="B21" s="16"/>
      <c r="C21" s="16"/>
      <c r="D21" s="16"/>
      <c r="E21" s="136" t="s">
        <v>254</v>
      </c>
      <c r="F21" s="136"/>
      <c r="G21" s="136"/>
      <c r="H21" s="137"/>
      <c r="I21" s="137"/>
      <c r="J21" s="138"/>
      <c r="K21" s="50"/>
    </row>
    <row r="22" spans="1:11" ht="33.75" x14ac:dyDescent="0.25">
      <c r="B22" s="80" t="s">
        <v>20</v>
      </c>
      <c r="C22" s="80" t="s">
        <v>19</v>
      </c>
      <c r="D22" s="82" t="s">
        <v>217</v>
      </c>
      <c r="E22" s="86" t="s">
        <v>275</v>
      </c>
      <c r="F22" s="86" t="s">
        <v>276</v>
      </c>
      <c r="G22" s="86" t="s">
        <v>277</v>
      </c>
      <c r="H22" s="86" t="s">
        <v>278</v>
      </c>
      <c r="I22" s="86" t="s">
        <v>279</v>
      </c>
      <c r="J22" s="86">
        <v>0</v>
      </c>
    </row>
    <row r="23" spans="1:11" x14ac:dyDescent="0.25">
      <c r="B23" s="87" t="s">
        <v>155</v>
      </c>
      <c r="C23" s="81">
        <v>5020</v>
      </c>
      <c r="D23" s="30">
        <v>5700469.6978466753</v>
      </c>
      <c r="E23" s="4">
        <v>139047.12286949513</v>
      </c>
      <c r="F23" s="4">
        <v>36983.178711882741</v>
      </c>
      <c r="G23" s="4">
        <v>78866.571870812695</v>
      </c>
      <c r="H23" s="4">
        <v>30331.061826331665</v>
      </c>
      <c r="I23" s="4">
        <v>42821.502606501701</v>
      </c>
      <c r="J23" s="4">
        <v>3962373.1001539044</v>
      </c>
    </row>
    <row r="24" spans="1:11" x14ac:dyDescent="0.25">
      <c r="B24" s="87" t="s">
        <v>156</v>
      </c>
      <c r="C24" s="81">
        <v>5025</v>
      </c>
      <c r="D24" s="30">
        <v>277167.17579583888</v>
      </c>
      <c r="E24" s="4">
        <v>6760.7233072097515</v>
      </c>
      <c r="F24" s="4">
        <v>1798.189226301371</v>
      </c>
      <c r="G24" s="4">
        <v>3834.6357666614581</v>
      </c>
      <c r="H24" s="4">
        <v>1474.7512382126934</v>
      </c>
      <c r="I24" s="4">
        <v>2082.0591231739331</v>
      </c>
      <c r="J24" s="4">
        <v>192657.76678611492</v>
      </c>
    </row>
    <row r="25" spans="1:11" x14ac:dyDescent="0.25">
      <c r="B25" s="87" t="s">
        <v>157</v>
      </c>
      <c r="C25" s="81">
        <v>5040</v>
      </c>
      <c r="D25" s="30">
        <v>985467.51784685673</v>
      </c>
      <c r="E25" s="4">
        <v>23930.222358786927</v>
      </c>
      <c r="F25" s="4">
        <v>7593.0213883778742</v>
      </c>
      <c r="G25" s="4">
        <v>11384.623765869759</v>
      </c>
      <c r="H25" s="4">
        <v>4880.2157307941743</v>
      </c>
      <c r="I25" s="4">
        <v>9841.1728469447353</v>
      </c>
      <c r="J25" s="4">
        <v>684955.5511391192</v>
      </c>
    </row>
    <row r="26" spans="1:11" x14ac:dyDescent="0.25">
      <c r="B26" s="87" t="s">
        <v>158</v>
      </c>
      <c r="C26" s="81">
        <v>5045</v>
      </c>
      <c r="D26" s="30">
        <v>92387.579798142862</v>
      </c>
      <c r="E26" s="4">
        <v>2243.4583461362745</v>
      </c>
      <c r="F26" s="4">
        <v>711.84575516042571</v>
      </c>
      <c r="G26" s="4">
        <v>1067.30847805029</v>
      </c>
      <c r="H26" s="4">
        <v>457.52022476195384</v>
      </c>
      <c r="I26" s="4">
        <v>922.60995440106888</v>
      </c>
      <c r="J26" s="4">
        <v>64214.582919292428</v>
      </c>
    </row>
    <row r="27" spans="1:11" x14ac:dyDescent="0.25">
      <c r="B27" s="87" t="s">
        <v>159</v>
      </c>
      <c r="C27" s="81">
        <v>5065</v>
      </c>
      <c r="D27" s="30">
        <v>3949499.5420183069</v>
      </c>
      <c r="E27" s="4">
        <v>230114.08986454413</v>
      </c>
      <c r="F27" s="4">
        <v>50958.162683660921</v>
      </c>
      <c r="G27" s="4">
        <v>14766.203306314164</v>
      </c>
      <c r="H27" s="4">
        <v>0</v>
      </c>
      <c r="I27" s="4">
        <v>0</v>
      </c>
      <c r="J27" s="4">
        <v>8831360.2225079406</v>
      </c>
    </row>
    <row r="28" spans="1:11" x14ac:dyDescent="0.25">
      <c r="B28" s="87" t="s">
        <v>160</v>
      </c>
      <c r="C28" s="81">
        <v>5070</v>
      </c>
      <c r="D28" s="30">
        <v>8788598.8380259555</v>
      </c>
      <c r="E28" s="4">
        <v>628784.7268577019</v>
      </c>
      <c r="F28" s="4">
        <v>68099.614492406967</v>
      </c>
      <c r="G28" s="4">
        <v>4888.9323697728196</v>
      </c>
      <c r="H28" s="4">
        <v>0</v>
      </c>
      <c r="I28" s="4">
        <v>0</v>
      </c>
      <c r="J28" s="4">
        <v>19447789.428606298</v>
      </c>
    </row>
    <row r="29" spans="1:11" x14ac:dyDescent="0.25">
      <c r="B29" s="87" t="s">
        <v>161</v>
      </c>
      <c r="C29" s="81">
        <v>5075</v>
      </c>
      <c r="D29" s="30">
        <v>1414102.0255928389</v>
      </c>
      <c r="E29" s="4">
        <v>101172.64108860331</v>
      </c>
      <c r="F29" s="4">
        <v>10957.355611583978</v>
      </c>
      <c r="G29" s="4">
        <v>786.63838166892606</v>
      </c>
      <c r="H29" s="4">
        <v>0</v>
      </c>
      <c r="I29" s="4">
        <v>0</v>
      </c>
      <c r="J29" s="4">
        <v>3129185.770239607</v>
      </c>
    </row>
    <row r="30" spans="1:11" x14ac:dyDescent="0.25">
      <c r="B30" s="87" t="s">
        <v>138</v>
      </c>
      <c r="C30" s="81">
        <v>5120</v>
      </c>
      <c r="D30" s="30">
        <v>12803386.851447262</v>
      </c>
      <c r="E30" s="4">
        <v>285110.44211566058</v>
      </c>
      <c r="F30" s="4">
        <v>77019.883174846822</v>
      </c>
      <c r="G30" s="4">
        <v>184187.47816669921</v>
      </c>
      <c r="H30" s="4">
        <v>70807.81871629988</v>
      </c>
      <c r="I30" s="4">
        <v>90228.521832142345</v>
      </c>
      <c r="J30" s="4">
        <v>8028928.4439221891</v>
      </c>
    </row>
    <row r="31" spans="1:11" x14ac:dyDescent="0.25">
      <c r="B31" s="87" t="s">
        <v>139</v>
      </c>
      <c r="C31" s="81">
        <v>5125</v>
      </c>
      <c r="D31" s="30">
        <v>21553999.687254265</v>
      </c>
      <c r="E31" s="4">
        <v>524591.64284731774</v>
      </c>
      <c r="F31" s="4">
        <v>155268.15864370426</v>
      </c>
      <c r="G31" s="4">
        <v>289944.45326025039</v>
      </c>
      <c r="H31" s="4">
        <v>111893.61533495174</v>
      </c>
      <c r="I31" s="4">
        <v>191929.24588081075</v>
      </c>
      <c r="J31" s="4">
        <v>14976287.193233738</v>
      </c>
    </row>
    <row r="32" spans="1:11" x14ac:dyDescent="0.25">
      <c r="B32" s="87" t="s">
        <v>140</v>
      </c>
      <c r="C32" s="81">
        <v>5130</v>
      </c>
      <c r="D32" s="30">
        <v>2731971.5369551661</v>
      </c>
      <c r="E32" s="4">
        <v>195460.27851616192</v>
      </c>
      <c r="F32" s="4">
        <v>0</v>
      </c>
      <c r="G32" s="4">
        <v>0</v>
      </c>
      <c r="H32" s="4">
        <v>0</v>
      </c>
      <c r="I32" s="4">
        <v>0</v>
      </c>
      <c r="J32" s="4">
        <v>7711953.3609225638</v>
      </c>
    </row>
    <row r="33" spans="1:10" x14ac:dyDescent="0.25">
      <c r="B33" s="87" t="s">
        <v>141</v>
      </c>
      <c r="C33" s="81">
        <v>5135</v>
      </c>
      <c r="D33" s="30">
        <v>83211445.314475089</v>
      </c>
      <c r="E33" s="4">
        <v>2029712.0542822503</v>
      </c>
      <c r="F33" s="4">
        <v>539854.41833008453</v>
      </c>
      <c r="G33" s="4">
        <v>1151238.7189510439</v>
      </c>
      <c r="H33" s="4">
        <v>442751.49702929705</v>
      </c>
      <c r="I33" s="4">
        <v>625078.16220311902</v>
      </c>
      <c r="J33" s="4">
        <v>57839934.253760166</v>
      </c>
    </row>
    <row r="34" spans="1:10" x14ac:dyDescent="0.25">
      <c r="B34" s="87" t="s">
        <v>142</v>
      </c>
      <c r="C34" s="81">
        <v>5145</v>
      </c>
      <c r="D34" s="30">
        <v>153124.40900570538</v>
      </c>
      <c r="E34" s="4">
        <v>355.43025539950651</v>
      </c>
      <c r="F34" s="4">
        <v>1034.755735131256</v>
      </c>
      <c r="G34" s="4">
        <v>2233.5252733271459</v>
      </c>
      <c r="H34" s="4">
        <v>972.14259874369759</v>
      </c>
      <c r="I34" s="4">
        <v>1960.3689414274913</v>
      </c>
      <c r="J34" s="4">
        <v>0</v>
      </c>
    </row>
    <row r="35" spans="1:10" x14ac:dyDescent="0.25">
      <c r="B35" s="87" t="s">
        <v>143</v>
      </c>
      <c r="C35" s="81">
        <v>5150</v>
      </c>
      <c r="D35" s="30">
        <v>832276.08286203991</v>
      </c>
      <c r="E35" s="4">
        <v>20210.25692485975</v>
      </c>
      <c r="F35" s="4">
        <v>6412.6822891273468</v>
      </c>
      <c r="G35" s="4">
        <v>9614.8781173613716</v>
      </c>
      <c r="H35" s="4">
        <v>4121.5836731193767</v>
      </c>
      <c r="I35" s="4">
        <v>8311.3574415105813</v>
      </c>
      <c r="J35" s="4">
        <v>578478.85669760429</v>
      </c>
    </row>
    <row r="36" spans="1:10" x14ac:dyDescent="0.25">
      <c r="B36" s="87" t="s">
        <v>144</v>
      </c>
      <c r="C36" s="81">
        <v>5155</v>
      </c>
      <c r="D36" s="30">
        <v>2322175.8064118917</v>
      </c>
      <c r="E36" s="4">
        <v>166141.23673873764</v>
      </c>
      <c r="F36" s="4">
        <v>0</v>
      </c>
      <c r="G36" s="4">
        <v>0</v>
      </c>
      <c r="H36" s="4">
        <v>0</v>
      </c>
      <c r="I36" s="4">
        <v>0</v>
      </c>
      <c r="J36" s="4">
        <v>6555160.3567841798</v>
      </c>
    </row>
    <row r="37" spans="1:10" x14ac:dyDescent="0.25">
      <c r="B37" s="87" t="s">
        <v>145</v>
      </c>
      <c r="C37" s="81">
        <v>5160</v>
      </c>
      <c r="D37" s="30">
        <v>1627183.5750413178</v>
      </c>
      <c r="E37" s="4">
        <v>59047.035584151032</v>
      </c>
      <c r="F37" s="4">
        <v>23437.383731488488</v>
      </c>
      <c r="G37" s="4">
        <v>322.64377194479329</v>
      </c>
      <c r="H37" s="4">
        <v>20439.797097741164</v>
      </c>
      <c r="I37" s="4">
        <v>42594.360162214311</v>
      </c>
      <c r="J37" s="4">
        <v>1569799.3835815201</v>
      </c>
    </row>
    <row r="38" spans="1:10" x14ac:dyDescent="0.25">
      <c r="B38" s="87" t="s">
        <v>146</v>
      </c>
      <c r="C38" s="81">
        <v>5175</v>
      </c>
      <c r="D38" s="30">
        <v>2576862.1960577969</v>
      </c>
      <c r="E38" s="4">
        <v>150138.59164778245</v>
      </c>
      <c r="F38" s="4">
        <v>33247.798006575962</v>
      </c>
      <c r="G38" s="4">
        <v>9634.251295519769</v>
      </c>
      <c r="H38" s="4">
        <v>0</v>
      </c>
      <c r="I38" s="4">
        <v>0</v>
      </c>
      <c r="J38" s="4">
        <v>5762046.0655933404</v>
      </c>
    </row>
    <row r="39" spans="1:10" x14ac:dyDescent="0.25">
      <c r="B39" s="16"/>
      <c r="C39" s="16"/>
      <c r="D39" s="83">
        <f>SUM(D23:D38)</f>
        <v>149020117.83643517</v>
      </c>
      <c r="E39" s="116">
        <f>SUM(E23:E38)</f>
        <v>4562819.9536047978</v>
      </c>
      <c r="F39" s="116">
        <f t="shared" ref="F39:J39" si="0">SUM(F23:F38)</f>
        <v>1013376.447780333</v>
      </c>
      <c r="G39" s="116">
        <f t="shared" si="0"/>
        <v>1762770.8627752967</v>
      </c>
      <c r="H39" s="116">
        <f t="shared" si="0"/>
        <v>688130.00347025343</v>
      </c>
      <c r="I39" s="116">
        <f t="shared" si="0"/>
        <v>1015769.3609922457</v>
      </c>
      <c r="J39" s="116">
        <f t="shared" si="0"/>
        <v>139335124.33684757</v>
      </c>
    </row>
    <row r="41" spans="1:10" ht="30" x14ac:dyDescent="0.25">
      <c r="B41" s="5" t="s">
        <v>237</v>
      </c>
      <c r="D41" s="4">
        <v>418180354.752518</v>
      </c>
      <c r="E41" s="4">
        <v>651044.84420312382</v>
      </c>
      <c r="F41" s="4">
        <v>968087.56928190996</v>
      </c>
      <c r="G41" s="4">
        <v>9342514.178455241</v>
      </c>
      <c r="H41" s="4">
        <v>1803808.986863696</v>
      </c>
      <c r="I41" s="4">
        <v>1837634.2576592269</v>
      </c>
      <c r="J41" s="4">
        <v>418180354.752518</v>
      </c>
    </row>
    <row r="42" spans="1:10" x14ac:dyDescent="0.25">
      <c r="B42" s="140" t="s">
        <v>260</v>
      </c>
      <c r="D42" s="4">
        <f>D41-D39</f>
        <v>269160236.91608286</v>
      </c>
      <c r="E42" s="4">
        <f t="shared" ref="E42:J42" si="1">E41-E39</f>
        <v>-3911775.109401674</v>
      </c>
      <c r="F42" s="4">
        <f t="shared" si="1"/>
        <v>-45288.87849842303</v>
      </c>
      <c r="G42" s="4">
        <f t="shared" si="1"/>
        <v>7579743.3156799441</v>
      </c>
      <c r="H42" s="4">
        <f>H41-H39</f>
        <v>1115678.9833934426</v>
      </c>
      <c r="I42" s="4">
        <f t="shared" si="1"/>
        <v>821864.89666698116</v>
      </c>
      <c r="J42" s="4">
        <f t="shared" si="1"/>
        <v>278845230.41567039</v>
      </c>
    </row>
    <row r="43" spans="1:10" x14ac:dyDescent="0.25">
      <c r="B43" s="133"/>
      <c r="D43" s="4"/>
      <c r="E43" s="4"/>
      <c r="F43" s="4"/>
      <c r="G43" s="4"/>
      <c r="H43" s="4"/>
      <c r="I43" s="4"/>
      <c r="J43" s="4"/>
    </row>
    <row r="44" spans="1:10" x14ac:dyDescent="0.25">
      <c r="A44" t="s">
        <v>255</v>
      </c>
      <c r="B44" s="133"/>
      <c r="D44" s="4"/>
      <c r="E44" s="4"/>
      <c r="F44" s="4"/>
      <c r="G44" s="4"/>
      <c r="H44" s="4"/>
      <c r="I44" s="4"/>
      <c r="J44" s="4"/>
    </row>
    <row r="45" spans="1:10" x14ac:dyDescent="0.25">
      <c r="B45" s="133"/>
      <c r="D45" s="4"/>
      <c r="E45" s="4"/>
      <c r="F45" s="4"/>
      <c r="G45" s="4"/>
      <c r="H45" s="4"/>
      <c r="I45" s="4"/>
      <c r="J45" s="4"/>
    </row>
    <row r="46" spans="1:10" x14ac:dyDescent="0.25">
      <c r="A46" t="s">
        <v>257</v>
      </c>
      <c r="B46" s="133"/>
      <c r="D46" s="4"/>
      <c r="E46" s="4"/>
      <c r="F46" s="4"/>
      <c r="G46" s="4"/>
      <c r="H46" s="4"/>
      <c r="I46" s="4"/>
      <c r="J46" s="4"/>
    </row>
    <row r="47" spans="1:10" x14ac:dyDescent="0.25">
      <c r="B47" s="133"/>
      <c r="D47" s="4"/>
      <c r="E47" s="4"/>
      <c r="F47" s="4"/>
      <c r="G47" s="4"/>
      <c r="H47" s="4"/>
      <c r="I47" s="4"/>
      <c r="J47" s="4"/>
    </row>
    <row r="48" spans="1:10" x14ac:dyDescent="0.25">
      <c r="A48" t="s">
        <v>104</v>
      </c>
      <c r="C48" s="84"/>
    </row>
    <row r="49" spans="1:15" x14ac:dyDescent="0.25">
      <c r="B49" t="s">
        <v>162</v>
      </c>
      <c r="C49" s="84" t="s">
        <v>149</v>
      </c>
      <c r="D49" t="s">
        <v>75</v>
      </c>
      <c r="E49" t="s">
        <v>80</v>
      </c>
      <c r="F49" t="s">
        <v>81</v>
      </c>
      <c r="G49" t="s">
        <v>82</v>
      </c>
      <c r="H49" t="s">
        <v>83</v>
      </c>
      <c r="I49" t="s">
        <v>84</v>
      </c>
      <c r="J49" t="s">
        <v>85</v>
      </c>
      <c r="K49" t="s">
        <v>86</v>
      </c>
      <c r="L49" t="s">
        <v>87</v>
      </c>
      <c r="M49" t="s">
        <v>88</v>
      </c>
    </row>
    <row r="50" spans="1:15" x14ac:dyDescent="0.25">
      <c r="B50" t="s">
        <v>164</v>
      </c>
      <c r="C50" t="s">
        <v>147</v>
      </c>
      <c r="D50" s="90">
        <v>1</v>
      </c>
      <c r="E50" s="90">
        <v>0.6321533052572319</v>
      </c>
      <c r="F50" s="90">
        <v>0.13385820385001362</v>
      </c>
      <c r="G50" s="90">
        <v>0.13681550065345985</v>
      </c>
      <c r="H50" s="90">
        <v>0</v>
      </c>
      <c r="I50" s="90">
        <v>5.2510200883137341E-2</v>
      </c>
      <c r="J50" s="90">
        <v>0</v>
      </c>
      <c r="K50" s="90">
        <v>4.1717282301161354E-2</v>
      </c>
      <c r="L50" s="90">
        <v>0</v>
      </c>
      <c r="M50" s="90">
        <v>2.9455070549960698E-3</v>
      </c>
      <c r="N50" s="90"/>
      <c r="O50" s="90"/>
    </row>
    <row r="51" spans="1:15" x14ac:dyDescent="0.25">
      <c r="B51" s="3" t="s">
        <v>163</v>
      </c>
      <c r="C51" t="s">
        <v>147</v>
      </c>
      <c r="D51" s="4">
        <v>2191463.4121384453</v>
      </c>
      <c r="E51" s="4">
        <v>1385340.8393336097</v>
      </c>
      <c r="F51" s="4">
        <v>293345.35615187441</v>
      </c>
      <c r="G51" s="4">
        <v>299826.16389546084</v>
      </c>
      <c r="H51" s="4">
        <v>0</v>
      </c>
      <c r="I51" s="4">
        <v>115074.18399943536</v>
      </c>
      <c r="J51" s="4">
        <v>0</v>
      </c>
      <c r="K51" s="4">
        <v>91421.897816845842</v>
      </c>
      <c r="L51" s="4">
        <v>0</v>
      </c>
      <c r="M51" s="4">
        <v>6454.9709412195507</v>
      </c>
      <c r="N51" s="6"/>
    </row>
    <row r="52" spans="1:15" x14ac:dyDescent="0.25">
      <c r="B52" t="s">
        <v>171</v>
      </c>
      <c r="C52" t="s">
        <v>147</v>
      </c>
      <c r="D52" s="89">
        <f>SUM(E51:G51)/D51</f>
        <v>0.9028270097607054</v>
      </c>
      <c r="E52" s="89">
        <f>E51/$D51</f>
        <v>0.6321533052572319</v>
      </c>
      <c r="F52" s="89">
        <f>F51/$D51</f>
        <v>0.13385820385001362</v>
      </c>
      <c r="G52" s="89">
        <f>G51/$D51</f>
        <v>0.13681550065345985</v>
      </c>
      <c r="H52" s="89"/>
      <c r="I52" s="89"/>
      <c r="J52" s="89"/>
      <c r="K52" s="89"/>
      <c r="L52" s="89"/>
      <c r="M52" s="89"/>
      <c r="N52" s="4"/>
    </row>
    <row r="53" spans="1:15" x14ac:dyDescent="0.25"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5" x14ac:dyDescent="0.25">
      <c r="A54" t="s">
        <v>154</v>
      </c>
    </row>
    <row r="55" spans="1:15" x14ac:dyDescent="0.25">
      <c r="B55" t="s">
        <v>12</v>
      </c>
    </row>
    <row r="56" spans="1:15" x14ac:dyDescent="0.25">
      <c r="B56" t="s">
        <v>162</v>
      </c>
      <c r="C56" s="84" t="s">
        <v>149</v>
      </c>
      <c r="D56" t="s">
        <v>75</v>
      </c>
      <c r="E56" t="s">
        <v>80</v>
      </c>
      <c r="F56" t="s">
        <v>81</v>
      </c>
      <c r="G56" t="s">
        <v>99</v>
      </c>
      <c r="H56" t="s">
        <v>83</v>
      </c>
      <c r="I56" t="s">
        <v>95</v>
      </c>
      <c r="J56" t="s">
        <v>96</v>
      </c>
      <c r="K56" t="s">
        <v>100</v>
      </c>
      <c r="L56" t="s">
        <v>87</v>
      </c>
      <c r="M56" t="s">
        <v>88</v>
      </c>
      <c r="N56" t="s">
        <v>101</v>
      </c>
    </row>
    <row r="57" spans="1:15" x14ac:dyDescent="0.25">
      <c r="B57" t="s">
        <v>164</v>
      </c>
      <c r="C57" t="s">
        <v>147</v>
      </c>
      <c r="D57" s="90">
        <v>0.99999999999999989</v>
      </c>
      <c r="E57" s="90">
        <v>0.67984370511962466</v>
      </c>
      <c r="F57" s="90">
        <v>0.15416147091816854</v>
      </c>
      <c r="G57" s="90">
        <v>0.14623556787688355</v>
      </c>
      <c r="H57" s="90">
        <v>0</v>
      </c>
      <c r="I57" s="90">
        <v>0</v>
      </c>
      <c r="J57" s="90">
        <v>0</v>
      </c>
      <c r="K57" s="90">
        <v>1.3947197686309276E-2</v>
      </c>
      <c r="L57" s="90">
        <v>4.1469834334982277E-3</v>
      </c>
      <c r="M57" s="90">
        <v>1.4838570997778406E-3</v>
      </c>
      <c r="N57" s="90">
        <v>1.8121786573789135E-4</v>
      </c>
    </row>
    <row r="58" spans="1:15" x14ac:dyDescent="0.25">
      <c r="B58" s="3" t="s">
        <v>163</v>
      </c>
      <c r="C58" t="s">
        <v>147</v>
      </c>
      <c r="D58" s="4">
        <v>3735260.1999999993</v>
      </c>
      <c r="E58" s="4">
        <v>2543562.6543517653</v>
      </c>
      <c r="F58" s="4">
        <v>574840.48492221115</v>
      </c>
      <c r="G58" s="4">
        <v>543271.39715560596</v>
      </c>
      <c r="H58" s="4">
        <v>0</v>
      </c>
      <c r="I58" s="4">
        <v>0</v>
      </c>
      <c r="J58" s="4">
        <v>0</v>
      </c>
      <c r="K58" s="4">
        <v>51895.520998691667</v>
      </c>
      <c r="L58" s="4">
        <v>15462.313041528256</v>
      </c>
      <c r="M58" s="4">
        <v>5543.8449519044316</v>
      </c>
      <c r="N58" s="4">
        <v>683.98457829301014</v>
      </c>
    </row>
    <row r="59" spans="1:15" x14ac:dyDescent="0.25">
      <c r="B59" t="s">
        <v>173</v>
      </c>
      <c r="C59" t="s">
        <v>147</v>
      </c>
      <c r="D59" s="90">
        <f>SUM(E58:G58)/D58</f>
        <v>0.98029972220665718</v>
      </c>
      <c r="E59" s="90">
        <f>E58/$D58</f>
        <v>0.68095996481095633</v>
      </c>
      <c r="F59" s="90">
        <f>F58/$D58</f>
        <v>0.15389570047147219</v>
      </c>
      <c r="G59" s="90">
        <f>G58/$D58</f>
        <v>0.14544405692422874</v>
      </c>
      <c r="H59" s="4"/>
      <c r="I59" s="4"/>
      <c r="J59" s="4"/>
      <c r="K59" s="4"/>
      <c r="L59" s="4"/>
      <c r="M59" s="4"/>
      <c r="N59" s="4"/>
    </row>
    <row r="61" spans="1:15" x14ac:dyDescent="0.25">
      <c r="B61" t="s">
        <v>13</v>
      </c>
    </row>
    <row r="62" spans="1:15" x14ac:dyDescent="0.25">
      <c r="B62" t="s">
        <v>162</v>
      </c>
      <c r="C62" t="s">
        <v>149</v>
      </c>
      <c r="D62" t="s">
        <v>75</v>
      </c>
      <c r="E62" t="s">
        <v>80</v>
      </c>
      <c r="F62" t="s">
        <v>93</v>
      </c>
      <c r="G62" t="s">
        <v>94</v>
      </c>
      <c r="H62" t="s">
        <v>83</v>
      </c>
      <c r="I62" t="s">
        <v>95</v>
      </c>
      <c r="J62" t="s">
        <v>96</v>
      </c>
      <c r="K62" t="s">
        <v>86</v>
      </c>
      <c r="L62" t="s">
        <v>97</v>
      </c>
      <c r="M62" t="s">
        <v>88</v>
      </c>
      <c r="N62" t="s">
        <v>98</v>
      </c>
    </row>
    <row r="63" spans="1:15" x14ac:dyDescent="0.25">
      <c r="B63" t="s">
        <v>150</v>
      </c>
      <c r="C63" t="s">
        <v>147</v>
      </c>
      <c r="D63" s="90">
        <v>0.99999999999999989</v>
      </c>
      <c r="E63" s="90">
        <v>0.70115387184004829</v>
      </c>
      <c r="F63" s="90">
        <v>0.12558648308956555</v>
      </c>
      <c r="G63" s="90">
        <v>9.0721269571361021E-2</v>
      </c>
      <c r="H63" s="90">
        <v>0</v>
      </c>
      <c r="I63" s="90">
        <v>0</v>
      </c>
      <c r="J63" s="90">
        <v>0</v>
      </c>
      <c r="K63" s="90">
        <v>2.4530428010633213E-2</v>
      </c>
      <c r="L63" s="90">
        <v>1.3130569330390843E-2</v>
      </c>
      <c r="M63" s="90">
        <v>1.8072552672073884E-3</v>
      </c>
      <c r="N63" s="90">
        <v>4.3070122890793601E-2</v>
      </c>
    </row>
    <row r="64" spans="1:15" x14ac:dyDescent="0.25">
      <c r="B64" s="3" t="s">
        <v>165</v>
      </c>
      <c r="C64" t="s">
        <v>147</v>
      </c>
      <c r="D64" s="4">
        <v>5904835.0000000009</v>
      </c>
      <c r="E64" s="4">
        <v>4140197.9228266324</v>
      </c>
      <c r="F64" s="4">
        <v>741567.46087417495</v>
      </c>
      <c r="G64" s="4">
        <v>535694.12780940766</v>
      </c>
      <c r="H64" s="4">
        <v>0</v>
      </c>
      <c r="I64" s="4">
        <v>0</v>
      </c>
      <c r="J64" s="4">
        <v>0</v>
      </c>
      <c r="K64" s="4">
        <v>144848.12988216738</v>
      </c>
      <c r="L64" s="4">
        <v>77533.845352018427</v>
      </c>
      <c r="M64" s="4">
        <v>10671.544155740541</v>
      </c>
      <c r="N64" s="4">
        <v>254321.96909985927</v>
      </c>
    </row>
    <row r="65" spans="1:11" x14ac:dyDescent="0.25">
      <c r="B65" t="s">
        <v>173</v>
      </c>
      <c r="C65" t="s">
        <v>147</v>
      </c>
      <c r="D65" s="90">
        <f>SUM(E64:G64)/D64</f>
        <v>0.91746162450097501</v>
      </c>
      <c r="E65" s="90">
        <f>E64/$D64</f>
        <v>0.70115387184004829</v>
      </c>
      <c r="F65" s="90">
        <f>F64/$D64</f>
        <v>0.12558648308956555</v>
      </c>
      <c r="G65" s="90">
        <f>G64/$D64</f>
        <v>9.0721269571361021E-2</v>
      </c>
    </row>
    <row r="67" spans="1:11" x14ac:dyDescent="0.25">
      <c r="B67" s="50" t="s">
        <v>259</v>
      </c>
      <c r="C67" s="50"/>
      <c r="D67" s="50" t="s">
        <v>263</v>
      </c>
      <c r="E67" s="86" t="s">
        <v>275</v>
      </c>
      <c r="F67" s="86" t="s">
        <v>276</v>
      </c>
      <c r="G67" s="86" t="s">
        <v>277</v>
      </c>
      <c r="H67" s="86" t="s">
        <v>278</v>
      </c>
      <c r="I67" s="86" t="s">
        <v>279</v>
      </c>
      <c r="J67" s="86">
        <v>0</v>
      </c>
    </row>
    <row r="68" spans="1:11" x14ac:dyDescent="0.25">
      <c r="B68" s="50" t="s">
        <v>0</v>
      </c>
      <c r="C68" s="50"/>
      <c r="D68" s="6">
        <f>D52*$D10</f>
        <v>701815.44315108669</v>
      </c>
      <c r="E68" s="6">
        <f t="shared" ref="E68:G68" si="2">E52*$D10</f>
        <v>491406.37937506911</v>
      </c>
      <c r="F68" s="6">
        <f t="shared" si="2"/>
        <v>104055.099857176</v>
      </c>
      <c r="G68" s="6">
        <f t="shared" si="2"/>
        <v>106353.9639188416</v>
      </c>
    </row>
    <row r="69" spans="1:11" x14ac:dyDescent="0.25">
      <c r="B69" s="93" t="s">
        <v>12</v>
      </c>
      <c r="C69" s="93"/>
      <c r="D69" s="6">
        <f>D59*$D6</f>
        <v>1116856.7009505557</v>
      </c>
      <c r="H69" s="6">
        <f>E59*$D6</f>
        <v>775818.54054411617</v>
      </c>
      <c r="I69" s="6">
        <f t="shared" ref="I69:J69" si="3">F59*$D6</f>
        <v>175333.56424108971</v>
      </c>
      <c r="J69" s="6">
        <f t="shared" si="3"/>
        <v>165704.59616535003</v>
      </c>
    </row>
    <row r="70" spans="1:11" x14ac:dyDescent="0.25">
      <c r="B70" s="93" t="s">
        <v>13</v>
      </c>
      <c r="C70" s="93"/>
      <c r="D70" s="6">
        <f>D65*D7</f>
        <v>3117893.4947937927</v>
      </c>
      <c r="H70" s="6">
        <f>E65*$D7</f>
        <v>2382795.135489881</v>
      </c>
      <c r="I70" s="6">
        <f t="shared" ref="I70:J70" si="4">F65*$D7</f>
        <v>426791.99674642191</v>
      </c>
      <c r="J70" s="6">
        <f t="shared" si="4"/>
        <v>308306.36255748919</v>
      </c>
    </row>
    <row r="71" spans="1:11" x14ac:dyDescent="0.25">
      <c r="B71" s="50" t="s">
        <v>258</v>
      </c>
      <c r="C71" s="50"/>
      <c r="D71" s="6">
        <f>SUM(D68:D70)</f>
        <v>4936565.6388954353</v>
      </c>
      <c r="E71" s="6">
        <f t="shared" ref="E71:J71" si="5">SUM(E68:E70)</f>
        <v>491406.37937506911</v>
      </c>
      <c r="F71" s="6">
        <f t="shared" si="5"/>
        <v>104055.099857176</v>
      </c>
      <c r="G71" s="6">
        <f t="shared" si="5"/>
        <v>106353.9639188416</v>
      </c>
      <c r="H71" s="6">
        <f t="shared" si="5"/>
        <v>3158613.676033997</v>
      </c>
      <c r="I71" s="6">
        <f t="shared" si="5"/>
        <v>602125.56098751165</v>
      </c>
      <c r="J71" s="6">
        <f t="shared" si="5"/>
        <v>474010.95872283925</v>
      </c>
    </row>
    <row r="72" spans="1:11" x14ac:dyDescent="0.25">
      <c r="B72" s="133"/>
      <c r="D72" s="4"/>
      <c r="E72" s="4"/>
      <c r="F72" s="4"/>
    </row>
    <row r="73" spans="1:11" ht="26.25" x14ac:dyDescent="0.25">
      <c r="B73" s="141" t="s">
        <v>261</v>
      </c>
      <c r="D73" s="4">
        <f>SUM(E73:J73)</f>
        <v>289342019.26240611</v>
      </c>
      <c r="E73" s="4">
        <f>E71+E42</f>
        <v>-3420368.7300266051</v>
      </c>
      <c r="F73" s="4">
        <f t="shared" ref="F73:J73" si="6">F71+F42</f>
        <v>58766.22135875297</v>
      </c>
      <c r="G73" s="4">
        <f t="shared" si="6"/>
        <v>7686097.2795987856</v>
      </c>
      <c r="H73" s="4">
        <f>H71+H42</f>
        <v>4274292.6594274398</v>
      </c>
      <c r="I73" s="4">
        <f t="shared" si="6"/>
        <v>1423990.4576544929</v>
      </c>
      <c r="J73" s="4">
        <f t="shared" si="6"/>
        <v>279319241.37439322</v>
      </c>
    </row>
    <row r="74" spans="1:11" x14ac:dyDescent="0.25">
      <c r="B74" s="133"/>
      <c r="D74" s="4"/>
      <c r="E74" s="4"/>
      <c r="F74" s="4"/>
      <c r="G74" s="4"/>
      <c r="H74" s="4"/>
      <c r="I74" s="4"/>
      <c r="J74" s="4"/>
    </row>
    <row r="75" spans="1:11" x14ac:dyDescent="0.25">
      <c r="B75" s="142" t="s">
        <v>262</v>
      </c>
      <c r="C75" s="64"/>
      <c r="D75" s="143"/>
      <c r="E75" s="143">
        <f>E73/E41</f>
        <v>-5.2536607277999749</v>
      </c>
      <c r="F75" s="143">
        <f t="shared" ref="F75:J75" si="7">F73/F41</f>
        <v>6.0703414880477688E-2</v>
      </c>
      <c r="G75" s="143">
        <f t="shared" si="7"/>
        <v>0.82270116296143103</v>
      </c>
      <c r="H75" s="143">
        <f t="shared" si="7"/>
        <v>2.3695927288061709</v>
      </c>
      <c r="I75" s="143">
        <f t="shared" si="7"/>
        <v>0.77490417460347516</v>
      </c>
      <c r="J75" s="143">
        <f t="shared" si="7"/>
        <v>0.66793965378812759</v>
      </c>
    </row>
    <row r="76" spans="1:11" x14ac:dyDescent="0.25">
      <c r="B76" s="133"/>
      <c r="D76" s="4"/>
      <c r="E76" s="4"/>
      <c r="F76" s="4"/>
      <c r="G76" s="4"/>
      <c r="H76" s="4"/>
      <c r="I76" s="4"/>
      <c r="J76" s="4"/>
    </row>
    <row r="77" spans="1:11" x14ac:dyDescent="0.25">
      <c r="B77" s="133"/>
      <c r="D77" s="4"/>
      <c r="E77" s="4"/>
      <c r="F77" s="4"/>
      <c r="G77" s="4"/>
      <c r="H77" s="4"/>
      <c r="I77" s="4"/>
      <c r="J77" s="4"/>
    </row>
    <row r="78" spans="1:11" x14ac:dyDescent="0.25">
      <c r="A78" t="s">
        <v>265</v>
      </c>
      <c r="B78" s="16"/>
      <c r="C78" s="16"/>
      <c r="D78" s="16"/>
      <c r="H78" s="109"/>
      <c r="I78" s="109"/>
      <c r="J78" s="112"/>
    </row>
    <row r="79" spans="1:11" x14ac:dyDescent="0.25">
      <c r="A79" t="s">
        <v>256</v>
      </c>
      <c r="B79" s="16"/>
      <c r="C79" s="16"/>
      <c r="D79" s="16"/>
      <c r="K79" s="50"/>
    </row>
    <row r="80" spans="1:11" x14ac:dyDescent="0.25">
      <c r="A80" t="s">
        <v>269</v>
      </c>
      <c r="B80" s="16"/>
      <c r="C80" s="16"/>
      <c r="D80" s="16"/>
      <c r="E80" s="136" t="s">
        <v>254</v>
      </c>
      <c r="F80" s="136"/>
      <c r="G80" s="136"/>
      <c r="H80" s="137"/>
      <c r="I80" s="137"/>
      <c r="J80" s="138"/>
      <c r="K80" s="50"/>
    </row>
    <row r="81" spans="2:10" ht="33.75" x14ac:dyDescent="0.25">
      <c r="B81" s="80" t="s">
        <v>20</v>
      </c>
      <c r="C81" s="80" t="s">
        <v>19</v>
      </c>
      <c r="D81" s="82" t="s">
        <v>217</v>
      </c>
      <c r="E81" s="86" t="s">
        <v>275</v>
      </c>
      <c r="F81" s="86" t="s">
        <v>276</v>
      </c>
      <c r="G81" s="86" t="s">
        <v>277</v>
      </c>
      <c r="H81" s="86" t="s">
        <v>278</v>
      </c>
      <c r="I81" s="86" t="s">
        <v>279</v>
      </c>
      <c r="J81" s="86">
        <v>0</v>
      </c>
    </row>
    <row r="82" spans="2:10" x14ac:dyDescent="0.25">
      <c r="B82" s="87" t="s">
        <v>155</v>
      </c>
      <c r="C82" s="81">
        <v>5020</v>
      </c>
      <c r="D82" s="30">
        <v>9085542.8893007282</v>
      </c>
      <c r="E82" s="4">
        <v>15470.471250810999</v>
      </c>
      <c r="F82" s="4">
        <v>23574.675262958073</v>
      </c>
      <c r="G82" s="4">
        <v>206295.70396231758</v>
      </c>
      <c r="H82" s="4">
        <v>44205.959103790607</v>
      </c>
      <c r="I82" s="4">
        <v>43503.572903057975</v>
      </c>
      <c r="J82" s="4">
        <v>9085542.8893007301</v>
      </c>
    </row>
    <row r="83" spans="2:10" x14ac:dyDescent="0.25">
      <c r="B83" s="87" t="s">
        <v>156</v>
      </c>
      <c r="C83" s="81">
        <v>5025</v>
      </c>
      <c r="D83" s="30">
        <v>441755.5739574742</v>
      </c>
      <c r="E83" s="4">
        <v>752.20237140068252</v>
      </c>
      <c r="F83" s="4">
        <v>1146.2434692717243</v>
      </c>
      <c r="G83" s="4">
        <v>10030.471290400657</v>
      </c>
      <c r="H83" s="4">
        <v>2149.3739090959975</v>
      </c>
      <c r="I83" s="4">
        <v>2115.2226180807029</v>
      </c>
      <c r="J83" s="4">
        <v>441755.5739574742</v>
      </c>
    </row>
    <row r="84" spans="2:10" x14ac:dyDescent="0.25">
      <c r="B84" s="87" t="s">
        <v>157</v>
      </c>
      <c r="C84" s="81">
        <v>5040</v>
      </c>
      <c r="D84" s="30">
        <v>1570686.4851821307</v>
      </c>
      <c r="E84" s="4">
        <v>2568.1468101428536</v>
      </c>
      <c r="F84" s="4">
        <v>5312.2791055973785</v>
      </c>
      <c r="G84" s="4">
        <v>33358.375041594205</v>
      </c>
      <c r="H84" s="4">
        <v>7278.6995866712041</v>
      </c>
      <c r="I84" s="4">
        <v>10013.362152989665</v>
      </c>
      <c r="J84" s="4">
        <v>1570686.4851821312</v>
      </c>
    </row>
    <row r="85" spans="2:10" x14ac:dyDescent="0.25">
      <c r="B85" s="87" t="s">
        <v>158</v>
      </c>
      <c r="C85" s="81">
        <v>5045</v>
      </c>
      <c r="D85" s="30">
        <v>147251.85798582475</v>
      </c>
      <c r="E85" s="4">
        <v>240.7637634508925</v>
      </c>
      <c r="F85" s="4">
        <v>498.0261661497542</v>
      </c>
      <c r="G85" s="4">
        <v>3127.3476601494567</v>
      </c>
      <c r="H85" s="4">
        <v>682.37808625042533</v>
      </c>
      <c r="I85" s="4">
        <v>938.75270184278099</v>
      </c>
      <c r="J85" s="4">
        <v>147251.85798582478</v>
      </c>
    </row>
    <row r="86" spans="2:10" x14ac:dyDescent="0.25">
      <c r="B86" s="87" t="s">
        <v>159</v>
      </c>
      <c r="C86" s="81">
        <v>5065</v>
      </c>
      <c r="D86" s="30">
        <v>11562101.457821086</v>
      </c>
      <c r="E86" s="4">
        <v>26193.928992851765</v>
      </c>
      <c r="F86" s="4">
        <v>7136.5571685895156</v>
      </c>
      <c r="G86" s="4">
        <v>230114.08986454413</v>
      </c>
      <c r="H86" s="4">
        <v>50958.162683660921</v>
      </c>
      <c r="I86" s="4">
        <v>14766.203306314164</v>
      </c>
      <c r="J86" s="4">
        <v>11562101.457821086</v>
      </c>
    </row>
    <row r="87" spans="2:10" x14ac:dyDescent="0.25">
      <c r="B87" s="87" t="s">
        <v>160</v>
      </c>
      <c r="C87" s="81">
        <v>5070</v>
      </c>
      <c r="D87" s="30">
        <v>22889214.34559821</v>
      </c>
      <c r="E87" s="4">
        <v>22256.104179776434</v>
      </c>
      <c r="F87" s="4">
        <v>3343.0100927952853</v>
      </c>
      <c r="G87" s="4">
        <v>628784.7268577019</v>
      </c>
      <c r="H87" s="4">
        <v>68099.614492406967</v>
      </c>
      <c r="I87" s="4">
        <v>4888.9323697728196</v>
      </c>
      <c r="J87" s="4">
        <v>22889214.345598221</v>
      </c>
    </row>
    <row r="88" spans="2:10" x14ac:dyDescent="0.25">
      <c r="B88" s="87" t="s">
        <v>161</v>
      </c>
      <c r="C88" s="81">
        <v>5075</v>
      </c>
      <c r="D88" s="30">
        <v>3682917.489679087</v>
      </c>
      <c r="E88" s="4">
        <v>3581.0488773539523</v>
      </c>
      <c r="F88" s="4">
        <v>537.89658976640112</v>
      </c>
      <c r="G88" s="4">
        <v>101172.64108860331</v>
      </c>
      <c r="H88" s="4">
        <v>10957.355611583978</v>
      </c>
      <c r="I88" s="4">
        <v>786.63838166892606</v>
      </c>
      <c r="J88" s="4">
        <v>3682917.4896790884</v>
      </c>
    </row>
    <row r="89" spans="2:10" x14ac:dyDescent="0.25">
      <c r="B89" s="87" t="s">
        <v>138</v>
      </c>
      <c r="C89" s="81">
        <v>5120</v>
      </c>
      <c r="D89" s="30">
        <v>19659780.496066768</v>
      </c>
      <c r="E89" s="4">
        <v>34707.951459902215</v>
      </c>
      <c r="F89" s="4">
        <v>49696.868764655526</v>
      </c>
      <c r="G89" s="4">
        <v>442620.64659419912</v>
      </c>
      <c r="H89" s="4">
        <v>98922.424431536972</v>
      </c>
      <c r="I89" s="4">
        <v>91386.172047799686</v>
      </c>
      <c r="J89" s="4">
        <v>19659780.496066768</v>
      </c>
    </row>
    <row r="90" spans="2:10" x14ac:dyDescent="0.25">
      <c r="B90" s="87" t="s">
        <v>139</v>
      </c>
      <c r="C90" s="81">
        <v>5125</v>
      </c>
      <c r="D90" s="30">
        <v>34357029.290226847</v>
      </c>
      <c r="E90" s="4">
        <v>57518.154753094044</v>
      </c>
      <c r="F90" s="4">
        <v>105074.56177127373</v>
      </c>
      <c r="G90" s="4">
        <v>770868.82376424433</v>
      </c>
      <c r="H90" s="4">
        <v>164335.53363784225</v>
      </c>
      <c r="I90" s="4">
        <v>195217.26808652258</v>
      </c>
      <c r="J90" s="4">
        <v>34357029.290226847</v>
      </c>
    </row>
    <row r="91" spans="2:10" x14ac:dyDescent="0.25">
      <c r="B91" s="87" t="s">
        <v>140</v>
      </c>
      <c r="C91" s="81">
        <v>5130</v>
      </c>
      <c r="D91" s="30">
        <v>7959134.7555397181</v>
      </c>
      <c r="E91" s="4">
        <v>0</v>
      </c>
      <c r="F91" s="4">
        <v>0</v>
      </c>
      <c r="G91" s="4">
        <v>195460.27851616192</v>
      </c>
      <c r="H91" s="4">
        <v>0</v>
      </c>
      <c r="I91" s="4">
        <v>0</v>
      </c>
      <c r="J91" s="4">
        <v>7959134.7555397181</v>
      </c>
    </row>
    <row r="92" spans="2:10" x14ac:dyDescent="0.25">
      <c r="B92" s="87" t="s">
        <v>141</v>
      </c>
      <c r="C92" s="81">
        <v>5135</v>
      </c>
      <c r="D92" s="30">
        <v>132624361.73828779</v>
      </c>
      <c r="E92" s="4">
        <v>225827.05298166876</v>
      </c>
      <c r="F92" s="4">
        <v>344126.5203446587</v>
      </c>
      <c r="G92" s="4">
        <v>3011359.5192613634</v>
      </c>
      <c r="H92" s="4">
        <v>645287.4839293519</v>
      </c>
      <c r="I92" s="4">
        <v>635034.54442965018</v>
      </c>
      <c r="J92" s="4">
        <v>132624361.73828782</v>
      </c>
    </row>
    <row r="93" spans="2:10" x14ac:dyDescent="0.25">
      <c r="B93" s="87" t="s">
        <v>142</v>
      </c>
      <c r="C93" s="81">
        <v>5145</v>
      </c>
      <c r="D93" s="30">
        <v>153124.40900570544</v>
      </c>
      <c r="E93" s="4">
        <v>355.43025539950651</v>
      </c>
      <c r="F93" s="4">
        <v>1034.755735131256</v>
      </c>
      <c r="G93" s="4">
        <v>2233.5252733271459</v>
      </c>
      <c r="H93" s="4">
        <v>972.14259874369759</v>
      </c>
      <c r="I93" s="4">
        <v>1960.3689414274913</v>
      </c>
      <c r="J93" s="4">
        <v>153124.40900570538</v>
      </c>
    </row>
    <row r="94" spans="2:10" x14ac:dyDescent="0.25">
      <c r="B94" s="87" t="s">
        <v>143</v>
      </c>
      <c r="C94" s="81">
        <v>5150</v>
      </c>
      <c r="D94" s="30">
        <v>1326522.4592566197</v>
      </c>
      <c r="E94" s="4">
        <v>2168.9270611682336</v>
      </c>
      <c r="F94" s="4">
        <v>4486.4825729989425</v>
      </c>
      <c r="G94" s="4">
        <v>28172.79840021611</v>
      </c>
      <c r="H94" s="4">
        <v>6147.2219739521279</v>
      </c>
      <c r="I94" s="4">
        <v>8456.7798309353711</v>
      </c>
      <c r="J94" s="4">
        <v>1326522.4592566197</v>
      </c>
    </row>
    <row r="95" spans="2:10" x14ac:dyDescent="0.25">
      <c r="B95" s="87" t="s">
        <v>144</v>
      </c>
      <c r="C95" s="81">
        <v>5155</v>
      </c>
      <c r="D95" s="30">
        <v>6765264.542208761</v>
      </c>
      <c r="E95" s="4">
        <v>0</v>
      </c>
      <c r="F95" s="4">
        <v>0</v>
      </c>
      <c r="G95" s="4">
        <v>166141.23673873764</v>
      </c>
      <c r="H95" s="4">
        <v>0</v>
      </c>
      <c r="I95" s="4">
        <v>0</v>
      </c>
      <c r="J95" s="4">
        <v>6765264.54220876</v>
      </c>
    </row>
    <row r="96" spans="2:10" x14ac:dyDescent="0.25">
      <c r="B96" s="87" t="s">
        <v>145</v>
      </c>
      <c r="C96" s="81">
        <v>5160</v>
      </c>
      <c r="D96" s="30">
        <v>2966866.5941560115</v>
      </c>
      <c r="E96" s="4">
        <v>10088.861623060955</v>
      </c>
      <c r="F96" s="4">
        <v>18150.757792586835</v>
      </c>
      <c r="G96" s="4">
        <v>50754.656731052019</v>
      </c>
      <c r="H96" s="4">
        <v>25936.706309184672</v>
      </c>
      <c r="I96" s="4">
        <v>42917.003934159104</v>
      </c>
      <c r="J96" s="4">
        <v>2966866.5941560115</v>
      </c>
    </row>
    <row r="97" spans="1:14" x14ac:dyDescent="0.25">
      <c r="B97" s="87" t="s">
        <v>146</v>
      </c>
      <c r="C97" s="81">
        <v>5175</v>
      </c>
      <c r="D97" s="30">
        <v>7543725.9421527442</v>
      </c>
      <c r="E97" s="4">
        <v>17090.303383959505</v>
      </c>
      <c r="F97" s="4">
        <v>4656.2669984121112</v>
      </c>
      <c r="G97" s="4">
        <v>150138.59164778245</v>
      </c>
      <c r="H97" s="4">
        <v>33247.798006575962</v>
      </c>
      <c r="I97" s="4">
        <v>9634.251295519769</v>
      </c>
      <c r="J97" s="4">
        <v>7543725.942152747</v>
      </c>
    </row>
    <row r="98" spans="1:14" x14ac:dyDescent="0.25">
      <c r="B98" s="16"/>
      <c r="C98" s="16"/>
      <c r="D98" s="83">
        <f>SUM(D82:D97)</f>
        <v>262735280.32642546</v>
      </c>
      <c r="E98" s="116">
        <f>SUM(E82:E97)</f>
        <v>418819.34776404081</v>
      </c>
      <c r="F98" s="116">
        <f t="shared" ref="F98:J98" si="8">SUM(F82:F97)</f>
        <v>568774.90183484519</v>
      </c>
      <c r="G98" s="116">
        <f t="shared" si="8"/>
        <v>6030633.4326923946</v>
      </c>
      <c r="H98" s="116">
        <f t="shared" si="8"/>
        <v>1159180.8543606477</v>
      </c>
      <c r="I98" s="116">
        <f t="shared" si="8"/>
        <v>1061619.0729997412</v>
      </c>
      <c r="J98" s="116">
        <f t="shared" si="8"/>
        <v>262735280.32642552</v>
      </c>
    </row>
    <row r="100" spans="1:14" x14ac:dyDescent="0.25">
      <c r="B100" t="s">
        <v>225</v>
      </c>
      <c r="C100" s="29"/>
      <c r="D100" s="4">
        <f>SUM(E100:J100)</f>
        <v>611904459.22353172</v>
      </c>
      <c r="E100" s="30">
        <v>930190.49417788035</v>
      </c>
      <c r="F100" s="30">
        <v>1369242.326623389</v>
      </c>
      <c r="G100" s="30">
        <v>13194122.192541206</v>
      </c>
      <c r="H100" s="30">
        <v>2575289.0071331603</v>
      </c>
      <c r="I100" s="30">
        <v>2631702.5846504173</v>
      </c>
      <c r="J100" s="30">
        <v>591203912.6184057</v>
      </c>
    </row>
    <row r="101" spans="1:14" x14ac:dyDescent="0.25">
      <c r="B101" s="140" t="s">
        <v>266</v>
      </c>
      <c r="C101" s="29"/>
      <c r="D101" s="4"/>
      <c r="E101" s="4">
        <f>E100-E98</f>
        <v>511371.14641383954</v>
      </c>
      <c r="F101" s="4">
        <f t="shared" ref="F101:J101" si="9">F100-F98</f>
        <v>800467.42478854384</v>
      </c>
      <c r="G101" s="4">
        <f t="shared" si="9"/>
        <v>7163488.7598488117</v>
      </c>
      <c r="H101" s="4">
        <f t="shared" si="9"/>
        <v>1416108.1527725125</v>
      </c>
      <c r="I101" s="4">
        <f t="shared" si="9"/>
        <v>1570083.5116506761</v>
      </c>
      <c r="J101" s="4">
        <f t="shared" si="9"/>
        <v>328468632.29198015</v>
      </c>
    </row>
    <row r="102" spans="1:14" x14ac:dyDescent="0.25">
      <c r="B102" s="5"/>
      <c r="C102" s="29"/>
      <c r="D102" s="29"/>
    </row>
    <row r="103" spans="1:14" x14ac:dyDescent="0.25">
      <c r="A103" t="s">
        <v>267</v>
      </c>
      <c r="B103" s="133"/>
      <c r="D103" s="4"/>
      <c r="E103" s="4"/>
      <c r="F103" s="4"/>
      <c r="G103" s="4"/>
      <c r="H103" s="4"/>
      <c r="I103" s="4"/>
      <c r="J103" s="4"/>
    </row>
    <row r="104" spans="1:14" x14ac:dyDescent="0.25">
      <c r="B104" s="140"/>
    </row>
    <row r="105" spans="1:14" x14ac:dyDescent="0.25">
      <c r="A105" t="s">
        <v>104</v>
      </c>
      <c r="C105" s="84"/>
    </row>
    <row r="106" spans="1:14" x14ac:dyDescent="0.25">
      <c r="B106" t="s">
        <v>162</v>
      </c>
      <c r="C106" s="84" t="s">
        <v>149</v>
      </c>
      <c r="D106" t="s">
        <v>75</v>
      </c>
      <c r="E106" t="s">
        <v>80</v>
      </c>
      <c r="F106" t="s">
        <v>81</v>
      </c>
      <c r="G106" t="s">
        <v>82</v>
      </c>
      <c r="H106" t="s">
        <v>83</v>
      </c>
      <c r="I106" t="s">
        <v>84</v>
      </c>
      <c r="J106" t="s">
        <v>85</v>
      </c>
      <c r="K106" t="s">
        <v>86</v>
      </c>
      <c r="L106" t="s">
        <v>87</v>
      </c>
      <c r="M106" t="s">
        <v>88</v>
      </c>
    </row>
    <row r="107" spans="1:14" x14ac:dyDescent="0.25">
      <c r="B107" t="s">
        <v>169</v>
      </c>
      <c r="C107" t="s">
        <v>170</v>
      </c>
      <c r="D107" s="4">
        <v>4169207.1331068384</v>
      </c>
      <c r="E107" s="4">
        <v>2627286.5116613032</v>
      </c>
      <c r="F107" s="4">
        <v>560751.05598874041</v>
      </c>
      <c r="G107" s="4">
        <v>572009.1715390227</v>
      </c>
      <c r="H107" s="4">
        <v>0</v>
      </c>
      <c r="I107" s="4">
        <v>220591.48981154599</v>
      </c>
      <c r="J107" s="4">
        <v>0</v>
      </c>
      <c r="K107" s="4">
        <v>176245.21824803465</v>
      </c>
      <c r="L107" s="4">
        <v>0</v>
      </c>
      <c r="M107" s="4">
        <v>12323.685858191828</v>
      </c>
      <c r="N107" s="4"/>
    </row>
    <row r="108" spans="1:14" x14ac:dyDescent="0.25">
      <c r="B108" t="s">
        <v>172</v>
      </c>
      <c r="C108" s="84" t="s">
        <v>148</v>
      </c>
      <c r="D108" s="89">
        <f>SUM(E107:G107)/D107</f>
        <v>0.9018613417719854</v>
      </c>
      <c r="E108" s="89">
        <f>E107/$D107</f>
        <v>0.63016454394854782</v>
      </c>
      <c r="F108" s="89">
        <f>F107/$D107</f>
        <v>0.13449824824867265</v>
      </c>
      <c r="G108" s="89">
        <f>G107/$D107</f>
        <v>0.13719854957476507</v>
      </c>
      <c r="H108" s="89"/>
      <c r="I108" s="89"/>
      <c r="J108" s="89"/>
      <c r="K108" s="89"/>
      <c r="L108" s="89"/>
      <c r="M108" s="89"/>
      <c r="N108" s="4"/>
    </row>
    <row r="109" spans="1:14" x14ac:dyDescent="0.25"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1:14" x14ac:dyDescent="0.25">
      <c r="A110" t="s">
        <v>154</v>
      </c>
    </row>
    <row r="111" spans="1:14" x14ac:dyDescent="0.25">
      <c r="B111" t="s">
        <v>12</v>
      </c>
    </row>
    <row r="112" spans="1:14" x14ac:dyDescent="0.25">
      <c r="B112" t="s">
        <v>162</v>
      </c>
      <c r="C112" s="84" t="s">
        <v>149</v>
      </c>
      <c r="D112" t="s">
        <v>75</v>
      </c>
      <c r="E112" t="s">
        <v>80</v>
      </c>
      <c r="F112" t="s">
        <v>81</v>
      </c>
      <c r="G112" t="s">
        <v>99</v>
      </c>
      <c r="H112" t="s">
        <v>83</v>
      </c>
      <c r="I112" t="s">
        <v>95</v>
      </c>
      <c r="J112" t="s">
        <v>96</v>
      </c>
      <c r="K112" t="s">
        <v>100</v>
      </c>
      <c r="L112" t="s">
        <v>87</v>
      </c>
      <c r="M112" t="s">
        <v>88</v>
      </c>
      <c r="N112" t="s">
        <v>101</v>
      </c>
    </row>
    <row r="113" spans="2:14" x14ac:dyDescent="0.25">
      <c r="B113" t="s">
        <v>167</v>
      </c>
      <c r="C113" t="s">
        <v>168</v>
      </c>
      <c r="D113" s="4">
        <v>5615686.940497444</v>
      </c>
      <c r="E113" s="4">
        <v>3817789.4164196714</v>
      </c>
      <c r="F113" s="4">
        <v>865722.55896303558</v>
      </c>
      <c r="G113" s="4">
        <v>821213.16876244242</v>
      </c>
      <c r="H113" s="4">
        <v>0</v>
      </c>
      <c r="I113" s="4">
        <v>0</v>
      </c>
      <c r="J113" s="4">
        <v>0</v>
      </c>
      <c r="K113" s="4">
        <v>78323.095903543173</v>
      </c>
      <c r="L113" s="4">
        <v>23288.160709955249</v>
      </c>
      <c r="M113" s="4">
        <v>8332.8769367868317</v>
      </c>
      <c r="N113" s="4">
        <v>1017.6628020090957</v>
      </c>
    </row>
    <row r="114" spans="2:14" x14ac:dyDescent="0.25">
      <c r="B114" t="s">
        <v>174</v>
      </c>
      <c r="C114" t="s">
        <v>148</v>
      </c>
      <c r="D114" s="90">
        <f>SUM(E113:G113)/D113</f>
        <v>0.98024074391467675</v>
      </c>
      <c r="E114" s="90">
        <f>E113/$D113</f>
        <v>0.67984370511962466</v>
      </c>
      <c r="F114" s="90">
        <f>F113/$D113</f>
        <v>0.15416147091816854</v>
      </c>
      <c r="G114" s="90">
        <f>G113/$D113</f>
        <v>0.14623556787688355</v>
      </c>
      <c r="H114" s="4"/>
      <c r="I114" s="4"/>
      <c r="J114" s="4"/>
      <c r="K114" s="4"/>
      <c r="L114" s="4"/>
      <c r="M114" s="4"/>
      <c r="N114" s="4"/>
    </row>
    <row r="116" spans="2:14" x14ac:dyDescent="0.25">
      <c r="B116" t="s">
        <v>13</v>
      </c>
    </row>
    <row r="117" spans="2:14" x14ac:dyDescent="0.25">
      <c r="B117" t="s">
        <v>162</v>
      </c>
      <c r="C117" t="s">
        <v>149</v>
      </c>
      <c r="D117" t="s">
        <v>75</v>
      </c>
      <c r="E117" t="s">
        <v>80</v>
      </c>
      <c r="F117" t="s">
        <v>93</v>
      </c>
      <c r="G117" t="s">
        <v>94</v>
      </c>
      <c r="H117" t="s">
        <v>83</v>
      </c>
      <c r="I117" t="s">
        <v>95</v>
      </c>
      <c r="J117" t="s">
        <v>96</v>
      </c>
      <c r="K117" t="s">
        <v>86</v>
      </c>
      <c r="L117" t="s">
        <v>97</v>
      </c>
      <c r="M117" t="s">
        <v>88</v>
      </c>
      <c r="N117" t="s">
        <v>98</v>
      </c>
    </row>
    <row r="118" spans="2:14" x14ac:dyDescent="0.25">
      <c r="B118" t="s">
        <v>151</v>
      </c>
      <c r="C118" t="s">
        <v>148</v>
      </c>
      <c r="D118" s="90">
        <v>1</v>
      </c>
      <c r="E118" s="90">
        <v>0.72215731173260889</v>
      </c>
      <c r="F118" s="90">
        <v>0.12948550825113075</v>
      </c>
      <c r="G118" s="90">
        <v>9.368090834939112E-2</v>
      </c>
      <c r="H118" s="90">
        <v>0</v>
      </c>
      <c r="I118" s="90">
        <v>0</v>
      </c>
      <c r="J118" s="90">
        <v>0</v>
      </c>
      <c r="K118" s="90">
        <v>2.5367255553887399E-2</v>
      </c>
      <c r="L118" s="90">
        <v>1.3515547411120009E-2</v>
      </c>
      <c r="M118" s="90">
        <v>1.8608048339925451E-3</v>
      </c>
      <c r="N118" s="90">
        <v>1.3932663867869368E-2</v>
      </c>
    </row>
    <row r="119" spans="2:14" x14ac:dyDescent="0.25">
      <c r="B119" t="s">
        <v>166</v>
      </c>
      <c r="C119" t="s">
        <v>148</v>
      </c>
      <c r="D119" s="4">
        <v>7974020.4099999992</v>
      </c>
      <c r="E119" s="4">
        <v>5758497.1429865556</v>
      </c>
      <c r="F119" s="4">
        <v>1032520.08559374</v>
      </c>
      <c r="G119" s="4">
        <v>747013.47520538408</v>
      </c>
      <c r="H119" s="4">
        <v>0</v>
      </c>
      <c r="I119" s="4">
        <v>0</v>
      </c>
      <c r="J119" s="4">
        <v>0</v>
      </c>
      <c r="K119" s="4">
        <v>202279.01353238395</v>
      </c>
      <c r="L119" s="4">
        <v>107773.2509085936</v>
      </c>
      <c r="M119" s="4">
        <v>14838.095725283216</v>
      </c>
      <c r="N119" s="4">
        <v>111099.34604805987</v>
      </c>
    </row>
    <row r="120" spans="2:14" x14ac:dyDescent="0.25">
      <c r="B120" t="s">
        <v>174</v>
      </c>
      <c r="C120" t="s">
        <v>148</v>
      </c>
      <c r="D120" s="90">
        <f>SUM(E119:G119)/D119</f>
        <v>0.94532372833313094</v>
      </c>
      <c r="E120" s="90">
        <f>E119/$D119</f>
        <v>0.72215731173260889</v>
      </c>
      <c r="F120" s="90">
        <f>F119/$D119</f>
        <v>0.12948550825113075</v>
      </c>
      <c r="G120" s="90">
        <f>G119/$D119</f>
        <v>9.368090834939112E-2</v>
      </c>
    </row>
    <row r="122" spans="2:14" x14ac:dyDescent="0.25">
      <c r="B122" s="50" t="s">
        <v>259</v>
      </c>
      <c r="C122" s="50"/>
      <c r="D122" s="50" t="s">
        <v>263</v>
      </c>
      <c r="E122" s="86" t="s">
        <v>275</v>
      </c>
      <c r="F122" s="86" t="s">
        <v>276</v>
      </c>
      <c r="G122" s="86" t="s">
        <v>277</v>
      </c>
      <c r="H122" s="86" t="s">
        <v>278</v>
      </c>
      <c r="I122" s="86" t="s">
        <v>279</v>
      </c>
      <c r="J122" s="86">
        <v>0</v>
      </c>
    </row>
    <row r="123" spans="2:14" x14ac:dyDescent="0.25">
      <c r="B123" s="50" t="s">
        <v>0</v>
      </c>
      <c r="C123" s="50"/>
      <c r="D123" s="6">
        <f>D108*$D10</f>
        <v>701064.77807337709</v>
      </c>
      <c r="E123" s="6">
        <f>E108*$D10</f>
        <v>489860.40945604129</v>
      </c>
      <c r="F123" s="6">
        <f>F108*$D10</f>
        <v>104552.64040306676</v>
      </c>
      <c r="G123" s="6">
        <f>G108*$D10</f>
        <v>106651.72821426917</v>
      </c>
      <c r="H123" s="6"/>
      <c r="I123" s="6"/>
      <c r="J123" s="6"/>
    </row>
    <row r="124" spans="2:14" x14ac:dyDescent="0.25">
      <c r="B124" s="93" t="s">
        <v>12</v>
      </c>
      <c r="C124" s="93"/>
      <c r="D124" s="6">
        <f>D114*$D6</f>
        <v>1116789.5069086554</v>
      </c>
      <c r="E124" s="6"/>
      <c r="F124" s="6"/>
      <c r="G124" s="6"/>
      <c r="H124" s="6">
        <f>E114*$D6</f>
        <v>774546.78448010492</v>
      </c>
      <c r="I124" s="6">
        <f>F114*$D6</f>
        <v>175636.35684378399</v>
      </c>
      <c r="J124" s="6">
        <f>G114*$D6</f>
        <v>166606.36558476635</v>
      </c>
    </row>
    <row r="125" spans="2:14" x14ac:dyDescent="0.25">
      <c r="B125" s="93" t="s">
        <v>13</v>
      </c>
      <c r="C125" s="93"/>
      <c r="D125" s="6">
        <f>D120*D7</f>
        <v>3212579.8227770468</v>
      </c>
      <c r="E125" s="6"/>
      <c r="F125" s="6"/>
      <c r="G125" s="6"/>
      <c r="H125" s="6">
        <f>E120*$D7</f>
        <v>2454173.0404185224</v>
      </c>
      <c r="I125" s="6">
        <f>F120*$D7</f>
        <v>440042.40947501292</v>
      </c>
      <c r="J125" s="6">
        <f>G120*$D7</f>
        <v>318364.37288351095</v>
      </c>
    </row>
    <row r="126" spans="2:14" x14ac:dyDescent="0.25">
      <c r="B126" s="50" t="s">
        <v>258</v>
      </c>
      <c r="C126" s="50"/>
      <c r="D126" s="6">
        <f>SUM(D123:D125)</f>
        <v>5030434.107759079</v>
      </c>
      <c r="E126" s="6">
        <f t="shared" ref="E126:J126" si="10">SUM(E123:E125)</f>
        <v>489860.40945604129</v>
      </c>
      <c r="F126" s="6">
        <f t="shared" si="10"/>
        <v>104552.64040306676</v>
      </c>
      <c r="G126" s="6">
        <f t="shared" si="10"/>
        <v>106651.72821426917</v>
      </c>
      <c r="H126" s="6">
        <f t="shared" si="10"/>
        <v>3228719.8248986276</v>
      </c>
      <c r="I126" s="6">
        <f t="shared" si="10"/>
        <v>615678.7663187969</v>
      </c>
      <c r="J126" s="6">
        <f t="shared" si="10"/>
        <v>484970.73846827727</v>
      </c>
    </row>
    <row r="127" spans="2:14" x14ac:dyDescent="0.25">
      <c r="B127" s="133"/>
      <c r="D127" s="4"/>
      <c r="E127" s="4"/>
      <c r="F127" s="4"/>
    </row>
    <row r="128" spans="2:14" ht="26.25" x14ac:dyDescent="0.25">
      <c r="B128" s="141" t="s">
        <v>261</v>
      </c>
      <c r="D128" s="4">
        <f>SUM(E128:J128)</f>
        <v>344960585.3952136</v>
      </c>
      <c r="E128" s="4">
        <f t="shared" ref="E128:J128" si="11">E126+E101</f>
        <v>1001231.5558698808</v>
      </c>
      <c r="F128" s="4">
        <f t="shared" si="11"/>
        <v>905020.0651916106</v>
      </c>
      <c r="G128" s="4">
        <f t="shared" si="11"/>
        <v>7270140.4880630812</v>
      </c>
      <c r="H128" s="4">
        <f t="shared" si="11"/>
        <v>4644827.9776711399</v>
      </c>
      <c r="I128" s="4">
        <f t="shared" si="11"/>
        <v>2185762.277969473</v>
      </c>
      <c r="J128" s="4">
        <f t="shared" si="11"/>
        <v>328953603.03044844</v>
      </c>
    </row>
    <row r="129" spans="2:10" x14ac:dyDescent="0.25">
      <c r="B129" s="133"/>
      <c r="D129" s="4"/>
      <c r="E129" s="4"/>
      <c r="F129" s="4"/>
      <c r="G129" s="4"/>
      <c r="H129" s="4"/>
      <c r="I129" s="4"/>
      <c r="J129" s="4"/>
    </row>
    <row r="130" spans="2:10" x14ac:dyDescent="0.25">
      <c r="B130" s="142" t="s">
        <v>268</v>
      </c>
      <c r="C130" s="64"/>
      <c r="D130" s="143"/>
      <c r="E130" s="143">
        <f t="shared" ref="E130:J130" si="12">E128/E100</f>
        <v>1.0763725947928418</v>
      </c>
      <c r="F130" s="143">
        <f t="shared" si="12"/>
        <v>0.66096413147220578</v>
      </c>
      <c r="G130" s="143">
        <f t="shared" si="12"/>
        <v>0.551013578771688</v>
      </c>
      <c r="H130" s="143">
        <f t="shared" si="12"/>
        <v>1.8036142603046377</v>
      </c>
      <c r="I130" s="143">
        <f t="shared" si="12"/>
        <v>0.83055064455918337</v>
      </c>
      <c r="J130" s="143">
        <f t="shared" si="12"/>
        <v>0.55641310216221873</v>
      </c>
    </row>
    <row r="131" spans="2:10" x14ac:dyDescent="0.25">
      <c r="B131" s="133"/>
      <c r="D131" s="4"/>
      <c r="E131" s="4"/>
      <c r="F131" s="4"/>
      <c r="G131" s="4"/>
      <c r="H131" s="4"/>
      <c r="I131" s="4"/>
      <c r="J131" s="4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zoomScaleNormal="100" workbookViewId="0">
      <selection activeCell="L24" sqref="L24"/>
    </sheetView>
  </sheetViews>
  <sheetFormatPr defaultColWidth="8.85546875" defaultRowHeight="15" x14ac:dyDescent="0.25"/>
  <cols>
    <col min="1" max="1" width="11.140625" style="36" customWidth="1"/>
    <col min="2" max="2" width="55.140625" style="36" customWidth="1"/>
    <col min="3" max="3" width="16" style="36" bestFit="1" customWidth="1"/>
    <col min="4" max="16" width="15.5703125" style="36" customWidth="1"/>
    <col min="17" max="17" width="11.5703125" style="36" bestFit="1" customWidth="1"/>
    <col min="18" max="18" width="11.7109375" style="36" bestFit="1" customWidth="1"/>
    <col min="19" max="22" width="11.5703125" style="36" bestFit="1" customWidth="1"/>
    <col min="23" max="16384" width="8.85546875" style="36"/>
  </cols>
  <sheetData>
    <row r="1" spans="1:11" s="380" customFormat="1" x14ac:dyDescent="0.25">
      <c r="A1" s="382" t="s">
        <v>351</v>
      </c>
    </row>
    <row r="2" spans="1:11" s="216" customFormat="1" x14ac:dyDescent="0.25">
      <c r="A2" s="215"/>
    </row>
    <row r="3" spans="1:11" s="216" customFormat="1" x14ac:dyDescent="0.25">
      <c r="A3" s="216" t="s">
        <v>352</v>
      </c>
    </row>
    <row r="4" spans="1:11" s="216" customFormat="1" ht="15.75" thickBot="1" x14ac:dyDescent="0.3"/>
    <row r="5" spans="1:11" s="216" customFormat="1" x14ac:dyDescent="0.25">
      <c r="D5" s="217" t="s">
        <v>118</v>
      </c>
      <c r="E5" s="218"/>
      <c r="F5" s="218"/>
      <c r="G5" s="218"/>
      <c r="H5" s="218"/>
      <c r="I5" s="218"/>
      <c r="J5" s="219"/>
    </row>
    <row r="6" spans="1:11" s="216" customFormat="1" x14ac:dyDescent="0.25">
      <c r="D6" s="220" t="s">
        <v>274</v>
      </c>
      <c r="E6" s="221" t="s">
        <v>275</v>
      </c>
      <c r="F6" s="221" t="s">
        <v>276</v>
      </c>
      <c r="G6" s="221" t="s">
        <v>277</v>
      </c>
      <c r="H6" s="221" t="s">
        <v>278</v>
      </c>
      <c r="I6" s="221" t="s">
        <v>279</v>
      </c>
      <c r="J6" s="222" t="s">
        <v>119</v>
      </c>
    </row>
    <row r="7" spans="1:11" s="216" customFormat="1" x14ac:dyDescent="0.25">
      <c r="B7" s="216" t="s">
        <v>233</v>
      </c>
      <c r="D7" s="206">
        <f>'5. Determine Alloc for Acq'!U18</f>
        <v>0.36011198578822001</v>
      </c>
      <c r="E7" s="206">
        <f>'5. Determine Alloc for Acq'!V18</f>
        <v>0.32051289185446746</v>
      </c>
      <c r="F7" s="206">
        <f>'5. Determine Alloc for Acq'!W18</f>
        <v>0.17178176665885309</v>
      </c>
      <c r="G7" s="206">
        <f>'5. Determine Alloc for Acq'!X18</f>
        <v>0.53193049518960511</v>
      </c>
      <c r="H7" s="206">
        <f>'5. Determine Alloc for Acq'!Y18</f>
        <v>0.42404108636641857</v>
      </c>
      <c r="I7" s="206">
        <f>'5. Determine Alloc for Acq'!Z18</f>
        <v>0.30216007931341521</v>
      </c>
      <c r="J7" s="206">
        <f>'5. Determine Alloc for Acq'!AA18</f>
        <v>0.41033271612597555</v>
      </c>
      <c r="K7" s="206"/>
    </row>
    <row r="8" spans="1:11" s="216" customFormat="1" x14ac:dyDescent="0.25"/>
    <row r="9" spans="1:11" s="216" customFormat="1" x14ac:dyDescent="0.25">
      <c r="A9" s="216" t="s">
        <v>353</v>
      </c>
    </row>
    <row r="10" spans="1:11" s="216" customFormat="1" x14ac:dyDescent="0.25"/>
    <row r="11" spans="1:11" s="216" customFormat="1" ht="25.5" x14ac:dyDescent="0.25">
      <c r="A11" s="223" t="s">
        <v>231</v>
      </c>
      <c r="B11" s="223" t="s">
        <v>232</v>
      </c>
      <c r="C11" s="381" t="s">
        <v>236</v>
      </c>
      <c r="D11" s="220" t="s">
        <v>274</v>
      </c>
      <c r="E11" s="221" t="s">
        <v>275</v>
      </c>
      <c r="F11" s="221" t="s">
        <v>276</v>
      </c>
      <c r="G11" s="221" t="s">
        <v>277</v>
      </c>
      <c r="H11" s="221" t="s">
        <v>278</v>
      </c>
      <c r="I11" s="221" t="s">
        <v>279</v>
      </c>
    </row>
    <row r="12" spans="1:11" s="216" customFormat="1" ht="30" x14ac:dyDescent="0.25">
      <c r="A12" s="131">
        <v>1815</v>
      </c>
      <c r="B12" s="132" t="s">
        <v>283</v>
      </c>
      <c r="C12" s="30">
        <v>5538478.7509387424</v>
      </c>
      <c r="D12" s="123">
        <v>0</v>
      </c>
      <c r="E12" s="123">
        <v>0</v>
      </c>
      <c r="F12" s="123">
        <v>0</v>
      </c>
      <c r="G12" s="123">
        <v>0</v>
      </c>
      <c r="H12" s="123">
        <v>0</v>
      </c>
      <c r="I12" s="123">
        <v>0</v>
      </c>
    </row>
    <row r="13" spans="1:11" s="216" customFormat="1" x14ac:dyDescent="0.25">
      <c r="A13" s="131" t="s">
        <v>292</v>
      </c>
      <c r="B13" s="124" t="s">
        <v>293</v>
      </c>
      <c r="C13" s="30">
        <v>4378099.861618489</v>
      </c>
      <c r="D13" s="123">
        <v>31053.862501001808</v>
      </c>
      <c r="E13" s="123">
        <v>8320.7681302306119</v>
      </c>
      <c r="F13" s="123">
        <v>22320.362427937991</v>
      </c>
      <c r="G13" s="123">
        <v>87492.851006322337</v>
      </c>
      <c r="H13" s="123">
        <v>24302.871469048812</v>
      </c>
      <c r="I13" s="123">
        <v>39610.306809872847</v>
      </c>
    </row>
    <row r="14" spans="1:11" s="216" customFormat="1" x14ac:dyDescent="0.25">
      <c r="A14" s="131" t="s">
        <v>294</v>
      </c>
      <c r="B14" s="124" t="s">
        <v>295</v>
      </c>
      <c r="C14" s="30">
        <v>1160378.8893202532</v>
      </c>
      <c r="D14" s="123">
        <v>0</v>
      </c>
      <c r="E14" s="123">
        <v>0</v>
      </c>
      <c r="F14" s="123">
        <v>0</v>
      </c>
      <c r="G14" s="123">
        <v>0</v>
      </c>
      <c r="H14" s="123">
        <v>0</v>
      </c>
      <c r="I14" s="123">
        <v>0</v>
      </c>
    </row>
    <row r="15" spans="1:11" s="216" customFormat="1" ht="30" x14ac:dyDescent="0.25">
      <c r="A15" s="131">
        <v>1820</v>
      </c>
      <c r="B15" s="132" t="s">
        <v>285</v>
      </c>
      <c r="C15" s="30">
        <v>23705437.34357693</v>
      </c>
      <c r="D15" s="123">
        <v>0</v>
      </c>
      <c r="E15" s="123">
        <v>0</v>
      </c>
      <c r="F15" s="123">
        <v>0</v>
      </c>
      <c r="G15" s="123">
        <v>0</v>
      </c>
      <c r="H15" s="123">
        <v>0</v>
      </c>
      <c r="I15" s="123">
        <v>0</v>
      </c>
    </row>
    <row r="16" spans="1:11" s="216" customFormat="1" ht="30" x14ac:dyDescent="0.25">
      <c r="A16" s="131" t="s">
        <v>286</v>
      </c>
      <c r="B16" s="132" t="s">
        <v>287</v>
      </c>
      <c r="C16" s="30">
        <v>0</v>
      </c>
      <c r="D16" s="123">
        <v>0</v>
      </c>
      <c r="E16" s="123">
        <v>0</v>
      </c>
      <c r="F16" s="123">
        <v>0</v>
      </c>
      <c r="G16" s="123">
        <v>0</v>
      </c>
      <c r="H16" s="123">
        <v>0</v>
      </c>
      <c r="I16" s="123">
        <v>0</v>
      </c>
    </row>
    <row r="17" spans="1:9" s="216" customFormat="1" ht="30" x14ac:dyDescent="0.25">
      <c r="A17" s="131" t="s">
        <v>288</v>
      </c>
      <c r="B17" s="132" t="s">
        <v>289</v>
      </c>
      <c r="C17" s="30">
        <v>21093948.222724915</v>
      </c>
      <c r="D17" s="123">
        <v>120318.44408575543</v>
      </c>
      <c r="E17" s="123">
        <v>64855.535558344323</v>
      </c>
      <c r="F17" s="123">
        <v>192606.93465803727</v>
      </c>
      <c r="G17" s="123">
        <v>337379.83434024936</v>
      </c>
      <c r="H17" s="123">
        <v>174308.53893309753</v>
      </c>
      <c r="I17" s="123">
        <v>370232.56618978153</v>
      </c>
    </row>
    <row r="18" spans="1:9" s="216" customFormat="1" ht="30" x14ac:dyDescent="0.25">
      <c r="A18" s="131" t="s">
        <v>290</v>
      </c>
      <c r="B18" s="132" t="s">
        <v>291</v>
      </c>
      <c r="C18" s="30">
        <v>2611489.1208520154</v>
      </c>
      <c r="D18" s="123">
        <v>12747.472741353864</v>
      </c>
      <c r="E18" s="123">
        <v>4416.399612146889</v>
      </c>
      <c r="F18" s="123">
        <v>12515.270504491204</v>
      </c>
      <c r="G18" s="123">
        <v>36270.93015250688</v>
      </c>
      <c r="H18" s="123">
        <v>12664.238980414262</v>
      </c>
      <c r="I18" s="123">
        <v>24414.371291758122</v>
      </c>
    </row>
    <row r="19" spans="1:9" s="216" customFormat="1" x14ac:dyDescent="0.25">
      <c r="A19" s="131">
        <v>1830</v>
      </c>
      <c r="B19" s="132" t="s">
        <v>22</v>
      </c>
      <c r="C19" s="30">
        <v>104316720.20642728</v>
      </c>
      <c r="D19" s="123">
        <v>0</v>
      </c>
      <c r="E19" s="123">
        <v>0</v>
      </c>
      <c r="F19" s="123">
        <v>0</v>
      </c>
      <c r="G19" s="123">
        <v>0</v>
      </c>
      <c r="H19" s="123">
        <v>0</v>
      </c>
      <c r="I19" s="123">
        <v>0</v>
      </c>
    </row>
    <row r="20" spans="1:9" s="216" customFormat="1" x14ac:dyDescent="0.25">
      <c r="A20" s="131" t="s">
        <v>23</v>
      </c>
      <c r="B20" s="132" t="s">
        <v>24</v>
      </c>
      <c r="C20" s="30">
        <v>43306068.909019507</v>
      </c>
      <c r="D20" s="123">
        <v>0</v>
      </c>
      <c r="E20" s="123">
        <v>0</v>
      </c>
      <c r="F20" s="123">
        <v>0</v>
      </c>
      <c r="G20" s="123">
        <v>0</v>
      </c>
      <c r="H20" s="123">
        <v>0</v>
      </c>
      <c r="I20" s="123">
        <v>0</v>
      </c>
    </row>
    <row r="21" spans="1:9" s="216" customFormat="1" x14ac:dyDescent="0.25">
      <c r="A21" s="131" t="s">
        <v>25</v>
      </c>
      <c r="B21" s="124" t="s">
        <v>26</v>
      </c>
      <c r="C21" s="30">
        <v>6535864.6349714482</v>
      </c>
      <c r="D21" s="123">
        <v>0</v>
      </c>
      <c r="E21" s="123">
        <v>0</v>
      </c>
      <c r="F21" s="123">
        <v>0</v>
      </c>
      <c r="G21" s="123">
        <v>0</v>
      </c>
      <c r="H21" s="123">
        <v>0</v>
      </c>
      <c r="I21" s="123">
        <v>0</v>
      </c>
    </row>
    <row r="22" spans="1:9" s="216" customFormat="1" x14ac:dyDescent="0.25">
      <c r="A22" s="131" t="s">
        <v>27</v>
      </c>
      <c r="B22" s="124" t="s">
        <v>28</v>
      </c>
      <c r="C22" s="30">
        <v>36770204.27404806</v>
      </c>
      <c r="D22" s="123">
        <v>260811.06044893127</v>
      </c>
      <c r="E22" s="123">
        <v>69883.363453583515</v>
      </c>
      <c r="F22" s="123">
        <v>187461.29871114067</v>
      </c>
      <c r="G22" s="123">
        <v>734823.34933128278</v>
      </c>
      <c r="H22" s="123">
        <v>204111.73262560228</v>
      </c>
      <c r="I22" s="123">
        <v>332673.78972445655</v>
      </c>
    </row>
    <row r="23" spans="1:9" s="216" customFormat="1" x14ac:dyDescent="0.25">
      <c r="A23" s="131" t="s">
        <v>29</v>
      </c>
      <c r="B23" s="132" t="s">
        <v>30</v>
      </c>
      <c r="C23" s="30">
        <v>35032398.490770228</v>
      </c>
      <c r="D23" s="123">
        <v>0</v>
      </c>
      <c r="E23" s="123">
        <v>0</v>
      </c>
      <c r="F23" s="123">
        <v>0</v>
      </c>
      <c r="G23" s="123">
        <v>0</v>
      </c>
      <c r="H23" s="123">
        <v>0</v>
      </c>
      <c r="I23" s="123">
        <v>0</v>
      </c>
    </row>
    <row r="24" spans="1:9" s="216" customFormat="1" x14ac:dyDescent="0.25">
      <c r="A24" s="131" t="s">
        <v>31</v>
      </c>
      <c r="B24" s="124" t="s">
        <v>32</v>
      </c>
      <c r="C24" s="30">
        <v>26550.818197285396</v>
      </c>
      <c r="D24" s="123">
        <v>0</v>
      </c>
      <c r="E24" s="123">
        <v>0</v>
      </c>
      <c r="F24" s="123">
        <v>0</v>
      </c>
      <c r="G24" s="123">
        <v>0</v>
      </c>
      <c r="H24" s="123">
        <v>0</v>
      </c>
      <c r="I24" s="123">
        <v>0</v>
      </c>
    </row>
    <row r="25" spans="1:9" s="216" customFormat="1" x14ac:dyDescent="0.25">
      <c r="A25" s="131" t="s">
        <v>33</v>
      </c>
      <c r="B25" s="124" t="s">
        <v>34</v>
      </c>
      <c r="C25" s="30">
        <v>35005847.672572948</v>
      </c>
      <c r="D25" s="123">
        <v>290019.43134290038</v>
      </c>
      <c r="E25" s="123">
        <v>73827.36148445608</v>
      </c>
      <c r="F25" s="123">
        <v>173138.30472219121</v>
      </c>
      <c r="G25" s="123">
        <v>761028.12749100523</v>
      </c>
      <c r="H25" s="123">
        <v>204508.35941813738</v>
      </c>
      <c r="I25" s="123">
        <v>331680.12157372851</v>
      </c>
    </row>
    <row r="26" spans="1:9" s="216" customFormat="1" x14ac:dyDescent="0.25">
      <c r="A26" s="131" t="s">
        <v>35</v>
      </c>
      <c r="B26" s="132" t="s">
        <v>36</v>
      </c>
      <c r="C26" s="30">
        <v>25978252.806637544</v>
      </c>
      <c r="D26" s="123">
        <v>245506.0186367415</v>
      </c>
      <c r="E26" s="123">
        <v>71688.886380952681</v>
      </c>
      <c r="F26" s="123">
        <v>0</v>
      </c>
      <c r="G26" s="123">
        <v>650106.41825084982</v>
      </c>
      <c r="H26" s="123">
        <v>197168.3043419368</v>
      </c>
      <c r="I26" s="123">
        <v>0</v>
      </c>
    </row>
    <row r="27" spans="1:9" s="216" customFormat="1" x14ac:dyDescent="0.25">
      <c r="A27" s="131">
        <v>1835</v>
      </c>
      <c r="B27" s="132" t="s">
        <v>38</v>
      </c>
      <c r="C27" s="30">
        <v>50866311.369121648</v>
      </c>
      <c r="D27" s="123">
        <v>0</v>
      </c>
      <c r="E27" s="123">
        <v>0</v>
      </c>
      <c r="F27" s="123">
        <v>0</v>
      </c>
      <c r="G27" s="123">
        <v>0</v>
      </c>
      <c r="H27" s="123">
        <v>0</v>
      </c>
      <c r="I27" s="123">
        <v>0</v>
      </c>
    </row>
    <row r="28" spans="1:9" s="216" customFormat="1" ht="30" x14ac:dyDescent="0.25">
      <c r="A28" s="131" t="s">
        <v>39</v>
      </c>
      <c r="B28" s="132" t="s">
        <v>40</v>
      </c>
      <c r="C28" s="30">
        <v>18227461.648010157</v>
      </c>
      <c r="D28" s="123">
        <v>0</v>
      </c>
      <c r="E28" s="123">
        <v>0</v>
      </c>
      <c r="F28" s="123">
        <v>0</v>
      </c>
      <c r="G28" s="123">
        <v>0</v>
      </c>
      <c r="H28" s="123">
        <v>0</v>
      </c>
      <c r="I28" s="123">
        <v>0</v>
      </c>
    </row>
    <row r="29" spans="1:9" s="216" customFormat="1" x14ac:dyDescent="0.25">
      <c r="A29" s="131" t="s">
        <v>41</v>
      </c>
      <c r="B29" s="124" t="s">
        <v>42</v>
      </c>
      <c r="C29" s="30">
        <v>2750935.9535913891</v>
      </c>
      <c r="D29" s="123">
        <v>0</v>
      </c>
      <c r="E29" s="123">
        <v>0</v>
      </c>
      <c r="F29" s="123">
        <v>0</v>
      </c>
      <c r="G29" s="123">
        <v>0</v>
      </c>
      <c r="H29" s="123">
        <v>0</v>
      </c>
      <c r="I29" s="123">
        <v>0</v>
      </c>
    </row>
    <row r="30" spans="1:9" s="216" customFormat="1" x14ac:dyDescent="0.25">
      <c r="A30" s="131" t="s">
        <v>43</v>
      </c>
      <c r="B30" s="124" t="s">
        <v>44</v>
      </c>
      <c r="C30" s="30">
        <v>15476525.694418769</v>
      </c>
      <c r="D30" s="123">
        <v>109774.99739579544</v>
      </c>
      <c r="E30" s="123">
        <v>29413.806408063287</v>
      </c>
      <c r="F30" s="123">
        <v>78902.188973144919</v>
      </c>
      <c r="G30" s="123">
        <v>309286.08288453351</v>
      </c>
      <c r="H30" s="123">
        <v>85910.332479224409</v>
      </c>
      <c r="I30" s="123">
        <v>140021.91600997056</v>
      </c>
    </row>
    <row r="31" spans="1:9" s="216" customFormat="1" x14ac:dyDescent="0.25">
      <c r="A31" s="131" t="s">
        <v>45</v>
      </c>
      <c r="B31" s="132" t="s">
        <v>46</v>
      </c>
      <c r="C31" s="30">
        <v>28514554.204696231</v>
      </c>
      <c r="D31" s="123">
        <v>0</v>
      </c>
      <c r="E31" s="123">
        <v>0</v>
      </c>
      <c r="F31" s="123">
        <v>0</v>
      </c>
      <c r="G31" s="123">
        <v>0</v>
      </c>
      <c r="H31" s="123">
        <v>0</v>
      </c>
      <c r="I31" s="123">
        <v>0</v>
      </c>
    </row>
    <row r="32" spans="1:9" s="216" customFormat="1" x14ac:dyDescent="0.25">
      <c r="A32" s="131" t="s">
        <v>47</v>
      </c>
      <c r="B32" s="124" t="s">
        <v>48</v>
      </c>
      <c r="C32" s="30">
        <v>21610.988036260034</v>
      </c>
      <c r="D32" s="123">
        <v>0</v>
      </c>
      <c r="E32" s="123">
        <v>0</v>
      </c>
      <c r="F32" s="123">
        <v>0</v>
      </c>
      <c r="G32" s="123">
        <v>0</v>
      </c>
      <c r="H32" s="123">
        <v>0</v>
      </c>
      <c r="I32" s="123">
        <v>0</v>
      </c>
    </row>
    <row r="33" spans="1:9" s="216" customFormat="1" x14ac:dyDescent="0.25">
      <c r="A33" s="131" t="s">
        <v>49</v>
      </c>
      <c r="B33" s="124" t="s">
        <v>50</v>
      </c>
      <c r="C33" s="30">
        <v>28492943.216659971</v>
      </c>
      <c r="D33" s="123">
        <v>240821.60691188258</v>
      </c>
      <c r="E33" s="123">
        <v>58078.014507975575</v>
      </c>
      <c r="F33" s="123">
        <v>132385.736465803</v>
      </c>
      <c r="G33" s="123">
        <v>629889.18090399483</v>
      </c>
      <c r="H33" s="123">
        <v>161385.16960375945</v>
      </c>
      <c r="I33" s="123">
        <v>253492.23426882998</v>
      </c>
    </row>
    <row r="34" spans="1:9" s="216" customFormat="1" x14ac:dyDescent="0.25">
      <c r="A34" s="131" t="s">
        <v>51</v>
      </c>
      <c r="B34" s="132" t="s">
        <v>52</v>
      </c>
      <c r="C34" s="30">
        <v>4124295.5164152607</v>
      </c>
      <c r="D34" s="123">
        <v>39370.643550397181</v>
      </c>
      <c r="E34" s="123">
        <v>10922.731711492252</v>
      </c>
      <c r="F34" s="123">
        <v>0</v>
      </c>
      <c r="G34" s="123">
        <v>103890.73584279341</v>
      </c>
      <c r="H34" s="123">
        <v>30119.207656426184</v>
      </c>
      <c r="I34" s="123">
        <v>0</v>
      </c>
    </row>
    <row r="35" spans="1:9" s="216" customFormat="1" x14ac:dyDescent="0.25">
      <c r="A35" s="131">
        <v>1840</v>
      </c>
      <c r="B35" s="132" t="s">
        <v>54</v>
      </c>
      <c r="C35" s="30">
        <v>520919.81354234193</v>
      </c>
      <c r="D35" s="123">
        <v>0</v>
      </c>
      <c r="E35" s="123">
        <v>0</v>
      </c>
      <c r="F35" s="123">
        <v>0</v>
      </c>
      <c r="G35" s="123">
        <v>0</v>
      </c>
      <c r="H35" s="123">
        <v>0</v>
      </c>
      <c r="I35" s="123">
        <v>0</v>
      </c>
    </row>
    <row r="36" spans="1:9" s="216" customFormat="1" x14ac:dyDescent="0.25">
      <c r="A36" s="131" t="s">
        <v>55</v>
      </c>
      <c r="B36" s="132" t="s">
        <v>56</v>
      </c>
      <c r="C36" s="30">
        <v>133135.41247934016</v>
      </c>
      <c r="D36" s="123">
        <v>569.68668207892665</v>
      </c>
      <c r="E36" s="123">
        <v>152.64544912267291</v>
      </c>
      <c r="F36" s="123">
        <v>409.46961795689401</v>
      </c>
      <c r="G36" s="123">
        <v>1605.0664226973272</v>
      </c>
      <c r="H36" s="123">
        <v>445.83897451553349</v>
      </c>
      <c r="I36" s="123">
        <v>726.65563782659262</v>
      </c>
    </row>
    <row r="37" spans="1:9" s="216" customFormat="1" x14ac:dyDescent="0.25">
      <c r="A37" s="131" t="s">
        <v>57</v>
      </c>
      <c r="B37" s="132" t="s">
        <v>58</v>
      </c>
      <c r="C37" s="30">
        <v>387784.40106300177</v>
      </c>
      <c r="D37" s="123">
        <v>3277.5435619002765</v>
      </c>
      <c r="E37" s="123">
        <v>790.43249058717993</v>
      </c>
      <c r="F37" s="123">
        <v>1801.748704383011</v>
      </c>
      <c r="G37" s="123">
        <v>8572.691030742646</v>
      </c>
      <c r="H37" s="123">
        <v>2196.4263522854467</v>
      </c>
      <c r="I37" s="123">
        <v>3449.9887741531611</v>
      </c>
    </row>
    <row r="38" spans="1:9" s="216" customFormat="1" x14ac:dyDescent="0.25">
      <c r="A38" s="131" t="s">
        <v>59</v>
      </c>
      <c r="B38" s="132" t="s">
        <v>60</v>
      </c>
      <c r="C38" s="30">
        <v>0</v>
      </c>
      <c r="D38" s="123">
        <v>0</v>
      </c>
      <c r="E38" s="123">
        <v>0</v>
      </c>
      <c r="F38" s="123">
        <v>0</v>
      </c>
      <c r="G38" s="123">
        <v>0</v>
      </c>
      <c r="H38" s="123">
        <v>0</v>
      </c>
      <c r="I38" s="123">
        <v>0</v>
      </c>
    </row>
    <row r="39" spans="1:9" s="216" customFormat="1" x14ac:dyDescent="0.25">
      <c r="A39" s="131">
        <v>1845</v>
      </c>
      <c r="B39" s="132" t="s">
        <v>62</v>
      </c>
      <c r="C39" s="30">
        <v>13515549.467321435</v>
      </c>
      <c r="D39" s="123">
        <v>0</v>
      </c>
      <c r="E39" s="123">
        <v>0</v>
      </c>
      <c r="F39" s="123">
        <v>0</v>
      </c>
      <c r="G39" s="123">
        <v>0</v>
      </c>
      <c r="H39" s="123">
        <v>0</v>
      </c>
      <c r="I39" s="123">
        <v>0</v>
      </c>
    </row>
    <row r="40" spans="1:9" s="216" customFormat="1" x14ac:dyDescent="0.25">
      <c r="A40" s="131" t="s">
        <v>63</v>
      </c>
      <c r="B40" s="132" t="s">
        <v>64</v>
      </c>
      <c r="C40" s="30">
        <v>3454271.0920910384</v>
      </c>
      <c r="D40" s="123">
        <v>14780.832543406614</v>
      </c>
      <c r="E40" s="123">
        <v>3960.4696633626686</v>
      </c>
      <c r="F40" s="123">
        <v>10623.913187766997</v>
      </c>
      <c r="G40" s="123">
        <v>41644.326190597239</v>
      </c>
      <c r="H40" s="123">
        <v>11567.536035053814</v>
      </c>
      <c r="I40" s="123">
        <v>18853.47795079603</v>
      </c>
    </row>
    <row r="41" spans="1:9" s="216" customFormat="1" x14ac:dyDescent="0.25">
      <c r="A41" s="131" t="s">
        <v>65</v>
      </c>
      <c r="B41" s="132" t="s">
        <v>66</v>
      </c>
      <c r="C41" s="30">
        <v>10061278.375230398</v>
      </c>
      <c r="D41" s="123">
        <v>85037.660289654974</v>
      </c>
      <c r="E41" s="123">
        <v>20508.203276934404</v>
      </c>
      <c r="F41" s="123">
        <v>46747.355559727665</v>
      </c>
      <c r="G41" s="123">
        <v>222423.15742641105</v>
      </c>
      <c r="H41" s="123">
        <v>56987.482994308055</v>
      </c>
      <c r="I41" s="123">
        <v>89511.845636450525</v>
      </c>
    </row>
    <row r="42" spans="1:9" s="216" customFormat="1" x14ac:dyDescent="0.25">
      <c r="A42" s="131" t="s">
        <v>67</v>
      </c>
      <c r="B42" s="132" t="s">
        <v>68</v>
      </c>
      <c r="C42" s="30">
        <v>0</v>
      </c>
      <c r="D42" s="123">
        <v>0</v>
      </c>
      <c r="E42" s="123">
        <v>0</v>
      </c>
      <c r="F42" s="123">
        <v>0</v>
      </c>
      <c r="G42" s="123">
        <v>0</v>
      </c>
      <c r="H42" s="123">
        <v>0</v>
      </c>
      <c r="I42" s="123">
        <v>0</v>
      </c>
    </row>
    <row r="43" spans="1:9" s="216" customFormat="1" x14ac:dyDescent="0.25">
      <c r="A43" s="131">
        <v>1850</v>
      </c>
      <c r="B43" s="132" t="s">
        <v>70</v>
      </c>
      <c r="C43" s="30">
        <v>74535502.89526397</v>
      </c>
      <c r="D43" s="123">
        <v>506106.24484449922</v>
      </c>
      <c r="E43" s="123">
        <v>253458.77573221107</v>
      </c>
      <c r="F43" s="123">
        <v>455994.84070683178</v>
      </c>
      <c r="G43" s="123">
        <v>1275090.6532761105</v>
      </c>
      <c r="H43" s="123">
        <v>651598.37385670748</v>
      </c>
      <c r="I43" s="123">
        <v>1078188.1724279381</v>
      </c>
    </row>
    <row r="44" spans="1:9" s="216" customFormat="1" x14ac:dyDescent="0.25">
      <c r="A44" s="131">
        <v>1855</v>
      </c>
      <c r="B44" s="132" t="s">
        <v>16</v>
      </c>
      <c r="C44" s="30">
        <v>18741217.104464579</v>
      </c>
      <c r="D44" s="123">
        <v>121786.68856677429</v>
      </c>
      <c r="E44" s="123">
        <v>0</v>
      </c>
      <c r="F44" s="123">
        <v>0</v>
      </c>
      <c r="G44" s="123">
        <v>460246.44983185764</v>
      </c>
      <c r="H44" s="123">
        <v>0</v>
      </c>
      <c r="I44" s="123">
        <v>0</v>
      </c>
    </row>
    <row r="45" spans="1:9" s="216" customFormat="1" x14ac:dyDescent="0.25">
      <c r="A45" s="131">
        <v>1860</v>
      </c>
      <c r="B45" s="132" t="s">
        <v>73</v>
      </c>
      <c r="C45" s="30">
        <v>48292622.898894995</v>
      </c>
      <c r="D45" s="123">
        <v>0</v>
      </c>
      <c r="E45" s="123">
        <v>0</v>
      </c>
      <c r="F45" s="123">
        <v>0</v>
      </c>
      <c r="G45" s="123">
        <v>0</v>
      </c>
      <c r="H45" s="123">
        <v>0</v>
      </c>
      <c r="I45" s="123">
        <v>0</v>
      </c>
    </row>
    <row r="46" spans="1:9" s="216" customFormat="1" x14ac:dyDescent="0.25">
      <c r="A46" s="131" t="s">
        <v>74</v>
      </c>
      <c r="B46" s="124" t="s">
        <v>336</v>
      </c>
      <c r="C46" s="30">
        <v>48292622.898894995</v>
      </c>
      <c r="D46" s="123">
        <v>497651.97785367887</v>
      </c>
      <c r="E46" s="123">
        <v>109406.88764122044</v>
      </c>
      <c r="F46" s="123">
        <v>29807.995146588892</v>
      </c>
      <c r="G46" s="123">
        <v>961141.27748236433</v>
      </c>
      <c r="H46" s="123">
        <v>212842.21930416659</v>
      </c>
      <c r="I46" s="123">
        <v>61675.525899997767</v>
      </c>
    </row>
    <row r="47" spans="1:9" s="216" customFormat="1" x14ac:dyDescent="0.25">
      <c r="A47" s="131"/>
      <c r="B47" s="124"/>
      <c r="C47" s="30"/>
      <c r="D47" s="123"/>
      <c r="E47" s="123"/>
      <c r="F47" s="123"/>
      <c r="G47" s="123"/>
      <c r="H47" s="123"/>
      <c r="I47" s="123"/>
    </row>
    <row r="48" spans="1:9" s="216" customFormat="1" x14ac:dyDescent="0.25">
      <c r="A48" s="131"/>
      <c r="B48" s="124"/>
      <c r="C48" s="30"/>
      <c r="D48" s="123"/>
      <c r="E48" s="123"/>
      <c r="F48" s="123"/>
      <c r="G48" s="123"/>
      <c r="H48" s="123"/>
      <c r="I48" s="123"/>
    </row>
    <row r="49" spans="1:9" s="216" customFormat="1" x14ac:dyDescent="0.25">
      <c r="A49" s="131"/>
      <c r="B49" s="124"/>
      <c r="C49" s="30"/>
      <c r="D49" s="123"/>
      <c r="E49" s="123"/>
      <c r="F49" s="123"/>
      <c r="G49" s="123"/>
      <c r="H49" s="123"/>
      <c r="I49" s="123"/>
    </row>
    <row r="50" spans="1:9" s="216" customFormat="1" x14ac:dyDescent="0.25"/>
    <row r="51" spans="1:9" s="216" customFormat="1" x14ac:dyDescent="0.25">
      <c r="B51" s="216" t="s">
        <v>235</v>
      </c>
    </row>
    <row r="52" spans="1:9" s="216" customFormat="1" x14ac:dyDescent="0.25">
      <c r="B52" s="124" t="s">
        <v>299</v>
      </c>
      <c r="C52" s="224">
        <f>SUM(C12:C49)-C12-C15-C19-C20-C23-C27-C28-C31-C35-C39-C45</f>
        <v>340032759.84955192</v>
      </c>
      <c r="D52" s="224">
        <f>SUM(D12:D49)</f>
        <v>2579634.1719567529</v>
      </c>
      <c r="E52" s="224">
        <f t="shared" ref="E52:I52" si="0">SUM(E12:E49)</f>
        <v>779684.28150068363</v>
      </c>
      <c r="F52" s="224">
        <f t="shared" si="0"/>
        <v>1344715.4193860015</v>
      </c>
      <c r="G52" s="224">
        <f t="shared" si="0"/>
        <v>6620891.1318643177</v>
      </c>
      <c r="H52" s="224">
        <f t="shared" si="0"/>
        <v>2030116.6330246839</v>
      </c>
      <c r="I52" s="224">
        <f t="shared" si="0"/>
        <v>2744530.9721955601</v>
      </c>
    </row>
    <row r="53" spans="1:9" s="216" customFormat="1" ht="30" x14ac:dyDescent="0.25">
      <c r="B53" s="225" t="s">
        <v>234</v>
      </c>
      <c r="C53" s="224"/>
      <c r="D53" s="224">
        <f>D7*D52</f>
        <v>928957.18427049695</v>
      </c>
      <c r="E53" s="224">
        <f t="shared" ref="E53:I53" si="1">E7*E52</f>
        <v>249898.86379725678</v>
      </c>
      <c r="F53" s="224">
        <f t="shared" si="1"/>
        <v>230997.59039552789</v>
      </c>
      <c r="G53" s="224">
        <f t="shared" si="1"/>
        <v>3521853.8983690515</v>
      </c>
      <c r="H53" s="224">
        <f t="shared" si="1"/>
        <v>860852.86251832289</v>
      </c>
      <c r="I53" s="224">
        <f t="shared" si="1"/>
        <v>829287.69623673498</v>
      </c>
    </row>
    <row r="54" spans="1:9" s="216" customFormat="1" x14ac:dyDescent="0.25">
      <c r="B54" s="216" t="s">
        <v>239</v>
      </c>
      <c r="C54" s="30">
        <f>SUM(D54:I54)</f>
        <v>9477724.5143406093</v>
      </c>
      <c r="D54" s="224">
        <f>D52-D53</f>
        <v>1650676.9876862559</v>
      </c>
      <c r="E54" s="224">
        <f t="shared" ref="E54:I54" si="2">E52-E53</f>
        <v>529785.41770342691</v>
      </c>
      <c r="F54" s="224">
        <f t="shared" si="2"/>
        <v>1113717.8289904736</v>
      </c>
      <c r="G54" s="224">
        <f t="shared" si="2"/>
        <v>3099037.2334952662</v>
      </c>
      <c r="H54" s="224">
        <f t="shared" si="2"/>
        <v>1169263.770506361</v>
      </c>
      <c r="I54" s="224">
        <f t="shared" si="2"/>
        <v>1915243.2759588251</v>
      </c>
    </row>
    <row r="55" spans="1:9" s="216" customFormat="1" x14ac:dyDescent="0.25"/>
    <row r="56" spans="1:9" s="216" customFormat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Y48"/>
  <sheetViews>
    <sheetView zoomScale="85" zoomScaleNormal="85" workbookViewId="0">
      <pane xSplit="3" ySplit="9" topLeftCell="D10" activePane="bottomRight" state="frozen"/>
      <selection activeCell="A3" sqref="A3"/>
      <selection pane="topRight" activeCell="A3" sqref="A3"/>
      <selection pane="bottomLeft" activeCell="A3" sqref="A3"/>
      <selection pane="bottomRight" activeCell="D18" sqref="D18:E18"/>
    </sheetView>
  </sheetViews>
  <sheetFormatPr defaultRowHeight="15" x14ac:dyDescent="0.25"/>
  <cols>
    <col min="1" max="1" width="5" customWidth="1"/>
    <col min="2" max="2" width="5" bestFit="1" customWidth="1"/>
    <col min="3" max="3" width="31.140625" bestFit="1" customWidth="1"/>
    <col min="4" max="4" width="18" customWidth="1"/>
    <col min="5" max="5" width="17.140625" customWidth="1"/>
    <col min="6" max="6" width="16.5703125" customWidth="1"/>
    <col min="7" max="7" width="16" customWidth="1"/>
    <col min="8" max="8" width="15.42578125" style="16" bestFit="1" customWidth="1"/>
    <col min="9" max="9" width="16.42578125" style="16" customWidth="1"/>
    <col min="10" max="10" width="15.42578125" style="16" bestFit="1" customWidth="1"/>
    <col min="11" max="11" width="14.42578125" style="16" bestFit="1" customWidth="1"/>
    <col min="12" max="12" width="15.42578125" style="16" bestFit="1" customWidth="1"/>
    <col min="13" max="13" width="14.5703125" style="16" bestFit="1" customWidth="1"/>
    <col min="14" max="14" width="15.42578125" style="16" bestFit="1" customWidth="1"/>
    <col min="15" max="15" width="14.5703125" style="16" bestFit="1" customWidth="1"/>
    <col min="16" max="16" width="15.42578125" style="16" bestFit="1" customWidth="1"/>
    <col min="17" max="17" width="14.5703125" style="16" customWidth="1"/>
    <col min="18" max="18" width="15.42578125" style="16" customWidth="1"/>
    <col min="19" max="19" width="14.5703125" style="16" customWidth="1"/>
    <col min="20" max="20" width="15.42578125" style="16" customWidth="1"/>
    <col min="21" max="21" width="15.5703125" style="16" customWidth="1"/>
    <col min="22" max="22" width="15.42578125" style="16" customWidth="1"/>
    <col min="23" max="24" width="15.28515625" style="16" customWidth="1"/>
    <col min="25" max="25" width="12.28515625" bestFit="1" customWidth="1"/>
  </cols>
  <sheetData>
    <row r="1" spans="1:25" s="37" customFormat="1" x14ac:dyDescent="0.25">
      <c r="A1" s="37" t="s">
        <v>340</v>
      </c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</row>
    <row r="3" spans="1:25" s="16" customFormat="1" x14ac:dyDescent="0.25"/>
    <row r="4" spans="1:25" x14ac:dyDescent="0.25">
      <c r="A4" s="16"/>
      <c r="B4" s="16"/>
      <c r="C4" s="16"/>
      <c r="D4" s="16"/>
      <c r="E4" s="16"/>
      <c r="F4" s="16"/>
      <c r="G4" s="16"/>
    </row>
    <row r="7" spans="1:25" x14ac:dyDescent="0.25">
      <c r="D7" s="9"/>
      <c r="E7" s="9"/>
      <c r="F7" s="10" t="s">
        <v>341</v>
      </c>
      <c r="G7" s="10"/>
    </row>
    <row r="8" spans="1:25" s="8" customFormat="1" ht="45" x14ac:dyDescent="0.25">
      <c r="A8" t="s">
        <v>0</v>
      </c>
      <c r="D8" s="11"/>
      <c r="E8" s="11"/>
      <c r="F8" s="12" t="s">
        <v>8</v>
      </c>
      <c r="G8" s="12" t="s">
        <v>14</v>
      </c>
      <c r="H8" s="325">
        <v>2015</v>
      </c>
      <c r="I8" s="231">
        <v>2016</v>
      </c>
      <c r="J8" s="231">
        <v>2016</v>
      </c>
      <c r="K8" s="231">
        <v>2017</v>
      </c>
      <c r="L8" s="231">
        <v>2017</v>
      </c>
      <c r="M8" s="231">
        <v>2018</v>
      </c>
      <c r="N8" s="231">
        <v>2018</v>
      </c>
      <c r="O8" s="231">
        <v>2019</v>
      </c>
      <c r="P8" s="231">
        <v>2019</v>
      </c>
      <c r="Q8" s="231">
        <v>2020</v>
      </c>
      <c r="R8" s="231">
        <v>2020</v>
      </c>
      <c r="S8" s="231">
        <v>2021</v>
      </c>
      <c r="T8" s="231">
        <v>2021</v>
      </c>
      <c r="U8" s="231">
        <v>2022</v>
      </c>
      <c r="V8" s="231">
        <v>2022</v>
      </c>
      <c r="W8" s="231">
        <v>2023</v>
      </c>
      <c r="X8" s="231">
        <v>2023</v>
      </c>
    </row>
    <row r="9" spans="1:25" x14ac:dyDescent="0.25">
      <c r="A9" s="1" t="s">
        <v>1</v>
      </c>
      <c r="B9" s="2"/>
      <c r="C9" s="1"/>
      <c r="D9" s="13"/>
      <c r="E9" s="13"/>
      <c r="F9" s="11" t="s">
        <v>11</v>
      </c>
      <c r="G9" s="11" t="s">
        <v>10</v>
      </c>
      <c r="H9" s="231" t="s">
        <v>9</v>
      </c>
      <c r="I9" s="231" t="s">
        <v>10</v>
      </c>
      <c r="J9" s="231" t="s">
        <v>9</v>
      </c>
      <c r="K9" s="231" t="s">
        <v>10</v>
      </c>
      <c r="L9" s="231" t="s">
        <v>9</v>
      </c>
      <c r="M9" s="231" t="s">
        <v>10</v>
      </c>
      <c r="N9" s="231" t="s">
        <v>9</v>
      </c>
      <c r="O9" s="231" t="s">
        <v>10</v>
      </c>
      <c r="P9" s="231" t="s">
        <v>9</v>
      </c>
      <c r="Q9" s="231" t="s">
        <v>10</v>
      </c>
      <c r="R9" s="231" t="s">
        <v>9</v>
      </c>
      <c r="S9" s="231" t="s">
        <v>10</v>
      </c>
      <c r="T9" s="231" t="s">
        <v>9</v>
      </c>
      <c r="U9" s="231" t="s">
        <v>10</v>
      </c>
      <c r="V9" s="231" t="s">
        <v>9</v>
      </c>
      <c r="W9" s="231" t="s">
        <v>10</v>
      </c>
      <c r="X9" s="231" t="s">
        <v>9</v>
      </c>
    </row>
    <row r="10" spans="1:25" x14ac:dyDescent="0.25">
      <c r="A10" s="1"/>
      <c r="B10" s="2">
        <v>1815</v>
      </c>
      <c r="C10" s="1" t="s">
        <v>280</v>
      </c>
      <c r="D10" s="13"/>
      <c r="E10" s="13"/>
      <c r="F10" s="14">
        <v>0</v>
      </c>
      <c r="G10" s="291">
        <v>0</v>
      </c>
      <c r="H10" s="30">
        <f t="shared" ref="H10:H11" si="0">SUM(F10:G10)</f>
        <v>0</v>
      </c>
      <c r="I10" s="30">
        <f>'1a.ISA and Disposals'!I4</f>
        <v>0</v>
      </c>
      <c r="J10" s="232">
        <f t="shared" ref="J10:J11" si="1">SUM(H10:I10)</f>
        <v>0</v>
      </c>
      <c r="K10" s="30">
        <f>'1a.ISA and Disposals'!L4</f>
        <v>0</v>
      </c>
      <c r="L10" s="232">
        <f t="shared" ref="L10:L11" si="2">SUM(J10:K10)</f>
        <v>0</v>
      </c>
      <c r="M10" s="30">
        <f>'1a.ISA and Disposals'!O4</f>
        <v>0</v>
      </c>
      <c r="N10" s="232">
        <f t="shared" ref="N10:N11" si="3">SUM(L10:M10)</f>
        <v>0</v>
      </c>
      <c r="O10" s="30">
        <f>'1a.ISA and Disposals'!R4</f>
        <v>0</v>
      </c>
      <c r="P10" s="232">
        <f t="shared" ref="P10:P11" si="4">SUM(N10:O10)</f>
        <v>0</v>
      </c>
      <c r="Q10" s="30">
        <f>'1a.ISA and Disposals'!U4</f>
        <v>0</v>
      </c>
      <c r="R10" s="232">
        <f t="shared" ref="R10:R11" si="5">SUM(P10:Q10)</f>
        <v>0</v>
      </c>
      <c r="S10" s="30">
        <f>'1a.ISA and Disposals'!X4</f>
        <v>23024.118020255861</v>
      </c>
      <c r="T10" s="232">
        <f>SUM(R10:S10)</f>
        <v>23024.118020255861</v>
      </c>
      <c r="U10" s="30">
        <f>'1a.ISA and Disposals'!AA4</f>
        <v>20274.818702227873</v>
      </c>
      <c r="V10" s="232">
        <f t="shared" ref="V10:X11" si="6">SUM(T10:U10)</f>
        <v>43298.936722483733</v>
      </c>
      <c r="W10" s="30">
        <f>'1a.ISA and Disposals'!AD4</f>
        <v>19167.363906314735</v>
      </c>
      <c r="X10" s="232">
        <f t="shared" si="6"/>
        <v>62466.300628798468</v>
      </c>
      <c r="Y10" s="6"/>
    </row>
    <row r="11" spans="1:25" x14ac:dyDescent="0.25">
      <c r="A11" s="1"/>
      <c r="B11" s="2">
        <v>1820</v>
      </c>
      <c r="C11" s="1" t="s">
        <v>281</v>
      </c>
      <c r="D11" s="13"/>
      <c r="E11" s="13"/>
      <c r="F11" s="14">
        <v>629407.00000000012</v>
      </c>
      <c r="G11" s="291">
        <v>0</v>
      </c>
      <c r="H11" s="30">
        <f t="shared" si="0"/>
        <v>629407.00000000012</v>
      </c>
      <c r="I11" s="30">
        <f>'1a.ISA and Disposals'!I5</f>
        <v>0</v>
      </c>
      <c r="J11" s="232">
        <f t="shared" si="1"/>
        <v>629407.00000000012</v>
      </c>
      <c r="K11" s="30">
        <f>'1a.ISA and Disposals'!L5</f>
        <v>0</v>
      </c>
      <c r="L11" s="232">
        <f t="shared" si="2"/>
        <v>629407.00000000012</v>
      </c>
      <c r="M11" s="30">
        <f>'1a.ISA and Disposals'!O5</f>
        <v>0</v>
      </c>
      <c r="N11" s="232">
        <f t="shared" si="3"/>
        <v>629407.00000000012</v>
      </c>
      <c r="O11" s="30">
        <f>'1a.ISA and Disposals'!R5</f>
        <v>0</v>
      </c>
      <c r="P11" s="232">
        <f t="shared" si="4"/>
        <v>629407.00000000012</v>
      </c>
      <c r="Q11" s="30">
        <f>'1a.ISA and Disposals'!U5</f>
        <v>0</v>
      </c>
      <c r="R11" s="232">
        <f t="shared" si="5"/>
        <v>629407.00000000012</v>
      </c>
      <c r="S11" s="30">
        <f>'1a.ISA and Disposals'!X5</f>
        <v>58434.186942710206</v>
      </c>
      <c r="T11" s="232">
        <f t="shared" ref="T11" si="7">SUM(R11:S11)</f>
        <v>687841.18694271031</v>
      </c>
      <c r="U11" s="30">
        <f>'1a.ISA and Disposals'!AA5</f>
        <v>141801.60748701583</v>
      </c>
      <c r="V11" s="232">
        <f t="shared" si="6"/>
        <v>829642.7944297262</v>
      </c>
      <c r="W11" s="30">
        <f>'1a.ISA and Disposals'!AD5</f>
        <v>37084.341943351479</v>
      </c>
      <c r="X11" s="232">
        <f t="shared" si="6"/>
        <v>866727.13637307764</v>
      </c>
      <c r="Y11" s="6"/>
    </row>
    <row r="12" spans="1:25" x14ac:dyDescent="0.25">
      <c r="A12" s="1"/>
      <c r="B12" s="2">
        <v>1830</v>
      </c>
      <c r="C12" s="1" t="s">
        <v>2</v>
      </c>
      <c r="D12" s="13"/>
      <c r="E12" s="13"/>
      <c r="F12" s="14">
        <v>10129438.24</v>
      </c>
      <c r="G12" s="291">
        <v>8533.3700000000008</v>
      </c>
      <c r="H12" s="30">
        <f>SUM(F12:G12)</f>
        <v>10137971.609999999</v>
      </c>
      <c r="I12" s="30">
        <f>'1a.ISA and Disposals'!I6</f>
        <v>250052.07931889631</v>
      </c>
      <c r="J12" s="232">
        <f>SUM(H12:I12)</f>
        <v>10388023.689318895</v>
      </c>
      <c r="K12" s="30">
        <f>'1a.ISA and Disposals'!L6</f>
        <v>403829.94829999987</v>
      </c>
      <c r="L12" s="232">
        <f>SUM(J12:K12)</f>
        <v>10791853.637618896</v>
      </c>
      <c r="M12" s="30">
        <f>'1a.ISA and Disposals'!O6</f>
        <v>1087503.2203999995</v>
      </c>
      <c r="N12" s="232">
        <f>SUM(L12:M12)</f>
        <v>11879356.858018896</v>
      </c>
      <c r="O12" s="30">
        <f>'1a.ISA and Disposals'!R6</f>
        <v>1384133.6806000001</v>
      </c>
      <c r="P12" s="232">
        <f>SUM(N12:O12)</f>
        <v>13263490.538618896</v>
      </c>
      <c r="Q12" s="30">
        <f>'1a.ISA and Disposals'!U6</f>
        <v>1486864.5511999999</v>
      </c>
      <c r="R12" s="232">
        <f>SUM(P12:Q12)</f>
        <v>14750355.089818897</v>
      </c>
      <c r="S12" s="30">
        <f>'1a.ISA and Disposals'!X6</f>
        <v>1509135.8030074097</v>
      </c>
      <c r="T12" s="232">
        <f>SUM(R12:S12)</f>
        <v>16259490.892826306</v>
      </c>
      <c r="U12" s="30">
        <f>'1a.ISA and Disposals'!AA6</f>
        <v>628970.61000322597</v>
      </c>
      <c r="V12" s="232">
        <f>SUM(T12:U12)</f>
        <v>16888461.502829533</v>
      </c>
      <c r="W12" s="30">
        <f>'1a.ISA and Disposals'!AD6</f>
        <v>555805.47663596272</v>
      </c>
      <c r="X12" s="232">
        <f>SUM(V12:W12)</f>
        <v>17444266.979465496</v>
      </c>
      <c r="Y12" s="6"/>
    </row>
    <row r="13" spans="1:25" x14ac:dyDescent="0.25">
      <c r="A13" s="1"/>
      <c r="B13" s="2">
        <v>1835</v>
      </c>
      <c r="C13" s="1" t="s">
        <v>3</v>
      </c>
      <c r="D13" s="13"/>
      <c r="E13" s="13"/>
      <c r="F13" s="14">
        <v>5886349.3300000001</v>
      </c>
      <c r="G13" s="291">
        <v>1588.19</v>
      </c>
      <c r="H13" s="30">
        <f t="shared" ref="H13:H18" si="8">SUM(F13:G13)</f>
        <v>5887937.5200000005</v>
      </c>
      <c r="I13" s="30">
        <f>'1a.ISA and Disposals'!I7</f>
        <v>468874.0944</v>
      </c>
      <c r="J13" s="232">
        <f t="shared" ref="J13:J18" si="9">SUM(H13:I13)</f>
        <v>6356811.6144000003</v>
      </c>
      <c r="K13" s="30">
        <f>'1a.ISA and Disposals'!L7</f>
        <v>61276.992900000048</v>
      </c>
      <c r="L13" s="232">
        <f t="shared" ref="L13:L18" si="10">SUM(J13:K13)</f>
        <v>6418088.6073000003</v>
      </c>
      <c r="M13" s="30">
        <f>'1a.ISA and Disposals'!O7</f>
        <v>195316.83960000004</v>
      </c>
      <c r="N13" s="232">
        <f t="shared" ref="N13:N18" si="11">SUM(L13:M13)</f>
        <v>6613405.4468999999</v>
      </c>
      <c r="O13" s="30">
        <f>'1a.ISA and Disposals'!R7</f>
        <v>0</v>
      </c>
      <c r="P13" s="232">
        <f t="shared" ref="P13:P18" si="12">SUM(N13:O13)</f>
        <v>6613405.4468999999</v>
      </c>
      <c r="Q13" s="30">
        <f>'1a.ISA and Disposals'!U7</f>
        <v>5668.1261999999997</v>
      </c>
      <c r="R13" s="232">
        <f t="shared" ref="R13:R18" si="13">SUM(P13:Q13)</f>
        <v>6619073.5730999997</v>
      </c>
      <c r="S13" s="30">
        <f>'1a.ISA and Disposals'!X7</f>
        <v>1707655.4288556213</v>
      </c>
      <c r="T13" s="232">
        <f t="shared" ref="T13:T18" si="14">SUM(R13:S13)</f>
        <v>8326729.0019556209</v>
      </c>
      <c r="U13" s="30">
        <f>'1a.ISA and Disposals'!AA7</f>
        <v>549701.09649309446</v>
      </c>
      <c r="V13" s="232">
        <f t="shared" ref="V13:X18" si="15">SUM(T13:U13)</f>
        <v>8876430.0984487161</v>
      </c>
      <c r="W13" s="30">
        <f>'1a.ISA and Disposals'!AD7</f>
        <v>499323.61693753424</v>
      </c>
      <c r="X13" s="232">
        <f t="shared" si="15"/>
        <v>9375753.715386251</v>
      </c>
      <c r="Y13" s="6"/>
    </row>
    <row r="14" spans="1:25" x14ac:dyDescent="0.25">
      <c r="A14" s="1"/>
      <c r="B14" s="2">
        <v>1840</v>
      </c>
      <c r="C14" s="1" t="s">
        <v>4</v>
      </c>
      <c r="D14" s="13"/>
      <c r="E14" s="13"/>
      <c r="F14" s="14">
        <v>5137895.17</v>
      </c>
      <c r="G14" s="291">
        <v>14717.739999999998</v>
      </c>
      <c r="H14" s="30">
        <f t="shared" si="8"/>
        <v>5152612.91</v>
      </c>
      <c r="I14" s="30">
        <f>'1a.ISA and Disposals'!I8</f>
        <v>95119.292000000001</v>
      </c>
      <c r="J14" s="232">
        <f t="shared" si="9"/>
        <v>5247732.2020000005</v>
      </c>
      <c r="K14" s="30">
        <f>'1a.ISA and Disposals'!L8</f>
        <v>0</v>
      </c>
      <c r="L14" s="232">
        <f t="shared" si="10"/>
        <v>5247732.2020000005</v>
      </c>
      <c r="M14" s="30">
        <f>'1a.ISA and Disposals'!O8</f>
        <v>0</v>
      </c>
      <c r="N14" s="232">
        <f t="shared" si="11"/>
        <v>5247732.2020000005</v>
      </c>
      <c r="O14" s="30">
        <f>'1a.ISA and Disposals'!R8</f>
        <v>0</v>
      </c>
      <c r="P14" s="232">
        <f t="shared" si="12"/>
        <v>5247732.2020000005</v>
      </c>
      <c r="Q14" s="30">
        <f>'1a.ISA and Disposals'!U8</f>
        <v>0</v>
      </c>
      <c r="R14" s="232">
        <f t="shared" si="13"/>
        <v>5247732.2020000005</v>
      </c>
      <c r="S14" s="30">
        <f>'1a.ISA and Disposals'!X8</f>
        <v>0</v>
      </c>
      <c r="T14" s="232">
        <f t="shared" si="14"/>
        <v>5247732.2020000005</v>
      </c>
      <c r="U14" s="30">
        <f>'1a.ISA and Disposals'!AA8</f>
        <v>0</v>
      </c>
      <c r="V14" s="232">
        <f t="shared" si="15"/>
        <v>5247732.2020000005</v>
      </c>
      <c r="W14" s="30">
        <f>'1a.ISA and Disposals'!AD8</f>
        <v>0</v>
      </c>
      <c r="X14" s="232">
        <f t="shared" si="15"/>
        <v>5247732.2020000005</v>
      </c>
      <c r="Y14" s="6"/>
    </row>
    <row r="15" spans="1:25" x14ac:dyDescent="0.25">
      <c r="A15" s="1"/>
      <c r="B15" s="2">
        <v>1845</v>
      </c>
      <c r="C15" s="1" t="s">
        <v>5</v>
      </c>
      <c r="D15" s="13"/>
      <c r="E15" s="13"/>
      <c r="F15" s="14">
        <v>8230941.1099999994</v>
      </c>
      <c r="G15" s="291">
        <v>20359.029999999995</v>
      </c>
      <c r="H15" s="30">
        <f t="shared" si="8"/>
        <v>8251300.1399999997</v>
      </c>
      <c r="I15" s="30">
        <f>'1a.ISA and Disposals'!I9</f>
        <v>207977.15487566972</v>
      </c>
      <c r="J15" s="232">
        <f t="shared" si="9"/>
        <v>8459277.2948756702</v>
      </c>
      <c r="K15" s="30">
        <f>'1a.ISA and Disposals'!L9</f>
        <v>120615.8851999999</v>
      </c>
      <c r="L15" s="232">
        <f t="shared" si="10"/>
        <v>8579893.1800756697</v>
      </c>
      <c r="M15" s="30">
        <f>'1a.ISA and Disposals'!O9</f>
        <v>127488.55399999992</v>
      </c>
      <c r="N15" s="232">
        <f t="shared" si="11"/>
        <v>8707381.7340756692</v>
      </c>
      <c r="O15" s="30">
        <f>'1a.ISA and Disposals'!R9</f>
        <v>170.06220000000005</v>
      </c>
      <c r="P15" s="232">
        <f t="shared" si="12"/>
        <v>8707551.7962756697</v>
      </c>
      <c r="Q15" s="30">
        <f>'1a.ISA and Disposals'!U9</f>
        <v>34380.957600000016</v>
      </c>
      <c r="R15" s="232">
        <f t="shared" si="13"/>
        <v>8741932.7538756691</v>
      </c>
      <c r="S15" s="30">
        <f>'1a.ISA and Disposals'!X9</f>
        <v>740819.41941263399</v>
      </c>
      <c r="T15" s="232">
        <f t="shared" si="14"/>
        <v>9482752.1732883025</v>
      </c>
      <c r="U15" s="30">
        <f>'1a.ISA and Disposals'!AA9</f>
        <v>149058.83117625886</v>
      </c>
      <c r="V15" s="232">
        <f t="shared" si="15"/>
        <v>9631811.0044645611</v>
      </c>
      <c r="W15" s="30">
        <f>'1a.ISA and Disposals'!AD9</f>
        <v>133505.47070027137</v>
      </c>
      <c r="X15" s="232">
        <f t="shared" si="15"/>
        <v>9765316.4751648325</v>
      </c>
      <c r="Y15" s="6"/>
    </row>
    <row r="16" spans="1:25" x14ac:dyDescent="0.25">
      <c r="A16" s="1"/>
      <c r="B16" s="2">
        <v>1850</v>
      </c>
      <c r="C16" s="1" t="s">
        <v>6</v>
      </c>
      <c r="D16" s="13"/>
      <c r="E16" s="13"/>
      <c r="F16" s="14">
        <v>8372858.5999999987</v>
      </c>
      <c r="G16" s="291">
        <v>0</v>
      </c>
      <c r="H16" s="30">
        <f t="shared" si="8"/>
        <v>8372858.5999999987</v>
      </c>
      <c r="I16" s="30">
        <f>'1a.ISA and Disposals'!I10</f>
        <v>77075.133072100813</v>
      </c>
      <c r="J16" s="232">
        <f t="shared" si="9"/>
        <v>8449933.7330721002</v>
      </c>
      <c r="K16" s="30">
        <f>'1a.ISA and Disposals'!L10</f>
        <v>524112.98959999997</v>
      </c>
      <c r="L16" s="232">
        <f t="shared" si="10"/>
        <v>8974046.7226721011</v>
      </c>
      <c r="M16" s="30">
        <f>'1a.ISA and Disposals'!O10</f>
        <v>326955.62560000009</v>
      </c>
      <c r="N16" s="232">
        <f t="shared" si="11"/>
        <v>9301002.348272102</v>
      </c>
      <c r="O16" s="30">
        <f>'1a.ISA and Disposals'!R10</f>
        <v>56.826000000001258</v>
      </c>
      <c r="P16" s="232">
        <f t="shared" si="12"/>
        <v>9301059.1742721014</v>
      </c>
      <c r="Q16" s="30">
        <f>'1a.ISA and Disposals'!U10</f>
        <v>0</v>
      </c>
      <c r="R16" s="232">
        <f t="shared" si="13"/>
        <v>9301059.1742721014</v>
      </c>
      <c r="S16" s="30">
        <f>'1a.ISA and Disposals'!X10</f>
        <v>1297966.9416816693</v>
      </c>
      <c r="T16" s="232">
        <f t="shared" si="14"/>
        <v>10599026.115953771</v>
      </c>
      <c r="U16" s="30">
        <f>'1a.ISA and Disposals'!AA10</f>
        <v>855299.16150303127</v>
      </c>
      <c r="V16" s="232">
        <f t="shared" si="15"/>
        <v>11454325.277456803</v>
      </c>
      <c r="W16" s="30">
        <f>'1a.ISA and Disposals'!AD10</f>
        <v>801538.807284832</v>
      </c>
      <c r="X16" s="232">
        <f t="shared" si="15"/>
        <v>12255864.084741635</v>
      </c>
      <c r="Y16" s="6"/>
    </row>
    <row r="17" spans="1:25" x14ac:dyDescent="0.25">
      <c r="A17" s="1"/>
      <c r="B17" s="2">
        <v>1855</v>
      </c>
      <c r="C17" s="1" t="s">
        <v>16</v>
      </c>
      <c r="D17" s="13"/>
      <c r="E17" s="13"/>
      <c r="F17" s="14"/>
      <c r="G17" s="291"/>
      <c r="H17" s="30"/>
      <c r="I17" s="30">
        <f>'1a.ISA and Disposals'!I11</f>
        <v>0</v>
      </c>
      <c r="J17" s="232"/>
      <c r="K17" s="30">
        <f>'1a.ISA and Disposals'!L11</f>
        <v>0</v>
      </c>
      <c r="L17" s="232"/>
      <c r="M17" s="30">
        <f>'1a.ISA and Disposals'!O11</f>
        <v>0</v>
      </c>
      <c r="N17" s="232"/>
      <c r="O17" s="30">
        <f>'1a.ISA and Disposals'!R11</f>
        <v>0</v>
      </c>
      <c r="P17" s="232"/>
      <c r="Q17" s="30">
        <f>'1a.ISA and Disposals'!U11</f>
        <v>0</v>
      </c>
      <c r="R17" s="232"/>
      <c r="S17" s="30">
        <f>'1a.ISA and Disposals'!X11</f>
        <v>0</v>
      </c>
      <c r="T17" s="232"/>
      <c r="U17" s="30">
        <f>'1a.ISA and Disposals'!AA11</f>
        <v>0</v>
      </c>
      <c r="V17" s="232"/>
      <c r="W17" s="30">
        <f>'1a.ISA and Disposals'!AD11</f>
        <v>0</v>
      </c>
      <c r="X17" s="232"/>
      <c r="Y17" s="6"/>
    </row>
    <row r="18" spans="1:25" s="16" customFormat="1" x14ac:dyDescent="0.25">
      <c r="A18" s="1"/>
      <c r="B18" s="2">
        <v>1860</v>
      </c>
      <c r="C18" s="1" t="s">
        <v>7</v>
      </c>
      <c r="D18" s="13"/>
      <c r="E18" s="13"/>
      <c r="F18" s="14">
        <v>6644840.0299999984</v>
      </c>
      <c r="G18" s="291">
        <v>920.99000000000069</v>
      </c>
      <c r="H18" s="30">
        <f t="shared" si="8"/>
        <v>6645761.0199999986</v>
      </c>
      <c r="I18" s="30">
        <f>'1a.ISA and Disposals'!I12</f>
        <v>-23951.817599999995</v>
      </c>
      <c r="J18" s="232">
        <f t="shared" si="9"/>
        <v>6621809.2023999989</v>
      </c>
      <c r="K18" s="30">
        <f>'1a.ISA and Disposals'!L12</f>
        <v>153506.99879999997</v>
      </c>
      <c r="L18" s="232">
        <f t="shared" si="10"/>
        <v>6775316.2011999991</v>
      </c>
      <c r="M18" s="30">
        <f>'1a.ISA and Disposals'!O12</f>
        <v>167808.98080000002</v>
      </c>
      <c r="N18" s="232">
        <f t="shared" si="11"/>
        <v>6943125.1819999991</v>
      </c>
      <c r="O18" s="30">
        <f>'1a.ISA and Disposals'!R12</f>
        <v>14974.586199999962</v>
      </c>
      <c r="P18" s="232">
        <f t="shared" si="12"/>
        <v>6958099.7681999989</v>
      </c>
      <c r="Q18" s="30">
        <f>'1a.ISA and Disposals'!U12</f>
        <v>684122.86140000017</v>
      </c>
      <c r="R18" s="232">
        <f t="shared" si="13"/>
        <v>7642222.6295999987</v>
      </c>
      <c r="S18" s="30">
        <f>'1a.ISA and Disposals'!X12</f>
        <v>147860.98055183524</v>
      </c>
      <c r="T18" s="232">
        <f t="shared" si="14"/>
        <v>7790083.6101518339</v>
      </c>
      <c r="U18" s="30">
        <f>'1a.ISA and Disposals'!AA12</f>
        <v>193191.93156527181</v>
      </c>
      <c r="V18" s="232">
        <f t="shared" si="15"/>
        <v>7983275.5417171055</v>
      </c>
      <c r="W18" s="30">
        <f>'1a.ISA and Disposals'!AD12</f>
        <v>193724.97019657725</v>
      </c>
      <c r="X18" s="232">
        <f t="shared" si="15"/>
        <v>8177000.5119136833</v>
      </c>
      <c r="Y18" s="6"/>
    </row>
    <row r="19" spans="1:25" s="4" customFormat="1" x14ac:dyDescent="0.25">
      <c r="A19" s="20"/>
      <c r="B19" s="21"/>
      <c r="C19" s="20" t="s">
        <v>18</v>
      </c>
      <c r="D19" s="22"/>
      <c r="E19" s="22"/>
      <c r="F19" s="14">
        <f>SUM(F18,F10:F16)</f>
        <v>45031729.480000004</v>
      </c>
      <c r="G19" s="286">
        <f t="shared" ref="G19:X19" si="16">SUM(G18,G10:G16)</f>
        <v>46119.319999999992</v>
      </c>
      <c r="H19" s="30">
        <f t="shared" si="16"/>
        <v>45077848.799999997</v>
      </c>
      <c r="I19" s="30">
        <f>SUM(I18,I10:I16)</f>
        <v>1075145.9360666669</v>
      </c>
      <c r="J19" s="30">
        <f t="shared" si="16"/>
        <v>46152994.736066669</v>
      </c>
      <c r="K19" s="30">
        <f t="shared" si="16"/>
        <v>1263342.8147999998</v>
      </c>
      <c r="L19" s="30">
        <f t="shared" si="16"/>
        <v>47416337.550866663</v>
      </c>
      <c r="M19" s="30">
        <f t="shared" si="16"/>
        <v>1905073.2203999998</v>
      </c>
      <c r="N19" s="30">
        <f t="shared" si="16"/>
        <v>49321410.771266662</v>
      </c>
      <c r="O19" s="30">
        <f t="shared" si="16"/>
        <v>1399335.1550000003</v>
      </c>
      <c r="P19" s="30">
        <f t="shared" si="16"/>
        <v>50720745.92626667</v>
      </c>
      <c r="Q19" s="30">
        <f t="shared" si="16"/>
        <v>2211036.4963999996</v>
      </c>
      <c r="R19" s="30">
        <f t="shared" si="16"/>
        <v>52931782.422666669</v>
      </c>
      <c r="S19" s="30">
        <f t="shared" si="16"/>
        <v>5484896.8784721354</v>
      </c>
      <c r="T19" s="30">
        <f t="shared" si="16"/>
        <v>58416679.301138803</v>
      </c>
      <c r="U19" s="30">
        <f t="shared" si="16"/>
        <v>2538298.0569301262</v>
      </c>
      <c r="V19" s="30">
        <f t="shared" si="16"/>
        <v>60954977.358068928</v>
      </c>
      <c r="W19" s="30">
        <f t="shared" si="16"/>
        <v>2240150.047604844</v>
      </c>
      <c r="X19" s="30">
        <f t="shared" si="16"/>
        <v>63195127.405673772</v>
      </c>
    </row>
    <row r="20" spans="1:25" s="16" customFormat="1" x14ac:dyDescent="0.25"/>
    <row r="21" spans="1:25" x14ac:dyDescent="0.25">
      <c r="D21" s="9"/>
      <c r="E21" s="10" t="s">
        <v>341</v>
      </c>
      <c r="F21" s="10"/>
      <c r="G21" s="10"/>
    </row>
    <row r="22" spans="1:25" x14ac:dyDescent="0.25">
      <c r="A22" t="s">
        <v>13</v>
      </c>
      <c r="D22" s="9"/>
      <c r="E22" s="9" t="s">
        <v>15</v>
      </c>
      <c r="F22" s="9"/>
      <c r="G22" s="9">
        <v>2015</v>
      </c>
      <c r="H22" s="16">
        <v>2015</v>
      </c>
      <c r="I22" s="231">
        <v>2016</v>
      </c>
      <c r="J22" s="231">
        <v>2016</v>
      </c>
      <c r="K22" s="231">
        <v>2017</v>
      </c>
      <c r="L22" s="231">
        <v>2017</v>
      </c>
      <c r="M22" s="231">
        <v>2018</v>
      </c>
      <c r="N22" s="231">
        <v>2018</v>
      </c>
      <c r="O22" s="231">
        <v>2019</v>
      </c>
      <c r="P22" s="231">
        <v>2019</v>
      </c>
      <c r="Q22" s="231">
        <v>2020</v>
      </c>
      <c r="R22" s="231">
        <v>2020</v>
      </c>
      <c r="S22" s="231">
        <v>2021</v>
      </c>
      <c r="T22" s="231">
        <v>2021</v>
      </c>
      <c r="U22" s="231">
        <v>2022</v>
      </c>
      <c r="V22" s="231">
        <v>2022</v>
      </c>
      <c r="W22" s="231">
        <v>2023</v>
      </c>
      <c r="X22" s="231">
        <v>2023</v>
      </c>
    </row>
    <row r="23" spans="1:25" x14ac:dyDescent="0.25">
      <c r="A23" s="1" t="s">
        <v>1</v>
      </c>
      <c r="B23" s="2"/>
      <c r="C23" s="1"/>
      <c r="D23" s="13"/>
      <c r="E23" s="13" t="s">
        <v>11</v>
      </c>
      <c r="F23" s="9"/>
      <c r="G23" s="9" t="s">
        <v>10</v>
      </c>
      <c r="H23" s="1" t="s">
        <v>9</v>
      </c>
      <c r="I23" s="16" t="s">
        <v>10</v>
      </c>
      <c r="J23" s="16" t="s">
        <v>9</v>
      </c>
      <c r="K23" s="16" t="s">
        <v>10</v>
      </c>
      <c r="L23" s="16" t="s">
        <v>9</v>
      </c>
      <c r="M23" s="16" t="s">
        <v>10</v>
      </c>
      <c r="N23" s="16" t="s">
        <v>9</v>
      </c>
      <c r="O23" s="16" t="s">
        <v>10</v>
      </c>
      <c r="P23" s="16" t="s">
        <v>9</v>
      </c>
      <c r="Q23" s="231" t="s">
        <v>10</v>
      </c>
      <c r="R23" s="231" t="s">
        <v>9</v>
      </c>
      <c r="S23" s="231" t="s">
        <v>10</v>
      </c>
      <c r="T23" s="231" t="s">
        <v>9</v>
      </c>
      <c r="U23" s="231" t="s">
        <v>10</v>
      </c>
      <c r="V23" s="231" t="s">
        <v>9</v>
      </c>
      <c r="W23" s="231" t="s">
        <v>10</v>
      </c>
      <c r="X23" s="231" t="s">
        <v>9</v>
      </c>
    </row>
    <row r="24" spans="1:25" x14ac:dyDescent="0.25">
      <c r="A24" s="1"/>
      <c r="B24" s="2">
        <v>1815</v>
      </c>
      <c r="C24" s="1" t="s">
        <v>280</v>
      </c>
      <c r="D24" s="13"/>
      <c r="E24" s="15">
        <v>0</v>
      </c>
      <c r="F24" s="18"/>
      <c r="G24" s="18">
        <v>0</v>
      </c>
      <c r="H24" s="157">
        <f>SUM(E24,G24)</f>
        <v>0</v>
      </c>
      <c r="I24" s="287">
        <f>'1a.ISA and Disposals'!I18</f>
        <v>0</v>
      </c>
      <c r="J24" s="287">
        <f>SUM(H24:I24)</f>
        <v>0</v>
      </c>
      <c r="K24" s="287">
        <f>'1a.ISA and Disposals'!L18</f>
        <v>0</v>
      </c>
      <c r="L24" s="287">
        <f t="shared" ref="L24:L25" si="17">SUM(J24:K24)</f>
        <v>0</v>
      </c>
      <c r="M24" s="287">
        <f>'1a.ISA and Disposals'!O18</f>
        <v>0</v>
      </c>
      <c r="N24" s="30">
        <f t="shared" ref="N24:N25" si="18">SUM(L24:M24)</f>
        <v>0</v>
      </c>
      <c r="O24" s="287">
        <f>'1a.ISA and Disposals'!R18</f>
        <v>0</v>
      </c>
      <c r="P24" s="30">
        <f t="shared" ref="P24:P25" si="19">SUM(N24:O24)</f>
        <v>0</v>
      </c>
      <c r="Q24" s="287">
        <f>'1a.ISA and Disposals'!U18</f>
        <v>0</v>
      </c>
      <c r="R24" s="30">
        <f t="shared" ref="R24:R25" si="20">SUM(P24:Q24)</f>
        <v>0</v>
      </c>
      <c r="S24" s="30">
        <f>'1a.ISA and Disposals'!X18</f>
        <v>8265.0631027269956</v>
      </c>
      <c r="T24" s="30">
        <f>SUM(R24:S24)</f>
        <v>8265.0631027269956</v>
      </c>
      <c r="U24" s="30">
        <f>'1a.ISA and Disposals'!AA18</f>
        <v>5762.6575002122217</v>
      </c>
      <c r="V24" s="30">
        <f t="shared" ref="V24:X25" si="21">SUM(T24:U24)</f>
        <v>14027.720602939218</v>
      </c>
      <c r="W24" s="30">
        <f>'1a.ISA and Disposals'!AD18</f>
        <v>18374.234145014521</v>
      </c>
      <c r="X24" s="30">
        <f t="shared" si="21"/>
        <v>32401.95474795374</v>
      </c>
      <c r="Y24" s="6"/>
    </row>
    <row r="25" spans="1:25" x14ac:dyDescent="0.25">
      <c r="A25" s="1"/>
      <c r="B25" s="2">
        <v>1820</v>
      </c>
      <c r="C25" s="1" t="s">
        <v>281</v>
      </c>
      <c r="D25" s="13"/>
      <c r="E25" s="15">
        <v>466496</v>
      </c>
      <c r="F25" s="18"/>
      <c r="G25" s="18">
        <v>0</v>
      </c>
      <c r="H25" s="157">
        <f t="shared" ref="H25:H32" si="22">SUM(E25,G25)</f>
        <v>466496</v>
      </c>
      <c r="I25" s="287">
        <f>'1a.ISA and Disposals'!I19</f>
        <v>0</v>
      </c>
      <c r="J25" s="287">
        <f t="shared" ref="J25" si="23">SUM(H25:I25)</f>
        <v>466496</v>
      </c>
      <c r="K25" s="287">
        <f>'1a.ISA and Disposals'!L19</f>
        <v>0</v>
      </c>
      <c r="L25" s="287">
        <f t="shared" si="17"/>
        <v>466496</v>
      </c>
      <c r="M25" s="287">
        <f>'1a.ISA and Disposals'!O19</f>
        <v>0</v>
      </c>
      <c r="N25" s="30">
        <f t="shared" si="18"/>
        <v>466496</v>
      </c>
      <c r="O25" s="287">
        <f>'1a.ISA and Disposals'!R19</f>
        <v>0</v>
      </c>
      <c r="P25" s="30">
        <f t="shared" si="19"/>
        <v>466496</v>
      </c>
      <c r="Q25" s="287">
        <f>'1a.ISA and Disposals'!U19</f>
        <v>0</v>
      </c>
      <c r="R25" s="30">
        <f t="shared" si="20"/>
        <v>466496</v>
      </c>
      <c r="S25" s="30">
        <f>'1a.ISA and Disposals'!X19</f>
        <v>2459.708332056674</v>
      </c>
      <c r="T25" s="30">
        <f t="shared" ref="T25" si="24">SUM(R25:S25)</f>
        <v>468955.70833205665</v>
      </c>
      <c r="U25" s="30">
        <f>'1a.ISA and Disposals'!AA19</f>
        <v>822.62715963725714</v>
      </c>
      <c r="V25" s="30">
        <f t="shared" si="21"/>
        <v>469778.33549169393</v>
      </c>
      <c r="W25" s="30">
        <f>'1a.ISA and Disposals'!AD19</f>
        <v>8447.6926791267997</v>
      </c>
      <c r="X25" s="30">
        <f t="shared" si="21"/>
        <v>478226.02817082073</v>
      </c>
      <c r="Y25" s="6"/>
    </row>
    <row r="26" spans="1:25" x14ac:dyDescent="0.25">
      <c r="A26" s="1"/>
      <c r="B26" s="2">
        <v>1830</v>
      </c>
      <c r="C26" s="1" t="s">
        <v>2</v>
      </c>
      <c r="D26" s="13"/>
      <c r="E26" s="15">
        <v>22868142</v>
      </c>
      <c r="F26" s="15"/>
      <c r="G26" s="18">
        <v>1688007</v>
      </c>
      <c r="H26" s="157">
        <f t="shared" si="22"/>
        <v>24556149</v>
      </c>
      <c r="I26" s="287">
        <f>'1a.ISA and Disposals'!I20</f>
        <v>820478.73545009142</v>
      </c>
      <c r="J26" s="287">
        <f>SUM(H26:I26)</f>
        <v>25376627.735450093</v>
      </c>
      <c r="K26" s="287">
        <f>'1a.ISA and Disposals'!L20</f>
        <v>1558287.4902999995</v>
      </c>
      <c r="L26" s="287">
        <f>SUM(J26:K26)</f>
        <v>26934915.225750092</v>
      </c>
      <c r="M26" s="287">
        <f>'1a.ISA and Disposals'!O20</f>
        <v>1293891.7117999995</v>
      </c>
      <c r="N26" s="30">
        <f t="shared" ref="N26:N32" si="25">SUM(L26:M26)</f>
        <v>28228806.93755009</v>
      </c>
      <c r="O26" s="287">
        <f>'1a.ISA and Disposals'!R20</f>
        <v>1857419.3554000005</v>
      </c>
      <c r="P26" s="30">
        <f>SUM(N26:O26)</f>
        <v>30086226.29295009</v>
      </c>
      <c r="Q26" s="287">
        <f>'1a.ISA and Disposals'!U20</f>
        <v>1607977.4820000003</v>
      </c>
      <c r="R26" s="30">
        <f>SUM(P26:Q26)</f>
        <v>31694203.774950091</v>
      </c>
      <c r="S26" s="30">
        <f>'1a.ISA and Disposals'!X20</f>
        <v>1194647.7039509998</v>
      </c>
      <c r="T26" s="30">
        <f>SUM(R26:S26)</f>
        <v>32888851.478901092</v>
      </c>
      <c r="U26" s="30">
        <f>'1a.ISA and Disposals'!AA20</f>
        <v>1230410.1448733544</v>
      </c>
      <c r="V26" s="30">
        <f>SUM(T26:U26)</f>
        <v>34119261.623774447</v>
      </c>
      <c r="W26" s="30">
        <f>'1a.ISA and Disposals'!AD20</f>
        <v>1138880.7486773247</v>
      </c>
      <c r="X26" s="30">
        <f>SUM(V26:W26)</f>
        <v>35258142.372451775</v>
      </c>
      <c r="Y26" s="6"/>
    </row>
    <row r="27" spans="1:25" x14ac:dyDescent="0.25">
      <c r="A27" s="1"/>
      <c r="B27" s="2">
        <v>1835</v>
      </c>
      <c r="C27" s="1" t="s">
        <v>3</v>
      </c>
      <c r="D27" s="13"/>
      <c r="E27" s="15">
        <v>15813712</v>
      </c>
      <c r="F27" s="15"/>
      <c r="G27" s="18">
        <v>2369820</v>
      </c>
      <c r="H27" s="157">
        <f t="shared" si="22"/>
        <v>18183532</v>
      </c>
      <c r="I27" s="287">
        <f>'1a.ISA and Disposals'!I21</f>
        <v>618544.11600315245</v>
      </c>
      <c r="J27" s="287">
        <f t="shared" ref="J27:J32" si="26">SUM(H27:I27)</f>
        <v>18802076.116003152</v>
      </c>
      <c r="K27" s="287">
        <f>'1a.ISA and Disposals'!L21</f>
        <v>500632.90820000024</v>
      </c>
      <c r="L27" s="287">
        <f t="shared" ref="L27:L32" si="27">SUM(J27:K27)</f>
        <v>19302709.024203151</v>
      </c>
      <c r="M27" s="287">
        <f>'1a.ISA and Disposals'!O21</f>
        <v>239520.86780000015</v>
      </c>
      <c r="N27" s="30">
        <f t="shared" si="25"/>
        <v>19542229.892003153</v>
      </c>
      <c r="O27" s="287">
        <f>'1a.ISA and Disposals'!R21</f>
        <v>8741.5151999999998</v>
      </c>
      <c r="P27" s="30">
        <f t="shared" ref="P27:P32" si="28">SUM(N27:O27)</f>
        <v>19550971.407203153</v>
      </c>
      <c r="Q27" s="287">
        <f>'1a.ISA and Disposals'!U21</f>
        <v>0</v>
      </c>
      <c r="R27" s="30">
        <f t="shared" ref="R27:R32" si="29">SUM(P27:Q27)</f>
        <v>19550971.407203153</v>
      </c>
      <c r="S27" s="30">
        <f>'1a.ISA and Disposals'!X21</f>
        <v>582832.45783315285</v>
      </c>
      <c r="T27" s="30">
        <f t="shared" ref="T27:T32" si="30">SUM(R27:S27)</f>
        <v>20133803.865036305</v>
      </c>
      <c r="U27" s="30">
        <f>'1a.ISA and Disposals'!AA21</f>
        <v>612679.89423433552</v>
      </c>
      <c r="V27" s="30">
        <f t="shared" ref="V27:X32" si="31">SUM(T27:U27)</f>
        <v>20746483.759270642</v>
      </c>
      <c r="W27" s="30">
        <f>'1a.ISA and Disposals'!AD21</f>
        <v>626050.05192099116</v>
      </c>
      <c r="X27" s="30">
        <f t="shared" si="31"/>
        <v>21372533.811191633</v>
      </c>
      <c r="Y27" s="6"/>
    </row>
    <row r="28" spans="1:25" x14ac:dyDescent="0.25">
      <c r="A28" s="1"/>
      <c r="B28" s="2">
        <v>1840</v>
      </c>
      <c r="C28" s="1" t="s">
        <v>4</v>
      </c>
      <c r="D28" s="13"/>
      <c r="E28" s="15">
        <v>1588270</v>
      </c>
      <c r="F28" s="15"/>
      <c r="G28" s="18">
        <v>0</v>
      </c>
      <c r="H28" s="157">
        <f t="shared" si="22"/>
        <v>1588270</v>
      </c>
      <c r="I28" s="287">
        <f>'1a.ISA and Disposals'!I22</f>
        <v>25.031699999999997</v>
      </c>
      <c r="J28" s="287">
        <f t="shared" si="26"/>
        <v>1588295.0316999999</v>
      </c>
      <c r="K28" s="287">
        <f>'1a.ISA and Disposals'!L22</f>
        <v>0</v>
      </c>
      <c r="L28" s="287">
        <f t="shared" si="27"/>
        <v>1588295.0316999999</v>
      </c>
      <c r="M28" s="287">
        <f>'1a.ISA and Disposals'!O22</f>
        <v>0</v>
      </c>
      <c r="N28" s="30">
        <f t="shared" si="25"/>
        <v>1588295.0316999999</v>
      </c>
      <c r="O28" s="287">
        <f>'1a.ISA and Disposals'!R22</f>
        <v>0</v>
      </c>
      <c r="P28" s="30">
        <f t="shared" si="28"/>
        <v>1588295.0316999999</v>
      </c>
      <c r="Q28" s="287">
        <f>'1a.ISA and Disposals'!U22</f>
        <v>0</v>
      </c>
      <c r="R28" s="30">
        <f t="shared" si="29"/>
        <v>1588295.0316999999</v>
      </c>
      <c r="S28" s="30">
        <f>'1a.ISA and Disposals'!X22</f>
        <v>0</v>
      </c>
      <c r="T28" s="30">
        <f t="shared" si="30"/>
        <v>1588295.0316999999</v>
      </c>
      <c r="U28" s="30">
        <f>'1a.ISA and Disposals'!AA22</f>
        <v>0</v>
      </c>
      <c r="V28" s="30">
        <f t="shared" si="31"/>
        <v>1588295.0316999999</v>
      </c>
      <c r="W28" s="30">
        <f>'1a.ISA and Disposals'!AD22</f>
        <v>0</v>
      </c>
      <c r="X28" s="30">
        <f t="shared" si="31"/>
        <v>1588295.0316999999</v>
      </c>
      <c r="Y28" s="6"/>
    </row>
    <row r="29" spans="1:25" x14ac:dyDescent="0.25">
      <c r="A29" s="1"/>
      <c r="B29" s="2">
        <v>1845</v>
      </c>
      <c r="C29" s="1" t="s">
        <v>5</v>
      </c>
      <c r="D29" s="13"/>
      <c r="E29" s="15">
        <v>6944647</v>
      </c>
      <c r="F29" s="15"/>
      <c r="G29" s="18">
        <v>805098</v>
      </c>
      <c r="H29" s="157">
        <f t="shared" si="22"/>
        <v>7749745</v>
      </c>
      <c r="I29" s="287">
        <f>'1a.ISA and Disposals'!I23</f>
        <v>299832.71019999997</v>
      </c>
      <c r="J29" s="287">
        <f t="shared" si="26"/>
        <v>8049577.7101999996</v>
      </c>
      <c r="K29" s="287">
        <f>'1a.ISA and Disposals'!L23</f>
        <v>232957.57810000007</v>
      </c>
      <c r="L29" s="287">
        <f t="shared" si="27"/>
        <v>8282535.2883000001</v>
      </c>
      <c r="M29" s="287">
        <f>'1a.ISA and Disposals'!O23</f>
        <v>42821.27820000003</v>
      </c>
      <c r="N29" s="30">
        <f t="shared" si="25"/>
        <v>8325356.5664999997</v>
      </c>
      <c r="O29" s="287">
        <f>'1a.ISA and Disposals'!R23</f>
        <v>0</v>
      </c>
      <c r="P29" s="30">
        <f t="shared" si="28"/>
        <v>8325356.5664999997</v>
      </c>
      <c r="Q29" s="287">
        <f>'1a.ISA and Disposals'!U23</f>
        <v>0</v>
      </c>
      <c r="R29" s="30">
        <f t="shared" si="29"/>
        <v>8325356.5664999997</v>
      </c>
      <c r="S29" s="30">
        <f>'1a.ISA and Disposals'!X23</f>
        <v>143891.09647757944</v>
      </c>
      <c r="T29" s="30">
        <f t="shared" si="30"/>
        <v>8469247.66297758</v>
      </c>
      <c r="U29" s="30">
        <f>'1a.ISA and Disposals'!AA23</f>
        <v>170271.83604386626</v>
      </c>
      <c r="V29" s="30">
        <f t="shared" si="31"/>
        <v>8639519.4990214463</v>
      </c>
      <c r="W29" s="30">
        <f>'1a.ISA and Disposals'!AD23</f>
        <v>166850.51905942374</v>
      </c>
      <c r="X29" s="30">
        <f t="shared" si="31"/>
        <v>8806370.0180808697</v>
      </c>
      <c r="Y29" s="6"/>
    </row>
    <row r="30" spans="1:25" x14ac:dyDescent="0.25">
      <c r="A30" s="1"/>
      <c r="B30" s="2">
        <v>1850</v>
      </c>
      <c r="C30" s="1" t="s">
        <v>6</v>
      </c>
      <c r="D30" s="13"/>
      <c r="E30" s="15">
        <v>13047282</v>
      </c>
      <c r="F30" s="15"/>
      <c r="G30" s="18">
        <v>1134843</v>
      </c>
      <c r="H30" s="157">
        <f t="shared" si="22"/>
        <v>14182125</v>
      </c>
      <c r="I30" s="287">
        <f>'1a.ISA and Disposals'!I24</f>
        <v>813707.26561342285</v>
      </c>
      <c r="J30" s="287">
        <f t="shared" si="26"/>
        <v>14995832.265613424</v>
      </c>
      <c r="K30" s="287">
        <f>'1a.ISA and Disposals'!L24</f>
        <v>1573085.6140000012</v>
      </c>
      <c r="L30" s="287">
        <f t="shared" si="27"/>
        <v>16568917.879613426</v>
      </c>
      <c r="M30" s="287">
        <f>'1a.ISA and Disposals'!O24</f>
        <v>992741.86780000082</v>
      </c>
      <c r="N30" s="30">
        <f t="shared" si="25"/>
        <v>17561659.747413427</v>
      </c>
      <c r="O30" s="287">
        <f>'1a.ISA and Disposals'!R24</f>
        <v>-53289.193799999994</v>
      </c>
      <c r="P30" s="30">
        <f t="shared" si="28"/>
        <v>17508370.553613428</v>
      </c>
      <c r="Q30" s="287">
        <f>'1a.ISA and Disposals'!U24</f>
        <v>8049.6570000000011</v>
      </c>
      <c r="R30" s="30">
        <f t="shared" si="29"/>
        <v>17516420.21061343</v>
      </c>
      <c r="S30" s="30">
        <f>'1a.ISA and Disposals'!X24</f>
        <v>3016298.1095360732</v>
      </c>
      <c r="T30" s="30">
        <f t="shared" si="30"/>
        <v>20532718.320149504</v>
      </c>
      <c r="U30" s="30">
        <f>'1a.ISA and Disposals'!AA24</f>
        <v>2887326.3724509482</v>
      </c>
      <c r="V30" s="30">
        <f t="shared" si="31"/>
        <v>23420044.692600451</v>
      </c>
      <c r="W30" s="30">
        <f>'1a.ISA and Disposals'!AD24</f>
        <v>2826910.4666279024</v>
      </c>
      <c r="X30" s="30">
        <f t="shared" si="31"/>
        <v>26246955.159228355</v>
      </c>
      <c r="Y30" s="6"/>
    </row>
    <row r="31" spans="1:25" x14ac:dyDescent="0.25">
      <c r="A31" s="1"/>
      <c r="B31" s="2">
        <v>1855</v>
      </c>
      <c r="C31" s="1" t="s">
        <v>16</v>
      </c>
      <c r="D31" s="13"/>
      <c r="E31" s="15">
        <v>3110021</v>
      </c>
      <c r="F31" s="15"/>
      <c r="G31" s="18">
        <v>454608</v>
      </c>
      <c r="H31" s="157">
        <f t="shared" si="22"/>
        <v>3564629</v>
      </c>
      <c r="I31" s="287">
        <f>'1a.ISA and Disposals'!I25</f>
        <v>0</v>
      </c>
      <c r="J31" s="287">
        <f t="shared" si="26"/>
        <v>3564629</v>
      </c>
      <c r="K31" s="287">
        <f>'1a.ISA and Disposals'!L25</f>
        <v>0</v>
      </c>
      <c r="L31" s="287">
        <f t="shared" si="27"/>
        <v>3564629</v>
      </c>
      <c r="M31" s="287">
        <f>'1a.ISA and Disposals'!O25</f>
        <v>0</v>
      </c>
      <c r="N31" s="30">
        <f t="shared" si="25"/>
        <v>3564629</v>
      </c>
      <c r="O31" s="287">
        <f>'1a.ISA and Disposals'!R25</f>
        <v>0</v>
      </c>
      <c r="P31" s="30">
        <f t="shared" si="28"/>
        <v>3564629</v>
      </c>
      <c r="Q31" s="287">
        <f>'1a.ISA and Disposals'!U25</f>
        <v>0</v>
      </c>
      <c r="R31" s="30">
        <f t="shared" si="29"/>
        <v>3564629</v>
      </c>
      <c r="S31" s="30">
        <f>'1a.ISA and Disposals'!X25</f>
        <v>0</v>
      </c>
      <c r="T31" s="30">
        <f t="shared" si="30"/>
        <v>3564629</v>
      </c>
      <c r="U31" s="30">
        <f>'1a.ISA and Disposals'!AA25</f>
        <v>0</v>
      </c>
      <c r="V31" s="30">
        <f t="shared" si="31"/>
        <v>3564629</v>
      </c>
      <c r="W31" s="30">
        <f>'1a.ISA and Disposals'!AD25</f>
        <v>0</v>
      </c>
      <c r="X31" s="30">
        <f t="shared" si="31"/>
        <v>3564629</v>
      </c>
      <c r="Y31" s="6"/>
    </row>
    <row r="32" spans="1:25" s="16" customFormat="1" x14ac:dyDescent="0.25">
      <c r="A32" s="1"/>
      <c r="B32" s="2">
        <v>1860</v>
      </c>
      <c r="C32" s="1" t="s">
        <v>7</v>
      </c>
      <c r="D32" s="13"/>
      <c r="E32" s="15">
        <v>4996500</v>
      </c>
      <c r="F32" s="15"/>
      <c r="G32" s="18">
        <v>107333</v>
      </c>
      <c r="H32" s="157">
        <f t="shared" si="22"/>
        <v>5103833</v>
      </c>
      <c r="I32" s="287">
        <f>'1a.ISA and Disposals'!I26</f>
        <v>-72005.599600000016</v>
      </c>
      <c r="J32" s="287">
        <f t="shared" si="26"/>
        <v>5031827.4003999997</v>
      </c>
      <c r="K32" s="287">
        <f>'1a.ISA and Disposals'!L26</f>
        <v>62897.186900000001</v>
      </c>
      <c r="L32" s="287">
        <f t="shared" si="27"/>
        <v>5094724.5872999998</v>
      </c>
      <c r="M32" s="287">
        <f>'1a.ISA and Disposals'!O26</f>
        <v>3299459.6842000005</v>
      </c>
      <c r="N32" s="30">
        <f t="shared" si="25"/>
        <v>8394184.2715000007</v>
      </c>
      <c r="O32" s="287">
        <f>'1a.ISA and Disposals'!R26</f>
        <v>-277983.82619999989</v>
      </c>
      <c r="P32" s="30">
        <f t="shared" si="28"/>
        <v>8116200.4453000007</v>
      </c>
      <c r="Q32" s="287">
        <f>'1a.ISA and Disposals'!U26</f>
        <v>1213103.6452000001</v>
      </c>
      <c r="R32" s="30">
        <f t="shared" si="29"/>
        <v>9329304.0905000009</v>
      </c>
      <c r="S32" s="30">
        <f>'1a.ISA and Disposals'!X26</f>
        <v>201265.35712990662</v>
      </c>
      <c r="T32" s="30">
        <f t="shared" si="30"/>
        <v>9530569.4476299081</v>
      </c>
      <c r="U32" s="30">
        <f>'1a.ISA and Disposals'!AA26</f>
        <v>193893.9553701047</v>
      </c>
      <c r="V32" s="30">
        <f t="shared" si="31"/>
        <v>9724463.403000012</v>
      </c>
      <c r="W32" s="30">
        <f>'1a.ISA and Disposals'!AD26</f>
        <v>196087.55447750672</v>
      </c>
      <c r="X32" s="30">
        <f t="shared" si="31"/>
        <v>9920550.9574775193</v>
      </c>
      <c r="Y32" s="6"/>
    </row>
    <row r="33" spans="1:25" s="288" customFormat="1" x14ac:dyDescent="0.25">
      <c r="A33" s="289"/>
      <c r="B33" s="290"/>
      <c r="C33" s="289" t="s">
        <v>18</v>
      </c>
      <c r="D33" s="291"/>
      <c r="E33" s="291">
        <f>SUM(E24:E32)</f>
        <v>68835070</v>
      </c>
      <c r="F33" s="291"/>
      <c r="G33" s="291">
        <f t="shared" ref="G33:X33" si="32">SUM(G24:G32)</f>
        <v>6559709</v>
      </c>
      <c r="H33" s="289">
        <f t="shared" si="32"/>
        <v>75394779</v>
      </c>
      <c r="I33" s="289">
        <f t="shared" si="32"/>
        <v>2480582.2593666664</v>
      </c>
      <c r="J33" s="289">
        <f t="shared" si="32"/>
        <v>77875361.259366661</v>
      </c>
      <c r="K33" s="289">
        <f t="shared" si="32"/>
        <v>3927860.7775000008</v>
      </c>
      <c r="L33" s="289">
        <f t="shared" si="32"/>
        <v>81803222.036866665</v>
      </c>
      <c r="M33" s="289">
        <f t="shared" si="32"/>
        <v>5868435.4098000005</v>
      </c>
      <c r="N33" s="289">
        <f t="shared" si="32"/>
        <v>87671657.446666673</v>
      </c>
      <c r="O33" s="289">
        <f t="shared" si="32"/>
        <v>1534887.8506000005</v>
      </c>
      <c r="P33" s="289">
        <f t="shared" si="32"/>
        <v>89206545.297266677</v>
      </c>
      <c r="Q33" s="289">
        <f t="shared" si="32"/>
        <v>2829130.7842000006</v>
      </c>
      <c r="R33" s="289">
        <f t="shared" si="32"/>
        <v>92035676.081466675</v>
      </c>
      <c r="S33" s="289">
        <f t="shared" si="32"/>
        <v>5149659.4963624952</v>
      </c>
      <c r="T33" s="289">
        <f t="shared" si="32"/>
        <v>97185335.577829167</v>
      </c>
      <c r="U33" s="289">
        <f t="shared" si="32"/>
        <v>5101167.487632459</v>
      </c>
      <c r="V33" s="289">
        <f t="shared" si="32"/>
        <v>102286503.06546164</v>
      </c>
      <c r="W33" s="289">
        <f t="shared" si="32"/>
        <v>4981601.2675872901</v>
      </c>
      <c r="X33" s="289">
        <f t="shared" si="32"/>
        <v>107268104.33304894</v>
      </c>
    </row>
    <row r="34" spans="1:25" x14ac:dyDescent="0.25">
      <c r="A34" s="16"/>
      <c r="B34" s="16"/>
      <c r="C34" s="16"/>
    </row>
    <row r="35" spans="1:25" x14ac:dyDescent="0.25">
      <c r="D35" s="10" t="s">
        <v>341</v>
      </c>
      <c r="E35" s="10"/>
      <c r="F35" s="10"/>
    </row>
    <row r="36" spans="1:25" x14ac:dyDescent="0.25">
      <c r="A36" t="s">
        <v>12</v>
      </c>
      <c r="D36" s="9" t="s">
        <v>17</v>
      </c>
      <c r="E36" s="9">
        <v>2014</v>
      </c>
      <c r="F36" s="9">
        <v>2014</v>
      </c>
      <c r="G36" s="16">
        <v>2015</v>
      </c>
      <c r="H36" s="16">
        <v>2015</v>
      </c>
      <c r="I36" s="231">
        <v>2016</v>
      </c>
      <c r="J36" s="231">
        <v>2016</v>
      </c>
      <c r="K36" s="231">
        <v>2017</v>
      </c>
      <c r="L36" s="231">
        <v>2017</v>
      </c>
      <c r="M36" s="231">
        <v>2018</v>
      </c>
      <c r="N36" s="231">
        <v>2018</v>
      </c>
      <c r="O36" s="231">
        <v>2019</v>
      </c>
      <c r="P36" s="231">
        <v>2019</v>
      </c>
      <c r="Q36" s="231">
        <v>2020</v>
      </c>
      <c r="R36" s="231">
        <v>2020</v>
      </c>
      <c r="S36" s="231">
        <v>2021</v>
      </c>
      <c r="T36" s="231">
        <v>2021</v>
      </c>
      <c r="U36" s="231">
        <v>2022</v>
      </c>
      <c r="V36" s="231">
        <v>2022</v>
      </c>
      <c r="W36" s="231">
        <v>2023</v>
      </c>
      <c r="X36" s="231">
        <v>2023</v>
      </c>
      <c r="Y36" s="16"/>
    </row>
    <row r="37" spans="1:25" x14ac:dyDescent="0.25">
      <c r="A37" s="1" t="s">
        <v>1</v>
      </c>
      <c r="B37" s="2"/>
      <c r="C37" s="1"/>
      <c r="D37" s="9" t="s">
        <v>11</v>
      </c>
      <c r="E37" s="9" t="s">
        <v>10</v>
      </c>
      <c r="F37" s="9" t="s">
        <v>9</v>
      </c>
      <c r="G37" s="16" t="s">
        <v>10</v>
      </c>
      <c r="H37" s="16" t="s">
        <v>9</v>
      </c>
      <c r="I37" s="16" t="s">
        <v>10</v>
      </c>
      <c r="J37" s="16" t="s">
        <v>9</v>
      </c>
      <c r="K37" s="16" t="s">
        <v>10</v>
      </c>
      <c r="L37" s="16" t="s">
        <v>9</v>
      </c>
      <c r="M37" s="16" t="s">
        <v>10</v>
      </c>
      <c r="N37" s="16" t="s">
        <v>9</v>
      </c>
      <c r="O37" s="16" t="s">
        <v>10</v>
      </c>
      <c r="P37" s="16" t="s">
        <v>9</v>
      </c>
      <c r="Q37" s="231" t="s">
        <v>10</v>
      </c>
      <c r="R37" s="231" t="s">
        <v>9</v>
      </c>
      <c r="S37" s="231" t="s">
        <v>10</v>
      </c>
      <c r="T37" s="231" t="s">
        <v>9</v>
      </c>
      <c r="U37" s="231" t="s">
        <v>10</v>
      </c>
      <c r="V37" s="231" t="s">
        <v>9</v>
      </c>
      <c r="W37" s="231" t="s">
        <v>10</v>
      </c>
      <c r="X37" s="231" t="s">
        <v>9</v>
      </c>
      <c r="Y37" s="16"/>
    </row>
    <row r="38" spans="1:25" x14ac:dyDescent="0.25">
      <c r="A38" s="1"/>
      <c r="B38" s="2">
        <v>1815</v>
      </c>
      <c r="C38" s="1" t="s">
        <v>280</v>
      </c>
      <c r="D38" s="18">
        <v>8967555.9499999993</v>
      </c>
      <c r="E38" s="18">
        <v>20440.099999999999</v>
      </c>
      <c r="F38" s="18">
        <f>SUM(D38:E38)</f>
        <v>8987996.0499999989</v>
      </c>
      <c r="G38" s="287">
        <f>'1a.ISA and Disposals'!F32</f>
        <v>0</v>
      </c>
      <c r="H38" s="287">
        <f>SUM(F38:G38)</f>
        <v>8987996.0499999989</v>
      </c>
      <c r="I38" s="287">
        <f>'1a.ISA and Disposals'!I32</f>
        <v>0</v>
      </c>
      <c r="J38" s="30">
        <f t="shared" ref="J38:J39" si="33">SUM(H38:I38)</f>
        <v>8987996.0499999989</v>
      </c>
      <c r="K38" s="287">
        <f>'1a.ISA and Disposals'!L32</f>
        <v>0</v>
      </c>
      <c r="L38" s="30">
        <f>SUM(J38:K38)</f>
        <v>8987996.0499999989</v>
      </c>
      <c r="M38" s="287">
        <f>'1a.ISA and Disposals'!O32</f>
        <v>0</v>
      </c>
      <c r="N38" s="30">
        <f>SUM(L38:M38)</f>
        <v>8987996.0499999989</v>
      </c>
      <c r="O38" s="287">
        <f>'1a.ISA and Disposals'!R32</f>
        <v>0</v>
      </c>
      <c r="P38" s="30">
        <f>SUM(N38:O38)</f>
        <v>8987996.0499999989</v>
      </c>
      <c r="Q38" s="287">
        <f>'1a.ISA and Disposals'!U32</f>
        <v>83954.1054</v>
      </c>
      <c r="R38" s="30">
        <f>SUM(P38:Q38)</f>
        <v>9071950.1553999986</v>
      </c>
      <c r="S38" s="30">
        <f>'1a.ISA and Disposals'!X32</f>
        <v>-162273.90210777742</v>
      </c>
      <c r="T38" s="30">
        <f>SUM(R38:S38)</f>
        <v>8909676.2532922216</v>
      </c>
      <c r="U38" s="30">
        <f>'1a.ISA and Disposals'!AA32</f>
        <v>-148915.61057312801</v>
      </c>
      <c r="V38" s="30">
        <f>SUM(T38:U38)</f>
        <v>8760760.6427190937</v>
      </c>
      <c r="W38" s="30">
        <f>'1a.ISA and Disposals'!AD32</f>
        <v>-251416.74683109837</v>
      </c>
      <c r="X38" s="30">
        <f>SUM(V38:W38)</f>
        <v>8509343.8958879951</v>
      </c>
      <c r="Y38" s="6"/>
    </row>
    <row r="39" spans="1:25" x14ac:dyDescent="0.25">
      <c r="A39" s="1"/>
      <c r="B39" s="2">
        <v>1820</v>
      </c>
      <c r="C39" s="1" t="s">
        <v>281</v>
      </c>
      <c r="D39" s="18">
        <v>3164160.0199999996</v>
      </c>
      <c r="E39" s="18">
        <v>41422.26</v>
      </c>
      <c r="F39" s="18">
        <f t="shared" ref="F39" si="34">SUM(D39:E39)</f>
        <v>3205582.2799999993</v>
      </c>
      <c r="G39" s="287">
        <f>'1a.ISA and Disposals'!F33</f>
        <v>-155793.82479999997</v>
      </c>
      <c r="H39" s="287">
        <f>SUM(F39:G39)</f>
        <v>3049788.4551999993</v>
      </c>
      <c r="I39" s="287">
        <f>'1a.ISA and Disposals'!I33</f>
        <v>0</v>
      </c>
      <c r="J39" s="30">
        <f t="shared" si="33"/>
        <v>3049788.4551999993</v>
      </c>
      <c r="K39" s="287">
        <f>'1a.ISA and Disposals'!L33</f>
        <v>0</v>
      </c>
      <c r="L39" s="30">
        <f>SUM(J39:K39)</f>
        <v>3049788.4551999993</v>
      </c>
      <c r="M39" s="287">
        <f>'1a.ISA and Disposals'!O33</f>
        <v>193083.2904</v>
      </c>
      <c r="N39" s="30">
        <f>SUM(L39:M39)</f>
        <v>3242871.7455999991</v>
      </c>
      <c r="O39" s="287">
        <f>'1a.ISA and Disposals'!R33</f>
        <v>-217747.78120000008</v>
      </c>
      <c r="P39" s="30">
        <f>SUM(N39:O39)</f>
        <v>3025123.964399999</v>
      </c>
      <c r="Q39" s="287">
        <f>'1a.ISA and Disposals'!U33</f>
        <v>631889.94000000006</v>
      </c>
      <c r="R39" s="30">
        <f>SUM(P39:Q39)</f>
        <v>3657013.904399999</v>
      </c>
      <c r="S39" s="30">
        <f>'1a.ISA and Disposals'!X33</f>
        <v>-20059.279991277876</v>
      </c>
      <c r="T39" s="30">
        <f>SUM(R39:S39)</f>
        <v>3636954.624408721</v>
      </c>
      <c r="U39" s="30">
        <f>'1a.ISA and Disposals'!AA33</f>
        <v>20189.506560477705</v>
      </c>
      <c r="V39" s="30">
        <f>SUM(T39:U39)</f>
        <v>3657144.1309691989</v>
      </c>
      <c r="W39" s="30">
        <f>'1a.ISA and Disposals'!AD33</f>
        <v>-6949.7627576867089</v>
      </c>
      <c r="X39" s="30">
        <f>SUM(V39:W39)</f>
        <v>3650194.368211512</v>
      </c>
      <c r="Y39" s="6"/>
    </row>
    <row r="40" spans="1:25" x14ac:dyDescent="0.25">
      <c r="A40" s="1"/>
      <c r="B40" s="2">
        <v>1830</v>
      </c>
      <c r="C40" s="1" t="s">
        <v>2</v>
      </c>
      <c r="D40" s="18">
        <v>18847086.530000001</v>
      </c>
      <c r="E40" s="18">
        <v>468411.18221700005</v>
      </c>
      <c r="F40" s="18">
        <f>SUM(D40:E40)</f>
        <v>19315497.712217003</v>
      </c>
      <c r="G40" s="287">
        <f>'1a.ISA and Disposals'!F34</f>
        <v>12870.126299999998</v>
      </c>
      <c r="H40" s="287">
        <f>SUM(F40:G40)</f>
        <v>19328367.838517003</v>
      </c>
      <c r="I40" s="287">
        <f>'1a.ISA and Disposals'!I34</f>
        <v>315258.94480610039</v>
      </c>
      <c r="J40" s="30">
        <f t="shared" ref="J40:J46" si="35">SUM(H40:I40)</f>
        <v>19643626.783323102</v>
      </c>
      <c r="K40" s="287">
        <f>'1a.ISA and Disposals'!L34</f>
        <v>445038.87899999967</v>
      </c>
      <c r="L40" s="30">
        <f>SUM(J40:K40)</f>
        <v>20088665.662323102</v>
      </c>
      <c r="M40" s="287">
        <f>'1a.ISA and Disposals'!O34</f>
        <v>721356.75280000048</v>
      </c>
      <c r="N40" s="30">
        <f>SUM(L40:M40)</f>
        <v>20810022.415123101</v>
      </c>
      <c r="O40" s="287">
        <f>'1a.ISA and Disposals'!R34</f>
        <v>1509855.6973999997</v>
      </c>
      <c r="P40" s="30">
        <f>SUM(N40:O40)</f>
        <v>22319878.112523101</v>
      </c>
      <c r="Q40" s="287">
        <f>'1a.ISA and Disposals'!U34</f>
        <v>-146851.93640000001</v>
      </c>
      <c r="R40" s="30">
        <f>SUM(P40:Q40)</f>
        <v>22173026.176123101</v>
      </c>
      <c r="S40" s="30">
        <f>'1a.ISA and Disposals'!X34</f>
        <v>1207846.0387735574</v>
      </c>
      <c r="T40" s="30">
        <f>SUM(R40:S40)</f>
        <v>23380872.21489666</v>
      </c>
      <c r="U40" s="30">
        <f>'1a.ISA and Disposals'!AA34</f>
        <v>1219384.1059213313</v>
      </c>
      <c r="V40" s="30">
        <f>SUM(T40:U40)</f>
        <v>24600256.320817992</v>
      </c>
      <c r="W40" s="30">
        <f>'1a.ISA and Disposals'!AD34</f>
        <v>1105439.0651928177</v>
      </c>
      <c r="X40" s="30">
        <f>SUM(V40:W40)</f>
        <v>25705695.386010811</v>
      </c>
      <c r="Y40" s="6"/>
    </row>
    <row r="41" spans="1:25" x14ac:dyDescent="0.25">
      <c r="A41" s="1"/>
      <c r="B41" s="2">
        <v>1835</v>
      </c>
      <c r="C41" s="1" t="s">
        <v>3</v>
      </c>
      <c r="D41" s="18">
        <v>11521664.57</v>
      </c>
      <c r="E41" s="18">
        <v>414707.48618599999</v>
      </c>
      <c r="F41" s="18">
        <f t="shared" ref="F41:F46" si="36">SUM(D41:E41)</f>
        <v>11936372.056186</v>
      </c>
      <c r="G41" s="287">
        <f>'1a.ISA and Disposals'!F35</f>
        <v>82140.118299999987</v>
      </c>
      <c r="H41" s="287">
        <f t="shared" ref="H41:H46" si="37">SUM(F41:G41)</f>
        <v>12018512.174486</v>
      </c>
      <c r="I41" s="287">
        <f>'1a.ISA and Disposals'!I35</f>
        <v>85130.395087993456</v>
      </c>
      <c r="J41" s="30">
        <f t="shared" si="35"/>
        <v>12103642.569573993</v>
      </c>
      <c r="K41" s="287">
        <f>'1a.ISA and Disposals'!L35</f>
        <v>683895.94479999982</v>
      </c>
      <c r="L41" s="30">
        <f t="shared" ref="L41:L46" si="38">SUM(J41:K41)</f>
        <v>12787538.514373994</v>
      </c>
      <c r="M41" s="287">
        <f>'1a.ISA and Disposals'!O35</f>
        <v>89721.496599999984</v>
      </c>
      <c r="N41" s="30">
        <f t="shared" ref="N41:N46" si="39">SUM(L41:M41)</f>
        <v>12877260.010973994</v>
      </c>
      <c r="O41" s="287">
        <f>'1a.ISA and Disposals'!R35</f>
        <v>8.9627999999999997</v>
      </c>
      <c r="P41" s="30">
        <f t="shared" ref="P41:P46" si="40">SUM(N41:O41)</f>
        <v>12877268.973773994</v>
      </c>
      <c r="Q41" s="287">
        <f>'1a.ISA and Disposals'!U35</f>
        <v>0</v>
      </c>
      <c r="R41" s="30">
        <f t="shared" ref="R41:R46" si="41">SUM(P41:Q41)</f>
        <v>12877268.973773994</v>
      </c>
      <c r="S41" s="30">
        <f>'1a.ISA and Disposals'!X35</f>
        <v>700931.93780870084</v>
      </c>
      <c r="T41" s="30">
        <f t="shared" ref="T41:T45" si="42">SUM(R41:S41)</f>
        <v>13578200.911582693</v>
      </c>
      <c r="U41" s="30">
        <f>'1a.ISA and Disposals'!AA35</f>
        <v>714358.7722721803</v>
      </c>
      <c r="V41" s="30">
        <f t="shared" ref="V41:X46" si="43">SUM(T41:U41)</f>
        <v>14292559.683854874</v>
      </c>
      <c r="W41" s="30">
        <f>'1a.ISA and Disposals'!AD35</f>
        <v>641120.82966555259</v>
      </c>
      <c r="X41" s="30">
        <f t="shared" si="43"/>
        <v>14933680.513520427</v>
      </c>
      <c r="Y41" s="6"/>
    </row>
    <row r="42" spans="1:25" x14ac:dyDescent="0.25">
      <c r="A42" s="1"/>
      <c r="B42" s="2">
        <v>1840</v>
      </c>
      <c r="C42" s="1" t="s">
        <v>4</v>
      </c>
      <c r="D42" s="18">
        <v>4974590.6100000003</v>
      </c>
      <c r="E42" s="18">
        <v>147136.08000000002</v>
      </c>
      <c r="F42" s="18">
        <f t="shared" si="36"/>
        <v>5121726.6900000004</v>
      </c>
      <c r="G42" s="287">
        <f>'1a.ISA and Disposals'!F36</f>
        <v>29940.957299999995</v>
      </c>
      <c r="H42" s="287">
        <f t="shared" si="37"/>
        <v>5151667.6473000003</v>
      </c>
      <c r="I42" s="287">
        <f>'1a.ISA and Disposals'!I36</f>
        <v>0</v>
      </c>
      <c r="J42" s="30">
        <f t="shared" si="35"/>
        <v>5151667.6473000003</v>
      </c>
      <c r="K42" s="287">
        <f>'1a.ISA and Disposals'!L36</f>
        <v>0</v>
      </c>
      <c r="L42" s="30">
        <f t="shared" si="38"/>
        <v>5151667.6473000003</v>
      </c>
      <c r="M42" s="287">
        <f>'1a.ISA and Disposals'!O36</f>
        <v>0</v>
      </c>
      <c r="N42" s="30">
        <f t="shared" si="39"/>
        <v>5151667.6473000003</v>
      </c>
      <c r="O42" s="287">
        <f>'1a.ISA and Disposals'!R36</f>
        <v>0</v>
      </c>
      <c r="P42" s="30">
        <f t="shared" si="40"/>
        <v>5151667.6473000003</v>
      </c>
      <c r="Q42" s="287">
        <f>'1a.ISA and Disposals'!U36</f>
        <v>0</v>
      </c>
      <c r="R42" s="30">
        <f t="shared" si="41"/>
        <v>5151667.6473000003</v>
      </c>
      <c r="S42" s="30">
        <f>'1a.ISA and Disposals'!X36</f>
        <v>0</v>
      </c>
      <c r="T42" s="30">
        <f t="shared" si="42"/>
        <v>5151667.6473000003</v>
      </c>
      <c r="U42" s="30">
        <f>'1a.ISA and Disposals'!AA36</f>
        <v>0</v>
      </c>
      <c r="V42" s="30">
        <f t="shared" si="43"/>
        <v>5151667.6473000003</v>
      </c>
      <c r="W42" s="30">
        <f>'1a.ISA and Disposals'!AD36</f>
        <v>0</v>
      </c>
      <c r="X42" s="30">
        <f t="shared" si="43"/>
        <v>5151667.6473000003</v>
      </c>
      <c r="Y42" s="6"/>
    </row>
    <row r="43" spans="1:25" x14ac:dyDescent="0.25">
      <c r="A43" s="1"/>
      <c r="B43" s="2">
        <v>1845</v>
      </c>
      <c r="C43" s="1" t="s">
        <v>5</v>
      </c>
      <c r="D43" s="18">
        <v>6032054.7800000003</v>
      </c>
      <c r="E43" s="18">
        <v>869564.35997400002</v>
      </c>
      <c r="F43" s="18">
        <f t="shared" si="36"/>
        <v>6901619.1399739999</v>
      </c>
      <c r="G43" s="287">
        <f>'1a.ISA and Disposals'!F37</f>
        <v>75435.849399999992</v>
      </c>
      <c r="H43" s="287">
        <f t="shared" si="37"/>
        <v>6977054.9893739996</v>
      </c>
      <c r="I43" s="287">
        <f>'1a.ISA and Disposals'!I37</f>
        <v>180603.71549999996</v>
      </c>
      <c r="J43" s="30">
        <f t="shared" si="35"/>
        <v>7157658.7048739996</v>
      </c>
      <c r="K43" s="287">
        <f>'1a.ISA and Disposals'!L37</f>
        <v>414702.342</v>
      </c>
      <c r="L43" s="30">
        <f t="shared" si="38"/>
        <v>7572361.0468739998</v>
      </c>
      <c r="M43" s="287">
        <f>'1a.ISA and Disposals'!O37</f>
        <v>84575.501999999979</v>
      </c>
      <c r="N43" s="30">
        <f t="shared" si="39"/>
        <v>7656936.5488740001</v>
      </c>
      <c r="O43" s="287">
        <f>'1a.ISA and Disposals'!R37</f>
        <v>0</v>
      </c>
      <c r="P43" s="30">
        <f t="shared" si="40"/>
        <v>7656936.5488740001</v>
      </c>
      <c r="Q43" s="287">
        <f>'1a.ISA and Disposals'!U37</f>
        <v>0</v>
      </c>
      <c r="R43" s="30">
        <f t="shared" si="41"/>
        <v>7656936.5488740001</v>
      </c>
      <c r="S43" s="30">
        <f>'1a.ISA and Disposals'!X37</f>
        <v>274447.81879807822</v>
      </c>
      <c r="T43" s="30">
        <f t="shared" si="42"/>
        <v>7931384.3676720783</v>
      </c>
      <c r="U43" s="30">
        <f>'1a.ISA and Disposals'!AA37</f>
        <v>269307.25565126562</v>
      </c>
      <c r="V43" s="30">
        <f t="shared" si="43"/>
        <v>8200691.6233233437</v>
      </c>
      <c r="W43" s="30">
        <f>'1a.ISA and Disposals'!AD37</f>
        <v>260415.01001903636</v>
      </c>
      <c r="X43" s="30">
        <f t="shared" si="43"/>
        <v>8461106.6333423797</v>
      </c>
      <c r="Y43" s="6"/>
    </row>
    <row r="44" spans="1:25" x14ac:dyDescent="0.25">
      <c r="A44" s="1"/>
      <c r="B44" s="2">
        <v>1850</v>
      </c>
      <c r="C44" s="1" t="s">
        <v>6</v>
      </c>
      <c r="D44" s="18">
        <v>14543326.109999999</v>
      </c>
      <c r="E44" s="18">
        <v>1272429.3500000001</v>
      </c>
      <c r="F44" s="18">
        <f t="shared" si="36"/>
        <v>15815755.459999999</v>
      </c>
      <c r="G44" s="287">
        <f>'1a.ISA and Disposals'!F38</f>
        <v>122205.61710000003</v>
      </c>
      <c r="H44" s="287">
        <f t="shared" si="37"/>
        <v>15937961.077099999</v>
      </c>
      <c r="I44" s="287">
        <f>'1a.ISA and Disposals'!I38</f>
        <v>332686.84847257315</v>
      </c>
      <c r="J44" s="30">
        <f t="shared" si="35"/>
        <v>16270647.925572572</v>
      </c>
      <c r="K44" s="287">
        <f>'1a.ISA and Disposals'!L38</f>
        <v>622067.86479999986</v>
      </c>
      <c r="L44" s="30">
        <f t="shared" si="38"/>
        <v>16892715.790372573</v>
      </c>
      <c r="M44" s="287">
        <f>'1a.ISA and Disposals'!O38</f>
        <v>335669.10280000023</v>
      </c>
      <c r="N44" s="30">
        <f t="shared" si="39"/>
        <v>17228384.893172573</v>
      </c>
      <c r="O44" s="287">
        <f>'1a.ISA and Disposals'!R38</f>
        <v>50429.715600000003</v>
      </c>
      <c r="P44" s="30">
        <f t="shared" si="40"/>
        <v>17278814.608772572</v>
      </c>
      <c r="Q44" s="287">
        <f>'1a.ISA and Disposals'!U38</f>
        <v>1091.1428000000005</v>
      </c>
      <c r="R44" s="30">
        <f t="shared" si="41"/>
        <v>17279905.751572572</v>
      </c>
      <c r="S44" s="30">
        <f>'1a.ISA and Disposals'!X38</f>
        <v>1102960.5983841007</v>
      </c>
      <c r="T44" s="30">
        <f t="shared" si="42"/>
        <v>18382866.349956673</v>
      </c>
      <c r="U44" s="30">
        <f>'1a.ISA and Disposals'!AA38</f>
        <v>1000832.4006525001</v>
      </c>
      <c r="V44" s="30">
        <f t="shared" si="43"/>
        <v>19383698.750609174</v>
      </c>
      <c r="W44" s="30">
        <f>'1a.ISA and Disposals'!AD38</f>
        <v>911084.69862445001</v>
      </c>
      <c r="X44" s="30">
        <f t="shared" si="43"/>
        <v>20294783.449233625</v>
      </c>
      <c r="Y44" s="6"/>
    </row>
    <row r="45" spans="1:25" x14ac:dyDescent="0.25">
      <c r="A45" s="1"/>
      <c r="B45" s="2">
        <v>1855</v>
      </c>
      <c r="C45" s="1" t="s">
        <v>16</v>
      </c>
      <c r="D45" s="18">
        <v>2603967.12</v>
      </c>
      <c r="E45" s="18">
        <v>177509.97596700001</v>
      </c>
      <c r="F45" s="18">
        <f t="shared" si="36"/>
        <v>2781477.0959670004</v>
      </c>
      <c r="G45" s="287">
        <f>'1a.ISA and Disposals'!F39</f>
        <v>0</v>
      </c>
      <c r="H45" s="287">
        <f t="shared" si="37"/>
        <v>2781477.0959670004</v>
      </c>
      <c r="I45" s="287">
        <f>'1a.ISA and Disposals'!I39</f>
        <v>0</v>
      </c>
      <c r="J45" s="30">
        <f t="shared" si="35"/>
        <v>2781477.0959670004</v>
      </c>
      <c r="K45" s="287">
        <f>'1a.ISA and Disposals'!L39</f>
        <v>0</v>
      </c>
      <c r="L45" s="30">
        <f t="shared" si="38"/>
        <v>2781477.0959670004</v>
      </c>
      <c r="M45" s="287">
        <f>'1a.ISA and Disposals'!O39</f>
        <v>0</v>
      </c>
      <c r="N45" s="30">
        <f t="shared" si="39"/>
        <v>2781477.0959670004</v>
      </c>
      <c r="O45" s="287">
        <f>'1a.ISA and Disposals'!R39</f>
        <v>0</v>
      </c>
      <c r="P45" s="30">
        <f t="shared" si="40"/>
        <v>2781477.0959670004</v>
      </c>
      <c r="Q45" s="287">
        <f>'1a.ISA and Disposals'!U39</f>
        <v>0</v>
      </c>
      <c r="R45" s="30">
        <f t="shared" si="41"/>
        <v>2781477.0959670004</v>
      </c>
      <c r="S45" s="30">
        <f>'1a.ISA and Disposals'!X39</f>
        <v>0</v>
      </c>
      <c r="T45" s="30">
        <f t="shared" si="42"/>
        <v>2781477.0959670004</v>
      </c>
      <c r="U45" s="30">
        <f>'1a.ISA and Disposals'!AA39</f>
        <v>0</v>
      </c>
      <c r="V45" s="30">
        <f t="shared" si="43"/>
        <v>2781477.0959670004</v>
      </c>
      <c r="W45" s="30">
        <f>'1a.ISA and Disposals'!AD39</f>
        <v>0</v>
      </c>
      <c r="X45" s="30">
        <f t="shared" si="43"/>
        <v>2781477.0959670004</v>
      </c>
      <c r="Y45" s="6"/>
    </row>
    <row r="46" spans="1:25" s="16" customFormat="1" x14ac:dyDescent="0.25">
      <c r="A46" s="1"/>
      <c r="B46" s="2">
        <v>1860</v>
      </c>
      <c r="C46" s="1" t="s">
        <v>7</v>
      </c>
      <c r="D46" s="18">
        <v>5600129.21</v>
      </c>
      <c r="E46" s="18">
        <v>44463.555655999997</v>
      </c>
      <c r="F46" s="18">
        <f t="shared" si="36"/>
        <v>5644592.765656</v>
      </c>
      <c r="G46" s="287">
        <f>'1a.ISA and Disposals'!F40</f>
        <v>-111772.73529999999</v>
      </c>
      <c r="H46" s="287">
        <f t="shared" si="37"/>
        <v>5532820.0303560002</v>
      </c>
      <c r="I46" s="287">
        <f>'1a.ISA and Disposals'!I40</f>
        <v>0</v>
      </c>
      <c r="J46" s="30">
        <f t="shared" si="35"/>
        <v>5532820.0303560002</v>
      </c>
      <c r="K46" s="287">
        <f>'1a.ISA and Disposals'!L40</f>
        <v>30216.364399999999</v>
      </c>
      <c r="L46" s="30">
        <f t="shared" si="38"/>
        <v>5563036.3947560005</v>
      </c>
      <c r="M46" s="287">
        <f>'1a.ISA and Disposals'!O40</f>
        <v>86373.36540000001</v>
      </c>
      <c r="N46" s="30">
        <f t="shared" si="39"/>
        <v>5649409.760156</v>
      </c>
      <c r="O46" s="287">
        <f>'1a.ISA and Disposals'!R40</f>
        <v>-513341.02720000001</v>
      </c>
      <c r="P46" s="30">
        <f t="shared" si="40"/>
        <v>5136068.7329559997</v>
      </c>
      <c r="Q46" s="287">
        <f>'1a.ISA and Disposals'!U40</f>
        <v>257566.32819999987</v>
      </c>
      <c r="R46" s="30">
        <f t="shared" si="41"/>
        <v>5393635.0611559991</v>
      </c>
      <c r="S46" s="30">
        <f>'1a.ISA and Disposals'!X40</f>
        <v>155293.51085936438</v>
      </c>
      <c r="T46" s="30">
        <f>SUM(R46:S46)</f>
        <v>5548928.5720153637</v>
      </c>
      <c r="U46" s="30">
        <f>'1a.ISA and Disposals'!AA40</f>
        <v>151937.2091429517</v>
      </c>
      <c r="V46" s="30">
        <f t="shared" si="43"/>
        <v>5700865.781158315</v>
      </c>
      <c r="W46" s="30">
        <f>'1a.ISA and Disposals'!AD40</f>
        <v>152564.55582181073</v>
      </c>
      <c r="X46" s="30">
        <f t="shared" si="43"/>
        <v>5853430.3369801259</v>
      </c>
      <c r="Y46" s="6"/>
    </row>
    <row r="47" spans="1:25" s="4" customFormat="1" x14ac:dyDescent="0.25">
      <c r="A47" s="20"/>
      <c r="B47" s="21"/>
      <c r="C47" s="20" t="s">
        <v>18</v>
      </c>
      <c r="D47" s="14">
        <f>SUM(D38:D46)</f>
        <v>76254534.899999991</v>
      </c>
      <c r="E47" s="14">
        <f t="shared" ref="E47:X47" si="44">SUM(E38:E46)</f>
        <v>3456084.3500000006</v>
      </c>
      <c r="F47" s="14">
        <f t="shared" si="44"/>
        <v>79710619.249999985</v>
      </c>
      <c r="G47" s="30">
        <f t="shared" si="44"/>
        <v>55026.108300000036</v>
      </c>
      <c r="H47" s="30">
        <f>SUM(H38:H46)</f>
        <v>79765645.3583</v>
      </c>
      <c r="I47" s="30">
        <f t="shared" si="44"/>
        <v>913679.90386666707</v>
      </c>
      <c r="J47" s="30">
        <f t="shared" si="44"/>
        <v>80679325.262166664</v>
      </c>
      <c r="K47" s="30">
        <f t="shared" si="44"/>
        <v>2195921.3949999991</v>
      </c>
      <c r="L47" s="30">
        <f t="shared" si="44"/>
        <v>82875246.657166675</v>
      </c>
      <c r="M47" s="30">
        <f t="shared" si="44"/>
        <v>1510779.5100000005</v>
      </c>
      <c r="N47" s="30">
        <f t="shared" si="44"/>
        <v>84386026.167166665</v>
      </c>
      <c r="O47" s="30">
        <f t="shared" si="44"/>
        <v>829205.56739999971</v>
      </c>
      <c r="P47" s="30">
        <f t="shared" si="44"/>
        <v>85215231.734566659</v>
      </c>
      <c r="Q47" s="30">
        <f t="shared" si="44"/>
        <v>827649.58</v>
      </c>
      <c r="R47" s="30">
        <f t="shared" si="44"/>
        <v>86042881.314566657</v>
      </c>
      <c r="S47" s="30">
        <f t="shared" si="44"/>
        <v>3259146.7225247459</v>
      </c>
      <c r="T47" s="30">
        <f>SUM(T38:T46)</f>
        <v>89302028.037091404</v>
      </c>
      <c r="U47" s="30">
        <f t="shared" si="44"/>
        <v>3227093.6396275791</v>
      </c>
      <c r="V47" s="30">
        <f t="shared" si="44"/>
        <v>92529121.67671898</v>
      </c>
      <c r="W47" s="30">
        <f t="shared" si="44"/>
        <v>2812257.6497348826</v>
      </c>
      <c r="X47" s="30">
        <f t="shared" si="44"/>
        <v>95341379.326453865</v>
      </c>
    </row>
    <row r="48" spans="1:25" x14ac:dyDescent="0.25"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</row>
  </sheetData>
  <pageMargins left="0.7" right="0.7" top="0.75" bottom="0.75" header="0.3" footer="0.3"/>
  <pageSetup paperSize="17" scale="59" fitToHeight="0" orientation="landscape" r:id="rId1"/>
  <ignoredErrors>
    <ignoredError sqref="H39:H46 H38 P39:P46 P38 N39:N46 N38 L39:L46 L38 J39:J46 J38 P26 P27:P32 P25 P24 N26 N27:N32 N25 N24 P11:P18 P10 N11:N18 N10 L24 L26 L27:L32 L25 J10 J11:J18 L10 L11:L18 K19:Q19 I10 I20:X23 I19:J19 R19:X19 I11:I18 M11:M18 M10 K11:K18 K10 I26:K26 I25:K25 M25 I33:X37 I27:K32 M27:M32 M26 I24:K24 M24 O10 O11:O18 Q10:X10 Q11:X18 O24 O25 O27:O32 O26 Q24:X24 Q25:X25 Q27:X32 Q26:X26 I47:X47 I38 K38 I39:I46 K39:K46 M38 M39:M46 O38 O39:O46 Q38:X38 Q39:X46 G38:G4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Z103"/>
  <sheetViews>
    <sheetView workbookViewId="0">
      <selection activeCell="A8" sqref="A8:A9"/>
    </sheetView>
  </sheetViews>
  <sheetFormatPr defaultRowHeight="15" x14ac:dyDescent="0.25"/>
  <cols>
    <col min="2" max="2" width="61.140625" bestFit="1" customWidth="1"/>
    <col min="4" max="5" width="15.42578125" bestFit="1" customWidth="1"/>
    <col min="6" max="7" width="14.42578125" bestFit="1" customWidth="1"/>
    <col min="8" max="8" width="18.5703125" customWidth="1"/>
    <col min="9" max="9" width="9.42578125" bestFit="1" customWidth="1"/>
    <col min="10" max="10" width="8.42578125" bestFit="1" customWidth="1"/>
    <col min="11" max="12" width="12.5703125" bestFit="1" customWidth="1"/>
    <col min="13" max="13" width="11.42578125" customWidth="1"/>
    <col min="14" max="14" width="13.140625" style="16" customWidth="1"/>
    <col min="15" max="15" width="0.42578125" style="23" customWidth="1"/>
    <col min="16" max="16" width="6.5703125" customWidth="1"/>
    <col min="17" max="18" width="12.5703125" bestFit="1" customWidth="1"/>
    <col min="19" max="19" width="12.5703125" customWidth="1"/>
    <col min="20" max="20" width="14.85546875" style="16" bestFit="1" customWidth="1"/>
    <col min="21" max="21" width="0.42578125" customWidth="1"/>
    <col min="22" max="22" width="7.5703125" customWidth="1"/>
    <col min="23" max="23" width="9.85546875" customWidth="1"/>
    <col min="25" max="25" width="7.5703125" customWidth="1"/>
    <col min="26" max="26" width="11" customWidth="1"/>
  </cols>
  <sheetData>
    <row r="1" spans="1:26" x14ac:dyDescent="0.25">
      <c r="A1" s="37" t="s">
        <v>78</v>
      </c>
      <c r="O1" s="27"/>
      <c r="P1" s="23"/>
      <c r="U1" s="27"/>
    </row>
    <row r="2" spans="1:26" x14ac:dyDescent="0.25">
      <c r="O2" s="27"/>
      <c r="P2" s="23"/>
      <c r="U2" s="27"/>
    </row>
    <row r="3" spans="1:26" x14ac:dyDescent="0.25">
      <c r="A3" t="s">
        <v>92</v>
      </c>
      <c r="O3" s="27"/>
      <c r="P3" s="23" t="s">
        <v>90</v>
      </c>
      <c r="U3" s="27"/>
      <c r="V3" t="s">
        <v>102</v>
      </c>
    </row>
    <row r="4" spans="1:26" x14ac:dyDescent="0.25">
      <c r="O4" s="27"/>
      <c r="P4" s="23"/>
      <c r="U4" s="27"/>
    </row>
    <row r="5" spans="1:26" x14ac:dyDescent="0.25">
      <c r="O5" s="27"/>
      <c r="P5" s="23"/>
      <c r="U5" s="27"/>
    </row>
    <row r="6" spans="1:26" x14ac:dyDescent="0.25">
      <c r="A6" t="s">
        <v>342</v>
      </c>
      <c r="O6" s="27"/>
      <c r="P6" s="36" t="s">
        <v>104</v>
      </c>
      <c r="U6" s="27"/>
      <c r="V6" s="36" t="s">
        <v>104</v>
      </c>
    </row>
    <row r="7" spans="1:26" s="5" customFormat="1" ht="75" x14ac:dyDescent="0.25">
      <c r="A7" s="5" t="s">
        <v>19</v>
      </c>
      <c r="B7" s="5" t="s">
        <v>20</v>
      </c>
      <c r="C7" s="5" t="s">
        <v>79</v>
      </c>
      <c r="D7" s="5" t="s">
        <v>75</v>
      </c>
      <c r="E7" s="5" t="s">
        <v>80</v>
      </c>
      <c r="F7" s="5" t="s">
        <v>81</v>
      </c>
      <c r="G7" s="5" t="s">
        <v>82</v>
      </c>
      <c r="H7" s="5" t="s">
        <v>83</v>
      </c>
      <c r="I7" s="5" t="s">
        <v>84</v>
      </c>
      <c r="J7" s="5" t="s">
        <v>85</v>
      </c>
      <c r="K7" s="5" t="s">
        <v>86</v>
      </c>
      <c r="L7" s="5" t="s">
        <v>87</v>
      </c>
      <c r="M7" s="5" t="s">
        <v>88</v>
      </c>
      <c r="N7" s="24"/>
      <c r="O7" s="26"/>
      <c r="P7" s="28" t="s">
        <v>76</v>
      </c>
      <c r="Q7" s="28" t="s">
        <v>75</v>
      </c>
      <c r="R7" s="5" t="s">
        <v>80</v>
      </c>
      <c r="S7" s="5" t="s">
        <v>81</v>
      </c>
      <c r="T7" s="24" t="s">
        <v>82</v>
      </c>
      <c r="U7" s="26"/>
      <c r="V7" s="28" t="s">
        <v>76</v>
      </c>
      <c r="W7" s="5" t="s">
        <v>80</v>
      </c>
      <c r="X7" s="5" t="s">
        <v>81</v>
      </c>
      <c r="Y7" s="5" t="s">
        <v>82</v>
      </c>
      <c r="Z7" s="28" t="s">
        <v>91</v>
      </c>
    </row>
    <row r="8" spans="1:26" x14ac:dyDescent="0.25">
      <c r="A8" t="s">
        <v>282</v>
      </c>
      <c r="B8" t="s">
        <v>283</v>
      </c>
      <c r="C8" t="s">
        <v>89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  <c r="N8" s="25"/>
      <c r="O8" s="27"/>
      <c r="P8" s="28">
        <v>1815</v>
      </c>
      <c r="Q8" s="149">
        <f>D8</f>
        <v>0</v>
      </c>
      <c r="R8" s="149">
        <f t="shared" ref="R8:T8" si="0">E8</f>
        <v>0</v>
      </c>
      <c r="S8" s="149">
        <f t="shared" si="0"/>
        <v>0</v>
      </c>
      <c r="T8" s="149">
        <f t="shared" si="0"/>
        <v>0</v>
      </c>
      <c r="U8" s="26"/>
      <c r="V8" s="28">
        <v>1815</v>
      </c>
      <c r="W8" s="19">
        <f>IF(Q8=0,0,R8/$Q$8)</f>
        <v>0</v>
      </c>
      <c r="X8" s="19">
        <f t="shared" ref="X8:Y8" si="1">IF(R8=0,0,S8/$Q$8)</f>
        <v>0</v>
      </c>
      <c r="Y8" s="19">
        <f t="shared" si="1"/>
        <v>0</v>
      </c>
      <c r="Z8" s="19">
        <f t="shared" ref="Z8:Z9" si="2">SUM(W8:Y8)</f>
        <v>0</v>
      </c>
    </row>
    <row r="9" spans="1:26" x14ac:dyDescent="0.25">
      <c r="A9" t="s">
        <v>284</v>
      </c>
      <c r="B9" t="s">
        <v>285</v>
      </c>
      <c r="C9" t="s">
        <v>89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5"/>
      <c r="O9" s="27"/>
      <c r="P9" s="28">
        <v>1820</v>
      </c>
      <c r="Q9" s="149">
        <f>SUM(D10:D12)</f>
        <v>647560.0399999998</v>
      </c>
      <c r="R9" s="149">
        <f t="shared" ref="R9:T9" si="3">SUM(E10:E12)</f>
        <v>199890.86629850391</v>
      </c>
      <c r="S9" s="149">
        <f t="shared" si="3"/>
        <v>113141.78949750126</v>
      </c>
      <c r="T9" s="149">
        <f t="shared" si="3"/>
        <v>188765.97650393986</v>
      </c>
      <c r="U9" s="26"/>
      <c r="V9" s="28">
        <v>1820</v>
      </c>
      <c r="W9" s="19">
        <f t="shared" ref="W9" si="4">R9/$Q9</f>
        <v>0.30868313971088146</v>
      </c>
      <c r="X9" s="19">
        <f t="shared" ref="X9" si="5">S9/$Q9</f>
        <v>0.17472015335829136</v>
      </c>
      <c r="Y9" s="19">
        <f t="shared" ref="Y9" si="6">T9/$Q9</f>
        <v>0.29150343573383547</v>
      </c>
      <c r="Z9" s="19">
        <f t="shared" si="2"/>
        <v>0.77490672880300826</v>
      </c>
    </row>
    <row r="10" spans="1:26" x14ac:dyDescent="0.25">
      <c r="A10" t="s">
        <v>286</v>
      </c>
      <c r="B10" t="s">
        <v>287</v>
      </c>
      <c r="C10" t="s">
        <v>89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25"/>
      <c r="O10" s="27"/>
      <c r="P10" s="23">
        <v>1830</v>
      </c>
      <c r="Q10" s="29">
        <f>SUM(D13:D16)</f>
        <v>8400386</v>
      </c>
      <c r="R10" s="29">
        <f>SUM(E13:E16)</f>
        <v>4786973</v>
      </c>
      <c r="S10" s="29">
        <f>SUM(F13:F16)</f>
        <v>914290</v>
      </c>
      <c r="T10" s="25">
        <f>SUM(G13:G16)</f>
        <v>1249563</v>
      </c>
      <c r="U10" s="27"/>
      <c r="V10" s="23">
        <v>1830</v>
      </c>
      <c r="W10" s="19">
        <f>R10/$Q10</f>
        <v>0.56985155205963156</v>
      </c>
      <c r="X10" s="19">
        <f>S10/$Q10</f>
        <v>0.10883904620573388</v>
      </c>
      <c r="Y10" s="19">
        <f>T10/$Q10</f>
        <v>0.14875066455279554</v>
      </c>
      <c r="Z10" s="19">
        <f>SUM(W10:Y10)</f>
        <v>0.82744126281816099</v>
      </c>
    </row>
    <row r="11" spans="1:26" x14ac:dyDescent="0.25">
      <c r="A11" t="s">
        <v>288</v>
      </c>
      <c r="B11" t="s">
        <v>289</v>
      </c>
      <c r="C11" t="s">
        <v>89</v>
      </c>
      <c r="D11" s="29">
        <v>647560.0399999998</v>
      </c>
      <c r="E11" s="29">
        <v>199890.86629850391</v>
      </c>
      <c r="F11" s="29">
        <v>113141.78949750126</v>
      </c>
      <c r="G11" s="29">
        <v>188765.97650393986</v>
      </c>
      <c r="H11" s="29">
        <v>0</v>
      </c>
      <c r="I11" s="29">
        <v>145581.02852985988</v>
      </c>
      <c r="J11" s="29">
        <v>0</v>
      </c>
      <c r="K11" s="29">
        <v>0</v>
      </c>
      <c r="L11" s="29">
        <v>0</v>
      </c>
      <c r="M11" s="29">
        <v>180.37917019502271</v>
      </c>
      <c r="N11" s="25"/>
      <c r="O11" s="27"/>
      <c r="P11" s="23">
        <v>1835</v>
      </c>
      <c r="Q11" s="29">
        <f>SUM(D17:D20)</f>
        <v>3928562</v>
      </c>
      <c r="R11" s="29">
        <f>SUM(E17:E20)</f>
        <v>2526449</v>
      </c>
      <c r="S11" s="29">
        <f>SUM(F17:F20)</f>
        <v>341833</v>
      </c>
      <c r="T11" s="25">
        <f>SUM(G17:G20)</f>
        <v>467184</v>
      </c>
      <c r="U11" s="27"/>
      <c r="V11" s="23">
        <v>1835</v>
      </c>
      <c r="W11" s="19">
        <f t="shared" ref="W11:W16" si="7">R11/$Q11</f>
        <v>0.64309765252527518</v>
      </c>
      <c r="X11" s="19">
        <f t="shared" ref="X11:X16" si="8">S11/$Q11</f>
        <v>8.701224519302482E-2</v>
      </c>
      <c r="Y11" s="19">
        <f t="shared" ref="Y11:Y16" si="9">T11/$Q11</f>
        <v>0.11891984904400134</v>
      </c>
      <c r="Z11" s="19">
        <f t="shared" ref="Z11:Z16" si="10">SUM(W11:Y11)</f>
        <v>0.84902974676230136</v>
      </c>
    </row>
    <row r="12" spans="1:26" x14ac:dyDescent="0.25">
      <c r="A12" t="s">
        <v>290</v>
      </c>
      <c r="B12" t="s">
        <v>291</v>
      </c>
      <c r="C12" t="s">
        <v>89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5"/>
      <c r="O12" s="27"/>
      <c r="P12" s="23">
        <v>1840</v>
      </c>
      <c r="Q12" s="29">
        <f>SUM(D21:D24)</f>
        <v>4361598</v>
      </c>
      <c r="R12" s="29">
        <f>SUM(E21:E24)</f>
        <v>2934073</v>
      </c>
      <c r="S12" s="29">
        <f>SUM(F21:F24)</f>
        <v>341029</v>
      </c>
      <c r="T12" s="25">
        <f>SUM(G21:G24)</f>
        <v>466086</v>
      </c>
      <c r="U12" s="27"/>
      <c r="V12" s="23">
        <v>1840</v>
      </c>
      <c r="W12" s="19">
        <f t="shared" si="7"/>
        <v>0.67270596694147422</v>
      </c>
      <c r="X12" s="19">
        <f t="shared" si="8"/>
        <v>7.8189003204788707E-2</v>
      </c>
      <c r="Y12" s="19">
        <f t="shared" si="9"/>
        <v>0.10686129258129703</v>
      </c>
      <c r="Z12" s="19">
        <f t="shared" si="10"/>
        <v>0.85775626272756</v>
      </c>
    </row>
    <row r="13" spans="1:26" x14ac:dyDescent="0.25">
      <c r="A13">
        <v>1830</v>
      </c>
      <c r="B13" t="s">
        <v>22</v>
      </c>
      <c r="C13" t="s">
        <v>89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25"/>
      <c r="O13" s="27"/>
      <c r="P13" s="23">
        <v>1845</v>
      </c>
      <c r="Q13" s="29">
        <f>SUM(D25:D28)</f>
        <v>5206139</v>
      </c>
      <c r="R13" s="29">
        <f>SUM(E25:E28)</f>
        <v>3502200</v>
      </c>
      <c r="S13" s="29">
        <f>SUM(F25:F28)</f>
        <v>407063</v>
      </c>
      <c r="T13" s="25">
        <f>SUM(G25:G28)</f>
        <v>556335</v>
      </c>
      <c r="U13" s="27"/>
      <c r="V13" s="23">
        <v>1845</v>
      </c>
      <c r="W13" s="19">
        <f t="shared" si="7"/>
        <v>0.67270581903402882</v>
      </c>
      <c r="X13" s="19">
        <f t="shared" si="8"/>
        <v>7.8189037979969414E-2</v>
      </c>
      <c r="Y13" s="19">
        <f t="shared" si="9"/>
        <v>0.10686134196570625</v>
      </c>
      <c r="Z13" s="19">
        <f t="shared" si="10"/>
        <v>0.85775619897970456</v>
      </c>
    </row>
    <row r="14" spans="1:26" x14ac:dyDescent="0.25">
      <c r="A14" t="s">
        <v>23</v>
      </c>
      <c r="B14" t="s">
        <v>24</v>
      </c>
      <c r="C14" t="s">
        <v>89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25"/>
      <c r="O14" s="27"/>
      <c r="P14" s="23">
        <v>1850</v>
      </c>
      <c r="Q14" s="29">
        <f t="shared" ref="Q14:T16" si="11">D29</f>
        <v>7604952</v>
      </c>
      <c r="R14" s="29">
        <f t="shared" si="11"/>
        <v>4379933</v>
      </c>
      <c r="S14" s="29">
        <f t="shared" si="11"/>
        <v>1334882</v>
      </c>
      <c r="T14" s="25">
        <f t="shared" si="11"/>
        <v>1434903</v>
      </c>
      <c r="U14" s="27"/>
      <c r="V14" s="23">
        <v>1850</v>
      </c>
      <c r="W14" s="19">
        <f t="shared" si="7"/>
        <v>0.57593170870769472</v>
      </c>
      <c r="X14" s="19">
        <f t="shared" si="8"/>
        <v>0.17552799807283465</v>
      </c>
      <c r="Y14" s="19">
        <f t="shared" si="9"/>
        <v>0.18868008634374023</v>
      </c>
      <c r="Z14" s="19">
        <f t="shared" si="10"/>
        <v>0.94013979312426954</v>
      </c>
    </row>
    <row r="15" spans="1:26" x14ac:dyDescent="0.25">
      <c r="A15" t="s">
        <v>29</v>
      </c>
      <c r="B15" t="s">
        <v>30</v>
      </c>
      <c r="C15" t="s">
        <v>89</v>
      </c>
      <c r="D15" s="29">
        <v>6971480</v>
      </c>
      <c r="E15" s="29">
        <v>3450816</v>
      </c>
      <c r="F15" s="29">
        <v>914290</v>
      </c>
      <c r="G15" s="29">
        <v>1249563</v>
      </c>
      <c r="H15" s="29">
        <v>0</v>
      </c>
      <c r="I15" s="29">
        <v>941471</v>
      </c>
      <c r="J15" s="29">
        <v>0</v>
      </c>
      <c r="K15" s="29">
        <v>393025</v>
      </c>
      <c r="L15" s="29">
        <v>0</v>
      </c>
      <c r="M15" s="29">
        <v>22315</v>
      </c>
      <c r="N15" s="25"/>
      <c r="O15" s="27"/>
      <c r="P15" s="23">
        <v>1855</v>
      </c>
      <c r="Q15" s="29">
        <f t="shared" si="11"/>
        <v>2716858</v>
      </c>
      <c r="R15" s="29">
        <f t="shared" si="11"/>
        <v>2279662</v>
      </c>
      <c r="S15" s="29">
        <f t="shared" si="11"/>
        <v>0</v>
      </c>
      <c r="T15" s="25">
        <f t="shared" si="11"/>
        <v>0</v>
      </c>
      <c r="U15" s="27"/>
      <c r="V15" s="23">
        <v>1855</v>
      </c>
      <c r="W15" s="19">
        <f t="shared" si="7"/>
        <v>0.83908029054150046</v>
      </c>
      <c r="X15" s="19">
        <f t="shared" si="8"/>
        <v>0</v>
      </c>
      <c r="Y15" s="19">
        <f t="shared" si="9"/>
        <v>0</v>
      </c>
      <c r="Z15" s="19">
        <f t="shared" si="10"/>
        <v>0.83908029054150046</v>
      </c>
    </row>
    <row r="16" spans="1:26" x14ac:dyDescent="0.25">
      <c r="A16" t="s">
        <v>35</v>
      </c>
      <c r="B16" t="s">
        <v>36</v>
      </c>
      <c r="C16" t="s">
        <v>89</v>
      </c>
      <c r="D16" s="29">
        <v>1428906</v>
      </c>
      <c r="E16" s="29">
        <v>1336157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87279</v>
      </c>
      <c r="L16" s="29">
        <v>0</v>
      </c>
      <c r="M16" s="29">
        <v>5470</v>
      </c>
      <c r="N16" s="25"/>
      <c r="O16" s="27"/>
      <c r="P16" s="23">
        <v>1860</v>
      </c>
      <c r="Q16" s="29">
        <f t="shared" si="11"/>
        <v>5822235</v>
      </c>
      <c r="R16" s="29">
        <f t="shared" si="11"/>
        <v>1841906</v>
      </c>
      <c r="S16" s="29">
        <f t="shared" si="11"/>
        <v>2494138</v>
      </c>
      <c r="T16" s="25">
        <f t="shared" si="11"/>
        <v>1299127</v>
      </c>
      <c r="U16" s="27"/>
      <c r="V16" s="23">
        <v>1860</v>
      </c>
      <c r="W16" s="19">
        <f t="shared" si="7"/>
        <v>0.31635720646796289</v>
      </c>
      <c r="X16" s="19">
        <f t="shared" si="8"/>
        <v>0.42838154076570251</v>
      </c>
      <c r="Y16" s="19">
        <f t="shared" si="9"/>
        <v>0.22313201030188579</v>
      </c>
      <c r="Z16" s="19">
        <f t="shared" si="10"/>
        <v>0.96787075753555118</v>
      </c>
    </row>
    <row r="17" spans="1:21" x14ac:dyDescent="0.25">
      <c r="A17">
        <v>1835</v>
      </c>
      <c r="B17" t="s">
        <v>38</v>
      </c>
      <c r="C17" t="s">
        <v>89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25"/>
      <c r="O17" s="27"/>
      <c r="P17" s="23"/>
      <c r="U17" s="27"/>
    </row>
    <row r="18" spans="1:21" x14ac:dyDescent="0.25">
      <c r="A18" t="s">
        <v>39</v>
      </c>
      <c r="B18" t="s">
        <v>40</v>
      </c>
      <c r="C18" t="s">
        <v>89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25"/>
      <c r="O18" s="27"/>
      <c r="P18" s="23"/>
      <c r="U18" s="27"/>
    </row>
    <row r="19" spans="1:21" x14ac:dyDescent="0.25">
      <c r="A19" t="s">
        <v>45</v>
      </c>
      <c r="B19" t="s">
        <v>46</v>
      </c>
      <c r="C19" t="s">
        <v>89</v>
      </c>
      <c r="D19" s="29">
        <v>2606484</v>
      </c>
      <c r="E19" s="29">
        <v>1290185</v>
      </c>
      <c r="F19" s="29">
        <v>341833</v>
      </c>
      <c r="G19" s="29">
        <v>467184</v>
      </c>
      <c r="H19" s="29">
        <v>0</v>
      </c>
      <c r="I19" s="29">
        <v>351996</v>
      </c>
      <c r="J19" s="29">
        <v>0</v>
      </c>
      <c r="K19" s="29">
        <v>146944</v>
      </c>
      <c r="L19" s="29">
        <v>0</v>
      </c>
      <c r="M19" s="29">
        <v>8343</v>
      </c>
      <c r="N19" s="25"/>
      <c r="O19" s="27"/>
      <c r="P19" s="23"/>
      <c r="U19" s="27"/>
    </row>
    <row r="20" spans="1:21" x14ac:dyDescent="0.25">
      <c r="A20" t="s">
        <v>51</v>
      </c>
      <c r="B20" t="s">
        <v>52</v>
      </c>
      <c r="C20" t="s">
        <v>89</v>
      </c>
      <c r="D20" s="29">
        <v>1322078</v>
      </c>
      <c r="E20" s="29">
        <v>1236264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80754</v>
      </c>
      <c r="L20" s="29">
        <v>0</v>
      </c>
      <c r="M20" s="29">
        <v>5061</v>
      </c>
      <c r="N20" s="25"/>
      <c r="O20" s="27"/>
      <c r="P20" s="23"/>
      <c r="U20" s="27"/>
    </row>
    <row r="21" spans="1:21" x14ac:dyDescent="0.25">
      <c r="A21">
        <v>1840</v>
      </c>
      <c r="B21" t="s">
        <v>54</v>
      </c>
      <c r="C21" t="s">
        <v>89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25"/>
      <c r="O21" s="27"/>
      <c r="P21" s="23"/>
      <c r="U21" s="27"/>
    </row>
    <row r="22" spans="1:21" x14ac:dyDescent="0.25">
      <c r="A22" t="s">
        <v>55</v>
      </c>
      <c r="B22" t="s">
        <v>56</v>
      </c>
      <c r="C22" t="s">
        <v>89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5"/>
      <c r="O22" s="27"/>
      <c r="P22" s="23"/>
      <c r="U22" s="27"/>
    </row>
    <row r="23" spans="1:21" x14ac:dyDescent="0.25">
      <c r="A23" t="s">
        <v>57</v>
      </c>
      <c r="B23" t="s">
        <v>58</v>
      </c>
      <c r="C23" t="s">
        <v>89</v>
      </c>
      <c r="D23" s="29">
        <v>2600357</v>
      </c>
      <c r="E23" s="29">
        <v>1287152</v>
      </c>
      <c r="F23" s="29">
        <v>341029</v>
      </c>
      <c r="G23" s="29">
        <v>466086</v>
      </c>
      <c r="H23" s="29">
        <v>0</v>
      </c>
      <c r="I23" s="29">
        <v>351168</v>
      </c>
      <c r="J23" s="29">
        <v>0</v>
      </c>
      <c r="K23" s="29">
        <v>146598</v>
      </c>
      <c r="L23" s="29">
        <v>0</v>
      </c>
      <c r="M23" s="29">
        <v>8323</v>
      </c>
      <c r="N23" s="25"/>
      <c r="O23" s="27"/>
      <c r="P23" s="23"/>
      <c r="U23" s="27"/>
    </row>
    <row r="24" spans="1:21" x14ac:dyDescent="0.25">
      <c r="A24" t="s">
        <v>59</v>
      </c>
      <c r="B24" t="s">
        <v>60</v>
      </c>
      <c r="C24" t="s">
        <v>89</v>
      </c>
      <c r="D24" s="29">
        <v>1761241</v>
      </c>
      <c r="E24" s="29">
        <v>1646921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v>107578</v>
      </c>
      <c r="L24" s="29">
        <v>0</v>
      </c>
      <c r="M24" s="29">
        <v>6742</v>
      </c>
      <c r="N24" s="25"/>
      <c r="O24" s="27"/>
      <c r="P24" s="23"/>
      <c r="U24" s="27"/>
    </row>
    <row r="25" spans="1:21" x14ac:dyDescent="0.25">
      <c r="A25">
        <v>1845</v>
      </c>
      <c r="B25" t="s">
        <v>62</v>
      </c>
      <c r="C25" t="s">
        <v>89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5"/>
      <c r="O25" s="27"/>
      <c r="P25" s="23"/>
      <c r="U25" s="27"/>
    </row>
    <row r="26" spans="1:21" x14ac:dyDescent="0.25">
      <c r="A26" t="s">
        <v>63</v>
      </c>
      <c r="B26" t="s">
        <v>64</v>
      </c>
      <c r="C26" t="s">
        <v>89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5"/>
      <c r="O26" s="27"/>
      <c r="P26" s="23"/>
      <c r="U26" s="27"/>
    </row>
    <row r="27" spans="1:21" x14ac:dyDescent="0.25">
      <c r="A27" t="s">
        <v>65</v>
      </c>
      <c r="B27" t="s">
        <v>66</v>
      </c>
      <c r="C27" t="s">
        <v>89</v>
      </c>
      <c r="D27" s="29">
        <v>3103867</v>
      </c>
      <c r="E27" s="29">
        <v>1536384</v>
      </c>
      <c r="F27" s="29">
        <v>407063</v>
      </c>
      <c r="G27" s="29">
        <v>556335</v>
      </c>
      <c r="H27" s="29">
        <v>0</v>
      </c>
      <c r="I27" s="29">
        <v>419165</v>
      </c>
      <c r="J27" s="29">
        <v>0</v>
      </c>
      <c r="K27" s="29">
        <v>174984</v>
      </c>
      <c r="L27" s="29">
        <v>0</v>
      </c>
      <c r="M27" s="29">
        <v>9935</v>
      </c>
      <c r="O27" s="27"/>
      <c r="P27" s="23"/>
      <c r="U27" s="27"/>
    </row>
    <row r="28" spans="1:21" x14ac:dyDescent="0.25">
      <c r="A28" t="s">
        <v>67</v>
      </c>
      <c r="B28" t="s">
        <v>68</v>
      </c>
      <c r="C28" t="s">
        <v>89</v>
      </c>
      <c r="D28" s="29">
        <v>2102272</v>
      </c>
      <c r="E28" s="29">
        <v>1965816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v>128409</v>
      </c>
      <c r="L28" s="29">
        <v>0</v>
      </c>
      <c r="M28" s="29">
        <v>8047</v>
      </c>
      <c r="O28" s="27"/>
      <c r="P28" s="23"/>
      <c r="U28" s="27"/>
    </row>
    <row r="29" spans="1:21" x14ac:dyDescent="0.25">
      <c r="A29">
        <v>1850</v>
      </c>
      <c r="B29" t="s">
        <v>70</v>
      </c>
      <c r="C29" t="s">
        <v>89</v>
      </c>
      <c r="D29" s="29">
        <v>7604952</v>
      </c>
      <c r="E29" s="29">
        <v>4379933</v>
      </c>
      <c r="F29" s="29">
        <v>1334882</v>
      </c>
      <c r="G29" s="29">
        <v>1434903</v>
      </c>
      <c r="H29" s="29">
        <v>0</v>
      </c>
      <c r="I29" s="29">
        <v>0</v>
      </c>
      <c r="J29" s="29">
        <v>0</v>
      </c>
      <c r="K29" s="29">
        <v>430261</v>
      </c>
      <c r="L29" s="29">
        <v>0</v>
      </c>
      <c r="M29" s="29">
        <v>24972</v>
      </c>
      <c r="O29" s="27"/>
      <c r="P29" s="23"/>
      <c r="U29" s="27"/>
    </row>
    <row r="30" spans="1:21" x14ac:dyDescent="0.25">
      <c r="A30">
        <v>1855</v>
      </c>
      <c r="B30" t="s">
        <v>16</v>
      </c>
      <c r="C30" t="s">
        <v>89</v>
      </c>
      <c r="D30" s="29">
        <v>2716858</v>
      </c>
      <c r="E30" s="29">
        <v>2279662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414870</v>
      </c>
      <c r="L30" s="29">
        <v>0</v>
      </c>
      <c r="M30" s="29">
        <v>22325</v>
      </c>
      <c r="O30" s="34"/>
      <c r="P30" s="23"/>
      <c r="U30" s="27"/>
    </row>
    <row r="31" spans="1:21" x14ac:dyDescent="0.25">
      <c r="A31">
        <v>1860</v>
      </c>
      <c r="B31" t="s">
        <v>73</v>
      </c>
      <c r="C31" t="s">
        <v>89</v>
      </c>
      <c r="D31" s="29">
        <v>5822235</v>
      </c>
      <c r="E31" s="29">
        <v>1841906</v>
      </c>
      <c r="F31" s="29">
        <v>2494138</v>
      </c>
      <c r="G31" s="29">
        <v>1299127</v>
      </c>
      <c r="H31" s="29">
        <v>0</v>
      </c>
      <c r="I31" s="29">
        <v>187063</v>
      </c>
      <c r="J31" s="29">
        <v>0</v>
      </c>
      <c r="K31" s="29">
        <v>0</v>
      </c>
      <c r="L31" s="29">
        <v>0</v>
      </c>
      <c r="M31" s="29">
        <v>0</v>
      </c>
      <c r="O31" s="34"/>
      <c r="P31" s="23"/>
      <c r="U31" s="27"/>
    </row>
    <row r="32" spans="1:21" x14ac:dyDescent="0.25">
      <c r="A32" t="s">
        <v>18</v>
      </c>
      <c r="D32" s="29">
        <f>SUM(D8:D31)</f>
        <v>38688290.039999999</v>
      </c>
      <c r="E32" s="29">
        <f t="shared" ref="E32:G32" si="12">SUM(E8:E31)</f>
        <v>22451086.866298504</v>
      </c>
      <c r="F32" s="29">
        <f t="shared" si="12"/>
        <v>5946376.7894975012</v>
      </c>
      <c r="G32" s="29">
        <f t="shared" si="12"/>
        <v>5661963.9765039403</v>
      </c>
      <c r="O32" s="34"/>
      <c r="P32" s="23" t="s">
        <v>18</v>
      </c>
      <c r="Q32" s="29">
        <f>SUM(Q8:Q31)</f>
        <v>38688290.039999999</v>
      </c>
      <c r="R32" s="29">
        <f t="shared" ref="R32:T32" si="13">SUM(R8:R31)</f>
        <v>22451086.866298504</v>
      </c>
      <c r="S32" s="29">
        <f t="shared" si="13"/>
        <v>5946376.7894975012</v>
      </c>
      <c r="T32" s="29">
        <f t="shared" si="13"/>
        <v>5661963.9765039403</v>
      </c>
      <c r="U32" s="27"/>
    </row>
    <row r="33" spans="1:26" x14ac:dyDescent="0.25">
      <c r="O33" s="34"/>
      <c r="P33" s="23"/>
      <c r="U33" s="27"/>
    </row>
    <row r="34" spans="1:26" x14ac:dyDescent="0.25">
      <c r="O34" s="34"/>
      <c r="P34" s="23"/>
      <c r="U34" s="27"/>
    </row>
    <row r="35" spans="1:26" x14ac:dyDescent="0.25">
      <c r="A35" t="s">
        <v>343</v>
      </c>
      <c r="O35" s="34"/>
      <c r="U35" s="27"/>
    </row>
    <row r="36" spans="1:26" x14ac:dyDescent="0.25">
      <c r="A36" t="s">
        <v>19</v>
      </c>
      <c r="B36" t="s">
        <v>20</v>
      </c>
      <c r="C36" t="s">
        <v>79</v>
      </c>
      <c r="D36" t="s">
        <v>75</v>
      </c>
      <c r="E36" t="s">
        <v>80</v>
      </c>
      <c r="F36" t="s">
        <v>93</v>
      </c>
      <c r="G36" t="s">
        <v>94</v>
      </c>
      <c r="H36" t="s">
        <v>83</v>
      </c>
      <c r="I36" t="s">
        <v>95</v>
      </c>
      <c r="J36" t="s">
        <v>96</v>
      </c>
      <c r="K36" t="s">
        <v>86</v>
      </c>
      <c r="L36" t="s">
        <v>97</v>
      </c>
      <c r="M36" t="s">
        <v>88</v>
      </c>
      <c r="N36" s="16" t="s">
        <v>98</v>
      </c>
      <c r="O36" s="34"/>
      <c r="P36" s="28" t="s">
        <v>76</v>
      </c>
      <c r="Q36" s="28" t="s">
        <v>75</v>
      </c>
      <c r="R36" s="5" t="s">
        <v>80</v>
      </c>
      <c r="S36" s="5" t="s">
        <v>81</v>
      </c>
      <c r="T36" s="24" t="s">
        <v>82</v>
      </c>
      <c r="U36" s="27"/>
      <c r="V36" s="28"/>
      <c r="W36" s="5"/>
      <c r="X36" s="5"/>
      <c r="Y36" s="5"/>
      <c r="Z36" s="28"/>
    </row>
    <row r="37" spans="1:26" x14ac:dyDescent="0.25">
      <c r="A37" t="s">
        <v>282</v>
      </c>
      <c r="B37" t="s">
        <v>283</v>
      </c>
      <c r="C37" t="s">
        <v>89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30">
        <v>0</v>
      </c>
      <c r="O37" s="34"/>
      <c r="P37" s="28">
        <v>1815</v>
      </c>
      <c r="Q37" s="149">
        <f>D37</f>
        <v>0</v>
      </c>
      <c r="R37" s="149">
        <f t="shared" ref="R37:T37" si="14">E37</f>
        <v>0</v>
      </c>
      <c r="S37" s="149">
        <f t="shared" si="14"/>
        <v>0</v>
      </c>
      <c r="T37" s="149">
        <f t="shared" si="14"/>
        <v>0</v>
      </c>
      <c r="U37" s="27"/>
      <c r="V37" s="28"/>
      <c r="W37" s="5"/>
      <c r="X37" s="5"/>
      <c r="Y37" s="5"/>
      <c r="Z37" s="28"/>
    </row>
    <row r="38" spans="1:26" x14ac:dyDescent="0.25">
      <c r="A38" t="s">
        <v>284</v>
      </c>
      <c r="B38" t="s">
        <v>285</v>
      </c>
      <c r="C38" t="s">
        <v>89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30">
        <v>0</v>
      </c>
      <c r="O38" s="34"/>
      <c r="P38" s="28">
        <v>1820</v>
      </c>
      <c r="Q38" s="149">
        <f>SUM(D39:D41)</f>
        <v>468997.00000000006</v>
      </c>
      <c r="R38" s="149">
        <f t="shared" ref="R38:T38" si="15">SUM(E39:E41)</f>
        <v>221749.99920185679</v>
      </c>
      <c r="S38" s="149">
        <f t="shared" si="15"/>
        <v>91424.06878305538</v>
      </c>
      <c r="T38" s="149">
        <f t="shared" si="15"/>
        <v>155706.47479303175</v>
      </c>
      <c r="U38" s="27"/>
      <c r="V38" s="28"/>
      <c r="W38" s="5"/>
      <c r="X38" s="5"/>
      <c r="Y38" s="5"/>
      <c r="Z38" s="28"/>
    </row>
    <row r="39" spans="1:26" x14ac:dyDescent="0.25">
      <c r="A39" t="s">
        <v>286</v>
      </c>
      <c r="B39" t="s">
        <v>287</v>
      </c>
      <c r="C39" t="s">
        <v>89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30">
        <v>0</v>
      </c>
      <c r="O39" s="34"/>
      <c r="P39" s="23">
        <v>1830</v>
      </c>
      <c r="Q39" s="29">
        <f>SUM(D42:D45)</f>
        <v>23111010.579999998</v>
      </c>
      <c r="R39" s="29">
        <f>SUM(E42:E45)</f>
        <v>15765601.087066751</v>
      </c>
      <c r="S39" s="29">
        <f>SUM(F42:F45)</f>
        <v>3162714.7026075609</v>
      </c>
      <c r="T39" s="25">
        <f>SUM(G42:G45)</f>
        <v>2963468.2090416062</v>
      </c>
      <c r="U39" s="27"/>
      <c r="V39" s="23"/>
      <c r="W39" s="19"/>
      <c r="X39" s="19"/>
      <c r="Y39" s="19"/>
      <c r="Z39" s="19"/>
    </row>
    <row r="40" spans="1:26" x14ac:dyDescent="0.25">
      <c r="A40" t="s">
        <v>288</v>
      </c>
      <c r="B40" t="s">
        <v>289</v>
      </c>
      <c r="C40" t="s">
        <v>89</v>
      </c>
      <c r="D40" s="4">
        <v>468997.00000000006</v>
      </c>
      <c r="E40" s="4">
        <v>221749.99920185679</v>
      </c>
      <c r="F40" s="4">
        <v>91424.06878305538</v>
      </c>
      <c r="G40" s="4">
        <v>155706.47479303175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116.45722205611835</v>
      </c>
      <c r="N40" s="30">
        <v>0</v>
      </c>
      <c r="O40" s="34"/>
      <c r="P40" s="23">
        <v>1835</v>
      </c>
      <c r="Q40" s="29">
        <f>SUM(D46:D49)</f>
        <v>15009665.980000002</v>
      </c>
      <c r="R40" s="29">
        <f>SUM(E46:E49)</f>
        <v>10320616.767885286</v>
      </c>
      <c r="S40" s="29">
        <f>SUM(F46:F49)</f>
        <v>2042619.1350420353</v>
      </c>
      <c r="T40" s="25">
        <f>SUM(G46:G49)</f>
        <v>1850630.1840923359</v>
      </c>
      <c r="U40" s="27"/>
      <c r="V40" s="23"/>
      <c r="W40" s="19"/>
      <c r="X40" s="19"/>
      <c r="Y40" s="19"/>
      <c r="Z40" s="19"/>
    </row>
    <row r="41" spans="1:26" x14ac:dyDescent="0.25">
      <c r="A41" t="s">
        <v>290</v>
      </c>
      <c r="B41" t="s">
        <v>291</v>
      </c>
      <c r="C41" t="s">
        <v>89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5">
        <v>0</v>
      </c>
      <c r="O41" s="34"/>
      <c r="P41" s="23">
        <v>1840</v>
      </c>
      <c r="Q41" s="29">
        <f>SUM(D50:D53)</f>
        <v>2068718.0000000002</v>
      </c>
      <c r="R41" s="29">
        <f>SUM(E50:E53)</f>
        <v>1436486.8934211202</v>
      </c>
      <c r="S41" s="29">
        <f>SUM(F50:F53)</f>
        <v>279555.2216871705</v>
      </c>
      <c r="T41" s="25">
        <f>SUM(G50:G53)</f>
        <v>242311.68406833918</v>
      </c>
      <c r="U41" s="27"/>
      <c r="V41" s="23"/>
      <c r="W41" s="19"/>
      <c r="X41" s="19"/>
      <c r="Y41" s="19"/>
      <c r="Z41" s="19"/>
    </row>
    <row r="42" spans="1:26" x14ac:dyDescent="0.25">
      <c r="A42" t="s">
        <v>21</v>
      </c>
      <c r="B42" t="s">
        <v>22</v>
      </c>
      <c r="C42" t="s">
        <v>89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30">
        <v>0</v>
      </c>
      <c r="O42" s="34"/>
      <c r="P42" s="23">
        <v>1845</v>
      </c>
      <c r="Q42" s="29">
        <f>SUM(D54:D57)</f>
        <v>8982209</v>
      </c>
      <c r="R42" s="29">
        <f>SUM(E54:E57)</f>
        <v>6237111.8260049112</v>
      </c>
      <c r="S42" s="29">
        <f>SUM(F54:F57)</f>
        <v>1213806.5353690053</v>
      </c>
      <c r="T42" s="25">
        <f>SUM(G54:G57)</f>
        <v>1052098.0575621193</v>
      </c>
      <c r="U42" s="27"/>
      <c r="V42" s="23"/>
      <c r="W42" s="19"/>
      <c r="X42" s="19"/>
      <c r="Y42" s="19"/>
      <c r="Z42" s="19"/>
    </row>
    <row r="43" spans="1:26" x14ac:dyDescent="0.25">
      <c r="A43" t="s">
        <v>23</v>
      </c>
      <c r="B43" t="s">
        <v>24</v>
      </c>
      <c r="C43" t="s">
        <v>89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30">
        <v>0</v>
      </c>
      <c r="O43" s="34"/>
      <c r="P43" s="23">
        <v>1850</v>
      </c>
      <c r="Q43" s="29">
        <f t="shared" ref="Q43:T45" si="16">D58</f>
        <v>13558884.000000002</v>
      </c>
      <c r="R43" s="29">
        <f t="shared" si="16"/>
        <v>9301561.4204233866</v>
      </c>
      <c r="S43" s="29">
        <f t="shared" si="16"/>
        <v>1945774.3143909108</v>
      </c>
      <c r="T43" s="25">
        <f t="shared" si="16"/>
        <v>1601508.2750756412</v>
      </c>
      <c r="U43" s="27"/>
      <c r="V43" s="23"/>
      <c r="W43" s="19"/>
      <c r="X43" s="19"/>
      <c r="Y43" s="19"/>
      <c r="Z43" s="19"/>
    </row>
    <row r="44" spans="1:26" x14ac:dyDescent="0.25">
      <c r="A44" t="s">
        <v>29</v>
      </c>
      <c r="B44" t="s">
        <v>30</v>
      </c>
      <c r="C44" t="s">
        <v>89</v>
      </c>
      <c r="D44" s="4">
        <v>21493239.839400001</v>
      </c>
      <c r="E44" s="4">
        <v>14457783.356615538</v>
      </c>
      <c r="F44" s="4">
        <v>2969982.6299069608</v>
      </c>
      <c r="G44" s="4">
        <v>2941520.5618443247</v>
      </c>
      <c r="H44" s="4">
        <v>0</v>
      </c>
      <c r="I44" s="4">
        <v>0</v>
      </c>
      <c r="J44" s="4">
        <v>0</v>
      </c>
      <c r="K44" s="4">
        <v>810999.68296789937</v>
      </c>
      <c r="L44" s="4">
        <v>273829.70915730298</v>
      </c>
      <c r="M44" s="4">
        <v>39123.898907975774</v>
      </c>
      <c r="N44" s="30">
        <v>0</v>
      </c>
      <c r="O44" s="34"/>
      <c r="P44" s="23">
        <v>1855</v>
      </c>
      <c r="Q44" s="29">
        <f t="shared" si="16"/>
        <v>3136804.9999999995</v>
      </c>
      <c r="R44" s="29">
        <f t="shared" si="16"/>
        <v>2660419.7561625028</v>
      </c>
      <c r="S44" s="29">
        <f t="shared" si="16"/>
        <v>219323.71739815475</v>
      </c>
      <c r="T44" s="25">
        <f t="shared" si="16"/>
        <v>1710.2698432473233</v>
      </c>
      <c r="U44" s="27"/>
      <c r="V44" s="23"/>
      <c r="W44" s="19"/>
      <c r="X44" s="19"/>
      <c r="Y44" s="19"/>
      <c r="Z44" s="19"/>
    </row>
    <row r="45" spans="1:26" x14ac:dyDescent="0.25">
      <c r="A45" t="s">
        <v>35</v>
      </c>
      <c r="B45" t="s">
        <v>36</v>
      </c>
      <c r="C45" t="s">
        <v>89</v>
      </c>
      <c r="D45" s="4">
        <v>1617770.740599999</v>
      </c>
      <c r="E45" s="4">
        <v>1307817.7304512127</v>
      </c>
      <c r="F45" s="4">
        <v>192732.07270060005</v>
      </c>
      <c r="G45" s="4">
        <v>21947.647197281487</v>
      </c>
      <c r="H45" s="4">
        <v>0</v>
      </c>
      <c r="I45" s="4">
        <v>0</v>
      </c>
      <c r="J45" s="4">
        <v>0</v>
      </c>
      <c r="K45" s="4">
        <v>68671.890327722926</v>
      </c>
      <c r="L45" s="4">
        <v>23186.696802280851</v>
      </c>
      <c r="M45" s="4">
        <v>3414.7031209007901</v>
      </c>
      <c r="N45" s="30">
        <v>0</v>
      </c>
      <c r="O45" s="34"/>
      <c r="P45" s="23">
        <v>1860</v>
      </c>
      <c r="Q45" s="29">
        <f t="shared" si="16"/>
        <v>5369535.9999999991</v>
      </c>
      <c r="R45" s="29">
        <f t="shared" si="16"/>
        <v>3668570.4310685731</v>
      </c>
      <c r="S45" s="29">
        <f t="shared" si="16"/>
        <v>1017036.3551399419</v>
      </c>
      <c r="T45" s="25">
        <f t="shared" si="16"/>
        <v>537522.64417868119</v>
      </c>
      <c r="U45" s="27"/>
      <c r="V45" s="23"/>
      <c r="W45" s="19"/>
      <c r="X45" s="19"/>
      <c r="Y45" s="19"/>
      <c r="Z45" s="19"/>
    </row>
    <row r="46" spans="1:26" x14ac:dyDescent="0.25">
      <c r="A46" t="s">
        <v>37</v>
      </c>
      <c r="B46" t="s">
        <v>38</v>
      </c>
      <c r="C46" t="s">
        <v>89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30">
        <v>0</v>
      </c>
      <c r="O46" s="34"/>
      <c r="U46" s="27"/>
    </row>
    <row r="47" spans="1:26" x14ac:dyDescent="0.25">
      <c r="A47" t="s">
        <v>39</v>
      </c>
      <c r="B47" t="s">
        <v>40</v>
      </c>
      <c r="C47" t="s">
        <v>89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30">
        <v>0</v>
      </c>
      <c r="O47" s="34"/>
      <c r="U47" s="27"/>
    </row>
    <row r="48" spans="1:26" x14ac:dyDescent="0.25">
      <c r="A48" t="s">
        <v>45</v>
      </c>
      <c r="B48" t="s">
        <v>46</v>
      </c>
      <c r="C48" t="s">
        <v>89</v>
      </c>
      <c r="D48" s="4">
        <v>13358602.722200003</v>
      </c>
      <c r="E48" s="4">
        <v>8985885.122382449</v>
      </c>
      <c r="F48" s="4">
        <v>1845920.7797994497</v>
      </c>
      <c r="G48" s="4">
        <v>1828230.8706586233</v>
      </c>
      <c r="H48" s="4">
        <v>0</v>
      </c>
      <c r="I48" s="4">
        <v>0</v>
      </c>
      <c r="J48" s="4">
        <v>0</v>
      </c>
      <c r="K48" s="4">
        <v>504057.21303767629</v>
      </c>
      <c r="L48" s="4">
        <v>170192.22441571642</v>
      </c>
      <c r="M48" s="4">
        <v>24316.511906087431</v>
      </c>
      <c r="N48" s="30">
        <v>0</v>
      </c>
      <c r="O48" s="34"/>
      <c r="U48" s="27"/>
    </row>
    <row r="49" spans="1:26" x14ac:dyDescent="0.25">
      <c r="A49" t="s">
        <v>51</v>
      </c>
      <c r="B49" t="s">
        <v>52</v>
      </c>
      <c r="C49" t="s">
        <v>89</v>
      </c>
      <c r="D49" s="4">
        <v>1651063.2578</v>
      </c>
      <c r="E49" s="4">
        <v>1334731.6455028381</v>
      </c>
      <c r="F49" s="4">
        <v>196698.35524258547</v>
      </c>
      <c r="G49" s="4">
        <v>22399.313433712519</v>
      </c>
      <c r="H49" s="4">
        <v>0</v>
      </c>
      <c r="I49" s="4">
        <v>0</v>
      </c>
      <c r="J49" s="4">
        <v>0</v>
      </c>
      <c r="K49" s="4">
        <v>70085.106695478695</v>
      </c>
      <c r="L49" s="4">
        <v>23663.861756948561</v>
      </c>
      <c r="M49" s="4">
        <v>3484.9751684366011</v>
      </c>
      <c r="N49" s="30">
        <v>0</v>
      </c>
      <c r="O49" s="34"/>
      <c r="U49" s="27"/>
    </row>
    <row r="50" spans="1:26" x14ac:dyDescent="0.25">
      <c r="A50" t="s">
        <v>53</v>
      </c>
      <c r="B50" t="s">
        <v>54</v>
      </c>
      <c r="C50" t="s">
        <v>89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30">
        <v>0</v>
      </c>
      <c r="O50" s="34"/>
      <c r="U50" s="27"/>
    </row>
    <row r="51" spans="1:26" x14ac:dyDescent="0.25">
      <c r="A51" t="s">
        <v>55</v>
      </c>
      <c r="B51" t="s">
        <v>56</v>
      </c>
      <c r="C51" t="s">
        <v>89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30">
        <v>0</v>
      </c>
      <c r="O51" s="35">
        <f t="shared" ref="O51" si="17">SUM(O32:O50)</f>
        <v>0</v>
      </c>
      <c r="U51" s="27"/>
    </row>
    <row r="52" spans="1:26" x14ac:dyDescent="0.25">
      <c r="A52" t="s">
        <v>57</v>
      </c>
      <c r="B52" t="s">
        <v>58</v>
      </c>
      <c r="C52" t="s">
        <v>89</v>
      </c>
      <c r="D52" s="4">
        <v>1737723.12</v>
      </c>
      <c r="E52" s="4">
        <v>1168908.2051132673</v>
      </c>
      <c r="F52" s="4">
        <v>240122.36035848389</v>
      </c>
      <c r="G52" s="4">
        <v>237821.2092018867</v>
      </c>
      <c r="H52" s="4">
        <v>0</v>
      </c>
      <c r="I52" s="4">
        <v>0</v>
      </c>
      <c r="J52" s="4">
        <v>0</v>
      </c>
      <c r="K52" s="4">
        <v>65569.123591249619</v>
      </c>
      <c r="L52" s="4">
        <v>22139.064194186391</v>
      </c>
      <c r="M52" s="4">
        <v>3163.15754092614</v>
      </c>
      <c r="N52" s="30">
        <v>0</v>
      </c>
      <c r="O52" s="34"/>
      <c r="U52" s="27"/>
    </row>
    <row r="53" spans="1:26" x14ac:dyDescent="0.25">
      <c r="A53" t="s">
        <v>59</v>
      </c>
      <c r="B53" t="s">
        <v>60</v>
      </c>
      <c r="C53" t="s">
        <v>89</v>
      </c>
      <c r="D53" s="4">
        <v>330994.88000000012</v>
      </c>
      <c r="E53" s="4">
        <v>267578.68830785301</v>
      </c>
      <c r="F53" s="4">
        <v>39432.861328686617</v>
      </c>
      <c r="G53" s="4">
        <v>4490.4748664524877</v>
      </c>
      <c r="H53" s="4">
        <v>0</v>
      </c>
      <c r="I53" s="4">
        <v>0</v>
      </c>
      <c r="J53" s="4">
        <v>0</v>
      </c>
      <c r="K53" s="4">
        <v>14050.225738393376</v>
      </c>
      <c r="L53" s="4">
        <v>4743.9836393758442</v>
      </c>
      <c r="M53" s="4">
        <v>698.64611923874702</v>
      </c>
      <c r="N53" s="30">
        <v>0</v>
      </c>
      <c r="O53" s="34"/>
      <c r="U53" s="27"/>
    </row>
    <row r="54" spans="1:26" x14ac:dyDescent="0.25">
      <c r="A54" t="s">
        <v>61</v>
      </c>
      <c r="B54" t="s">
        <v>62</v>
      </c>
      <c r="C54" t="s">
        <v>89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30">
        <v>0</v>
      </c>
      <c r="O54" s="34"/>
      <c r="U54" s="27"/>
    </row>
    <row r="55" spans="1:26" x14ac:dyDescent="0.25">
      <c r="A55" t="s">
        <v>63</v>
      </c>
      <c r="B55" t="s">
        <v>64</v>
      </c>
      <c r="C55" t="s">
        <v>89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30">
        <v>0</v>
      </c>
      <c r="O55" s="34"/>
      <c r="U55" s="27"/>
    </row>
    <row r="56" spans="1:26" x14ac:dyDescent="0.25">
      <c r="A56" t="s">
        <v>65</v>
      </c>
      <c r="B56" t="s">
        <v>66</v>
      </c>
      <c r="C56" t="s">
        <v>89</v>
      </c>
      <c r="D56" s="4">
        <v>7545055.5599999996</v>
      </c>
      <c r="E56" s="4">
        <v>5075306.4458965575</v>
      </c>
      <c r="F56" s="4">
        <v>1042592.1881634989</v>
      </c>
      <c r="G56" s="4">
        <v>1032600.7728864297</v>
      </c>
      <c r="H56" s="4">
        <v>0</v>
      </c>
      <c r="I56" s="4">
        <v>0</v>
      </c>
      <c r="J56" s="4">
        <v>0</v>
      </c>
      <c r="K56" s="4">
        <v>284695.91894276289</v>
      </c>
      <c r="L56" s="4">
        <v>96126.055681150712</v>
      </c>
      <c r="M56" s="4">
        <v>13734.178429599706</v>
      </c>
      <c r="N56" s="30">
        <v>0</v>
      </c>
      <c r="O56" s="34"/>
      <c r="U56" s="27"/>
    </row>
    <row r="57" spans="1:26" x14ac:dyDescent="0.25">
      <c r="A57" t="s">
        <v>67</v>
      </c>
      <c r="B57" t="s">
        <v>68</v>
      </c>
      <c r="C57" t="s">
        <v>89</v>
      </c>
      <c r="D57" s="4">
        <v>1437153.4400000004</v>
      </c>
      <c r="E57" s="4">
        <v>1161805.3801083532</v>
      </c>
      <c r="F57" s="4">
        <v>171214.34720550646</v>
      </c>
      <c r="G57" s="4">
        <v>19497.284675689647</v>
      </c>
      <c r="H57" s="4">
        <v>0</v>
      </c>
      <c r="I57" s="4">
        <v>0</v>
      </c>
      <c r="J57" s="4">
        <v>0</v>
      </c>
      <c r="K57" s="4">
        <v>61004.962532074751</v>
      </c>
      <c r="L57" s="4">
        <v>20597.999602388754</v>
      </c>
      <c r="M57" s="4">
        <v>3033.4658759876152</v>
      </c>
      <c r="N57" s="30">
        <v>0</v>
      </c>
      <c r="O57" s="34"/>
      <c r="U57" s="27"/>
    </row>
    <row r="58" spans="1:26" x14ac:dyDescent="0.25">
      <c r="A58" t="s">
        <v>69</v>
      </c>
      <c r="B58" t="s">
        <v>70</v>
      </c>
      <c r="C58" t="s">
        <v>89</v>
      </c>
      <c r="D58" s="4">
        <v>13558884.000000002</v>
      </c>
      <c r="E58" s="4">
        <v>9301561.4204233866</v>
      </c>
      <c r="F58" s="4">
        <v>1945774.3143909108</v>
      </c>
      <c r="G58" s="4">
        <v>1601508.2750756412</v>
      </c>
      <c r="H58" s="4">
        <v>0</v>
      </c>
      <c r="I58" s="4">
        <v>0</v>
      </c>
      <c r="J58" s="4">
        <v>0</v>
      </c>
      <c r="K58" s="4">
        <v>512272.29446611507</v>
      </c>
      <c r="L58" s="4">
        <v>172966.00276051267</v>
      </c>
      <c r="M58" s="4">
        <v>24801.692883434713</v>
      </c>
      <c r="N58" s="30">
        <v>0</v>
      </c>
      <c r="O58" s="34"/>
      <c r="U58" s="27"/>
    </row>
    <row r="59" spans="1:26" x14ac:dyDescent="0.25">
      <c r="A59" t="s">
        <v>71</v>
      </c>
      <c r="B59" t="s">
        <v>16</v>
      </c>
      <c r="C59" t="s">
        <v>89</v>
      </c>
      <c r="D59" s="4">
        <v>3136804.9999999995</v>
      </c>
      <c r="E59" s="4">
        <v>2660419.7561625028</v>
      </c>
      <c r="F59" s="4">
        <v>219323.71739815475</v>
      </c>
      <c r="G59" s="4">
        <v>1710.2698432473233</v>
      </c>
      <c r="H59" s="4">
        <v>0</v>
      </c>
      <c r="I59" s="4">
        <v>0</v>
      </c>
      <c r="J59" s="4">
        <v>0</v>
      </c>
      <c r="K59" s="4">
        <v>184601.86808054306</v>
      </c>
      <c r="L59" s="4">
        <v>62329.83428723579</v>
      </c>
      <c r="M59" s="4">
        <v>8419.554228316123</v>
      </c>
      <c r="N59" s="30">
        <v>0</v>
      </c>
      <c r="O59" s="34"/>
      <c r="U59" s="27"/>
    </row>
    <row r="60" spans="1:26" x14ac:dyDescent="0.25">
      <c r="A60" t="s">
        <v>72</v>
      </c>
      <c r="B60" t="s">
        <v>73</v>
      </c>
      <c r="C60" t="s">
        <v>89</v>
      </c>
      <c r="D60" s="4">
        <v>5369535.9999999991</v>
      </c>
      <c r="E60" s="4">
        <v>3668570.4310685731</v>
      </c>
      <c r="F60" s="4">
        <v>1017036.3551399419</v>
      </c>
      <c r="G60" s="4">
        <v>537522.64417868119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30">
        <v>146406.56961280297</v>
      </c>
      <c r="O60" s="34"/>
      <c r="U60" s="27"/>
    </row>
    <row r="61" spans="1:26" x14ac:dyDescent="0.25">
      <c r="A61" t="s">
        <v>18</v>
      </c>
      <c r="D61" s="6">
        <f>SUM(D37:D60)</f>
        <v>71705825.560000002</v>
      </c>
      <c r="E61" s="6">
        <f t="shared" ref="E61:N61" si="18">SUM(E37:E60)</f>
        <v>49612118.18123439</v>
      </c>
      <c r="F61" s="6">
        <f t="shared" si="18"/>
        <v>9972254.0504178368</v>
      </c>
      <c r="G61" s="6">
        <f t="shared" si="18"/>
        <v>8404955.7986550033</v>
      </c>
      <c r="H61" s="6">
        <f t="shared" si="18"/>
        <v>0</v>
      </c>
      <c r="I61" s="6">
        <f t="shared" si="18"/>
        <v>0</v>
      </c>
      <c r="J61" s="6">
        <f t="shared" si="18"/>
        <v>0</v>
      </c>
      <c r="K61" s="6">
        <f t="shared" si="18"/>
        <v>2576008.2863799157</v>
      </c>
      <c r="L61" s="6">
        <f t="shared" si="18"/>
        <v>869775.43229709892</v>
      </c>
      <c r="M61" s="6">
        <f t="shared" si="18"/>
        <v>124307.24140295977</v>
      </c>
      <c r="N61" s="6">
        <f t="shared" si="18"/>
        <v>146406.56961280297</v>
      </c>
      <c r="O61" s="34"/>
      <c r="P61" s="6" t="s">
        <v>18</v>
      </c>
      <c r="Q61" s="6">
        <f>SUM(Q37:Q57)</f>
        <v>71705825.560000002</v>
      </c>
      <c r="R61" s="6">
        <f>SUM(R37:R57)</f>
        <v>49612118.18123439</v>
      </c>
      <c r="S61" s="6">
        <f>SUM(S37:S57)</f>
        <v>9972254.0504178368</v>
      </c>
      <c r="T61" s="6">
        <f>SUM(T37:T57)</f>
        <v>8404955.7986550033</v>
      </c>
      <c r="U61" s="27"/>
    </row>
    <row r="62" spans="1:26" x14ac:dyDescent="0.25">
      <c r="O62" s="34"/>
      <c r="U62" s="27"/>
    </row>
    <row r="63" spans="1:26" x14ac:dyDescent="0.25">
      <c r="A63" t="s">
        <v>344</v>
      </c>
      <c r="O63" s="34"/>
      <c r="U63" s="27"/>
    </row>
    <row r="64" spans="1:26" x14ac:dyDescent="0.25">
      <c r="A64" t="s">
        <v>19</v>
      </c>
      <c r="B64" t="s">
        <v>20</v>
      </c>
      <c r="C64" t="s">
        <v>79</v>
      </c>
      <c r="D64" t="s">
        <v>75</v>
      </c>
      <c r="E64" t="s">
        <v>80</v>
      </c>
      <c r="F64" t="s">
        <v>81</v>
      </c>
      <c r="G64" t="s">
        <v>99</v>
      </c>
      <c r="H64" t="s">
        <v>83</v>
      </c>
      <c r="I64" t="s">
        <v>95</v>
      </c>
      <c r="J64" t="s">
        <v>96</v>
      </c>
      <c r="K64" t="s">
        <v>100</v>
      </c>
      <c r="L64" t="s">
        <v>87</v>
      </c>
      <c r="M64" t="s">
        <v>88</v>
      </c>
      <c r="N64" s="16" t="s">
        <v>101</v>
      </c>
      <c r="O64" s="34"/>
      <c r="P64" s="28" t="s">
        <v>76</v>
      </c>
      <c r="Q64" s="28" t="s">
        <v>75</v>
      </c>
      <c r="R64" s="5" t="s">
        <v>80</v>
      </c>
      <c r="S64" s="5" t="s">
        <v>81</v>
      </c>
      <c r="T64" s="24" t="s">
        <v>82</v>
      </c>
      <c r="U64" s="27"/>
      <c r="V64" s="28"/>
      <c r="W64" s="5"/>
      <c r="X64" s="5"/>
      <c r="Y64" s="5"/>
      <c r="Z64" s="28"/>
    </row>
    <row r="65" spans="1:26" x14ac:dyDescent="0.25">
      <c r="A65" t="s">
        <v>282</v>
      </c>
      <c r="B65" t="s">
        <v>283</v>
      </c>
      <c r="C65" t="s">
        <v>89</v>
      </c>
      <c r="D65" s="29">
        <v>8387996.3290000008</v>
      </c>
      <c r="E65" s="29">
        <v>4041753.4849235057</v>
      </c>
      <c r="F65" s="29">
        <v>1427520.3434857244</v>
      </c>
      <c r="G65" s="29">
        <v>2826002.8376296181</v>
      </c>
      <c r="H65" s="29">
        <v>0</v>
      </c>
      <c r="I65" s="29">
        <v>0</v>
      </c>
      <c r="J65" s="29">
        <v>0</v>
      </c>
      <c r="K65" s="29">
        <v>76520.437943317476</v>
      </c>
      <c r="L65" s="29">
        <v>7880.5759075088827</v>
      </c>
      <c r="M65" s="29">
        <v>8318.6491103253265</v>
      </c>
      <c r="N65" s="25">
        <v>0</v>
      </c>
      <c r="O65" s="34"/>
      <c r="P65" s="28">
        <v>1815</v>
      </c>
      <c r="Q65" s="149">
        <f>D65</f>
        <v>8387996.3290000008</v>
      </c>
      <c r="R65" s="149">
        <f t="shared" ref="R65:T65" si="19">E65</f>
        <v>4041753.4849235057</v>
      </c>
      <c r="S65" s="149">
        <f t="shared" si="19"/>
        <v>1427520.3434857244</v>
      </c>
      <c r="T65" s="149">
        <f t="shared" si="19"/>
        <v>2826002.8376296181</v>
      </c>
      <c r="U65" s="27"/>
      <c r="V65" s="28"/>
      <c r="W65" s="5"/>
      <c r="X65" s="5"/>
      <c r="Y65" s="5"/>
      <c r="Z65" s="28"/>
    </row>
    <row r="66" spans="1:26" x14ac:dyDescent="0.25">
      <c r="A66" t="s">
        <v>284</v>
      </c>
      <c r="B66" t="s">
        <v>285</v>
      </c>
      <c r="C66" t="s">
        <v>89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5">
        <v>0</v>
      </c>
      <c r="O66" s="34"/>
      <c r="P66" s="28">
        <v>1820</v>
      </c>
      <c r="Q66" s="149">
        <f>SUM(D67:D69)</f>
        <v>2620170.3599999994</v>
      </c>
      <c r="R66" s="149">
        <f t="shared" ref="R66:T66" si="20">SUM(E67:E69)</f>
        <v>1081231.6906925763</v>
      </c>
      <c r="S66" s="149">
        <f t="shared" si="20"/>
        <v>597824.03234394488</v>
      </c>
      <c r="T66" s="149">
        <f t="shared" si="20"/>
        <v>921473.6249953201</v>
      </c>
      <c r="U66" s="27"/>
      <c r="V66" s="28"/>
      <c r="W66" s="5"/>
      <c r="X66" s="5"/>
      <c r="Y66" s="5"/>
      <c r="Z66" s="28"/>
    </row>
    <row r="67" spans="1:26" x14ac:dyDescent="0.25">
      <c r="A67" t="s">
        <v>286</v>
      </c>
      <c r="B67" t="s">
        <v>287</v>
      </c>
      <c r="C67" t="s">
        <v>89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5">
        <v>0</v>
      </c>
      <c r="O67" s="34"/>
      <c r="P67" s="23">
        <v>1830</v>
      </c>
      <c r="Q67" s="29">
        <f>SUM(D70:D73)</f>
        <v>15278551</v>
      </c>
      <c r="R67" s="29">
        <f>SUM(E70:E73)</f>
        <v>8805712</v>
      </c>
      <c r="S67" s="29">
        <f>SUM(F70:F73)</f>
        <v>2682434</v>
      </c>
      <c r="T67" s="25">
        <f>SUM(G70:G73)</f>
        <v>3253351</v>
      </c>
      <c r="U67" s="27"/>
      <c r="V67" s="23"/>
      <c r="W67" s="19"/>
      <c r="X67" s="19"/>
      <c r="Y67" s="19"/>
      <c r="Z67" s="19"/>
    </row>
    <row r="68" spans="1:26" x14ac:dyDescent="0.25">
      <c r="A68" t="s">
        <v>288</v>
      </c>
      <c r="B68" t="s">
        <v>289</v>
      </c>
      <c r="C68" t="s">
        <v>89</v>
      </c>
      <c r="D68" s="29">
        <v>2620170.3599999994</v>
      </c>
      <c r="E68" s="29">
        <v>1081231.6906925763</v>
      </c>
      <c r="F68" s="29">
        <v>597824.03234394488</v>
      </c>
      <c r="G68" s="29">
        <v>921473.6249953201</v>
      </c>
      <c r="H68" s="29">
        <v>0</v>
      </c>
      <c r="I68" s="29">
        <v>0</v>
      </c>
      <c r="J68" s="29">
        <v>0</v>
      </c>
      <c r="K68" s="29">
        <v>18535.747425477195</v>
      </c>
      <c r="L68" s="29">
        <v>0</v>
      </c>
      <c r="M68" s="29">
        <v>1105.2645426812298</v>
      </c>
      <c r="N68" s="25">
        <v>0</v>
      </c>
      <c r="O68" s="34"/>
      <c r="P68" s="23">
        <v>1835</v>
      </c>
      <c r="Q68" s="29">
        <f>SUM(D74:D77)</f>
        <v>9961882</v>
      </c>
      <c r="R68" s="29">
        <f>SUM(E74:E77)</f>
        <v>5741479</v>
      </c>
      <c r="S68" s="29">
        <f>SUM(F74:F77)</f>
        <v>1748994</v>
      </c>
      <c r="T68" s="25">
        <f>SUM(G74:G77)</f>
        <v>2121241</v>
      </c>
      <c r="U68" s="27"/>
      <c r="V68" s="23"/>
      <c r="W68" s="19"/>
      <c r="X68" s="19"/>
      <c r="Y68" s="19"/>
      <c r="Z68" s="19"/>
    </row>
    <row r="69" spans="1:26" x14ac:dyDescent="0.25">
      <c r="A69" t="s">
        <v>290</v>
      </c>
      <c r="B69" t="s">
        <v>291</v>
      </c>
      <c r="C69" t="s">
        <v>89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5">
        <v>0</v>
      </c>
      <c r="O69" s="34"/>
      <c r="P69" s="23">
        <v>1840</v>
      </c>
      <c r="Q69" s="29">
        <f>SUM(D78:D81)</f>
        <v>2644230</v>
      </c>
      <c r="R69" s="29">
        <f>SUM(E78:E81)</f>
        <v>1527563</v>
      </c>
      <c r="S69" s="29">
        <f>SUM(F78:F81)</f>
        <v>466081</v>
      </c>
      <c r="T69" s="25">
        <f>SUM(G78:G81)</f>
        <v>557565</v>
      </c>
      <c r="U69" s="27"/>
      <c r="V69" s="23"/>
      <c r="W69" s="19"/>
      <c r="X69" s="19"/>
      <c r="Y69" s="19"/>
      <c r="Z69" s="19"/>
    </row>
    <row r="70" spans="1:26" x14ac:dyDescent="0.25">
      <c r="A70">
        <v>1830</v>
      </c>
      <c r="B70" t="s">
        <v>22</v>
      </c>
      <c r="C70" t="s">
        <v>89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5">
        <v>0</v>
      </c>
      <c r="O70" s="34"/>
      <c r="P70" s="23">
        <v>1845</v>
      </c>
      <c r="Q70" s="29">
        <f>SUM(D82:D85)</f>
        <v>5254684</v>
      </c>
      <c r="R70" s="29">
        <f>SUM(E82:E85)</f>
        <v>3035614</v>
      </c>
      <c r="S70" s="29">
        <f>SUM(F82:F85)</f>
        <v>926209</v>
      </c>
      <c r="T70" s="25">
        <f>SUM(G82:G85)</f>
        <v>1108007</v>
      </c>
      <c r="U70" s="27"/>
      <c r="V70" s="23"/>
      <c r="W70" s="19"/>
      <c r="X70" s="19"/>
      <c r="Y70" s="19"/>
      <c r="Z70" s="19"/>
    </row>
    <row r="71" spans="1:26" x14ac:dyDescent="0.25">
      <c r="A71" t="s">
        <v>23</v>
      </c>
      <c r="B71" t="s">
        <v>24</v>
      </c>
      <c r="C71" t="s">
        <v>89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5">
        <v>0</v>
      </c>
      <c r="O71" s="34"/>
      <c r="P71" s="23">
        <v>1850</v>
      </c>
      <c r="Q71" s="29">
        <f t="shared" ref="Q71:T73" si="21">D86</f>
        <v>6559337</v>
      </c>
      <c r="R71" s="29">
        <f t="shared" si="21"/>
        <v>3870996</v>
      </c>
      <c r="S71" s="29">
        <f t="shared" si="21"/>
        <v>1198153</v>
      </c>
      <c r="T71" s="25">
        <f t="shared" si="21"/>
        <v>1257762</v>
      </c>
      <c r="U71" s="27"/>
      <c r="V71" s="23"/>
      <c r="W71" s="19"/>
      <c r="X71" s="19"/>
      <c r="Y71" s="19"/>
      <c r="Z71" s="19"/>
    </row>
    <row r="72" spans="1:26" x14ac:dyDescent="0.25">
      <c r="A72" t="s">
        <v>29</v>
      </c>
      <c r="B72" t="s">
        <v>30</v>
      </c>
      <c r="C72" t="s">
        <v>89</v>
      </c>
      <c r="D72" s="29">
        <v>14422804</v>
      </c>
      <c r="E72" s="29">
        <v>8300692</v>
      </c>
      <c r="F72" s="29">
        <v>2526120</v>
      </c>
      <c r="G72" s="29">
        <v>3089260</v>
      </c>
      <c r="H72" s="29">
        <v>0</v>
      </c>
      <c r="I72" s="29">
        <v>0</v>
      </c>
      <c r="J72" s="29">
        <v>0</v>
      </c>
      <c r="K72" s="29">
        <v>377843</v>
      </c>
      <c r="L72" s="29">
        <v>104227</v>
      </c>
      <c r="M72" s="29">
        <v>24661</v>
      </c>
      <c r="N72" s="25">
        <v>0</v>
      </c>
      <c r="O72" s="34"/>
      <c r="P72" s="23">
        <v>1855</v>
      </c>
      <c r="Q72" s="29">
        <f t="shared" si="21"/>
        <v>2537028</v>
      </c>
      <c r="R72" s="29">
        <f t="shared" si="21"/>
        <v>1766868</v>
      </c>
      <c r="S72" s="29">
        <f t="shared" si="21"/>
        <v>617023</v>
      </c>
      <c r="T72" s="25">
        <f t="shared" si="21"/>
        <v>145288</v>
      </c>
      <c r="U72" s="27"/>
      <c r="V72" s="23"/>
      <c r="W72" s="19"/>
      <c r="X72" s="19"/>
      <c r="Y72" s="19"/>
      <c r="Z72" s="19"/>
    </row>
    <row r="73" spans="1:26" x14ac:dyDescent="0.25">
      <c r="A73" t="s">
        <v>35</v>
      </c>
      <c r="B73" t="s">
        <v>36</v>
      </c>
      <c r="C73" t="s">
        <v>89</v>
      </c>
      <c r="D73" s="29">
        <v>855747</v>
      </c>
      <c r="E73" s="29">
        <v>505020</v>
      </c>
      <c r="F73" s="29">
        <v>156314</v>
      </c>
      <c r="G73" s="29">
        <v>164091</v>
      </c>
      <c r="H73" s="29">
        <v>0</v>
      </c>
      <c r="I73" s="29">
        <v>0</v>
      </c>
      <c r="J73" s="29">
        <v>0</v>
      </c>
      <c r="K73" s="29">
        <v>22653</v>
      </c>
      <c r="L73" s="29">
        <v>6193</v>
      </c>
      <c r="M73" s="29">
        <v>1477</v>
      </c>
      <c r="N73" s="25">
        <v>0</v>
      </c>
      <c r="O73" s="34"/>
      <c r="P73" s="23">
        <v>1860</v>
      </c>
      <c r="Q73" s="29">
        <f t="shared" si="21"/>
        <v>4294970</v>
      </c>
      <c r="R73" s="29">
        <f t="shared" si="21"/>
        <v>3457108</v>
      </c>
      <c r="S73" s="29">
        <f t="shared" si="21"/>
        <v>683794</v>
      </c>
      <c r="T73" s="25">
        <f t="shared" si="21"/>
        <v>154069</v>
      </c>
      <c r="U73" s="27"/>
      <c r="V73" s="23"/>
      <c r="W73" s="19"/>
      <c r="X73" s="19"/>
      <c r="Y73" s="19"/>
      <c r="Z73" s="19"/>
    </row>
    <row r="74" spans="1:26" x14ac:dyDescent="0.25">
      <c r="A74">
        <v>1835</v>
      </c>
      <c r="B74" t="s">
        <v>38</v>
      </c>
      <c r="C74" t="s">
        <v>89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5">
        <v>0</v>
      </c>
      <c r="O74" s="34"/>
      <c r="U74" s="27"/>
    </row>
    <row r="75" spans="1:26" x14ac:dyDescent="0.25">
      <c r="A75" t="s">
        <v>39</v>
      </c>
      <c r="B75" t="s">
        <v>40</v>
      </c>
      <c r="C75" t="s">
        <v>89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5">
        <v>0</v>
      </c>
      <c r="O75" s="34"/>
      <c r="U75" s="27"/>
    </row>
    <row r="76" spans="1:26" x14ac:dyDescent="0.25">
      <c r="A76" t="s">
        <v>45</v>
      </c>
      <c r="B76" t="s">
        <v>46</v>
      </c>
      <c r="C76" t="s">
        <v>89</v>
      </c>
      <c r="D76" s="29">
        <v>9403920</v>
      </c>
      <c r="E76" s="29">
        <v>5412197</v>
      </c>
      <c r="F76" s="29">
        <v>1647075</v>
      </c>
      <c r="G76" s="29">
        <v>2014251</v>
      </c>
      <c r="H76" s="29">
        <v>0</v>
      </c>
      <c r="I76" s="29">
        <v>0</v>
      </c>
      <c r="J76" s="29">
        <v>0</v>
      </c>
      <c r="K76" s="29">
        <v>246360</v>
      </c>
      <c r="L76" s="29">
        <v>67958</v>
      </c>
      <c r="M76" s="29">
        <v>16080</v>
      </c>
      <c r="N76" s="25">
        <v>0</v>
      </c>
      <c r="O76" s="34"/>
      <c r="U76" s="27"/>
    </row>
    <row r="77" spans="1:26" x14ac:dyDescent="0.25">
      <c r="A77" t="s">
        <v>51</v>
      </c>
      <c r="B77" t="s">
        <v>52</v>
      </c>
      <c r="C77" t="s">
        <v>89</v>
      </c>
      <c r="D77" s="29">
        <v>557962</v>
      </c>
      <c r="E77" s="29">
        <v>329282</v>
      </c>
      <c r="F77" s="29">
        <v>101919</v>
      </c>
      <c r="G77" s="29">
        <v>106990</v>
      </c>
      <c r="H77" s="29">
        <v>0</v>
      </c>
      <c r="I77" s="29">
        <v>0</v>
      </c>
      <c r="J77" s="29">
        <v>0</v>
      </c>
      <c r="K77" s="29">
        <v>14770</v>
      </c>
      <c r="L77" s="29">
        <v>4038</v>
      </c>
      <c r="M77" s="29">
        <v>963</v>
      </c>
      <c r="N77" s="25">
        <v>0</v>
      </c>
      <c r="O77" s="34"/>
      <c r="U77" s="27"/>
    </row>
    <row r="78" spans="1:26" x14ac:dyDescent="0.25">
      <c r="A78">
        <v>1840</v>
      </c>
      <c r="B78" t="s">
        <v>54</v>
      </c>
      <c r="C78" t="s">
        <v>89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5">
        <v>0</v>
      </c>
      <c r="O78" s="34"/>
      <c r="U78" s="27"/>
    </row>
    <row r="79" spans="1:26" x14ac:dyDescent="0.25">
      <c r="A79" t="s">
        <v>55</v>
      </c>
      <c r="B79" t="s">
        <v>56</v>
      </c>
      <c r="C79" t="s">
        <v>89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5">
        <v>0</v>
      </c>
      <c r="O79" s="34"/>
      <c r="U79" s="27"/>
    </row>
    <row r="80" spans="1:26" x14ac:dyDescent="0.25">
      <c r="A80" t="s">
        <v>57</v>
      </c>
      <c r="B80" t="s">
        <v>58</v>
      </c>
      <c r="C80" t="s">
        <v>89</v>
      </c>
      <c r="D80" s="29">
        <v>2251654</v>
      </c>
      <c r="E80" s="29">
        <v>1295884</v>
      </c>
      <c r="F80" s="29">
        <v>394372</v>
      </c>
      <c r="G80" s="29">
        <v>482288</v>
      </c>
      <c r="H80" s="29">
        <v>0</v>
      </c>
      <c r="I80" s="29">
        <v>0</v>
      </c>
      <c r="J80" s="29">
        <v>0</v>
      </c>
      <c r="K80" s="29">
        <v>58988</v>
      </c>
      <c r="L80" s="29">
        <v>16272</v>
      </c>
      <c r="M80" s="29">
        <v>3850</v>
      </c>
      <c r="N80" s="25">
        <v>0</v>
      </c>
      <c r="O80" s="34"/>
      <c r="U80" s="27"/>
    </row>
    <row r="81" spans="1:26" x14ac:dyDescent="0.25">
      <c r="A81" t="s">
        <v>59</v>
      </c>
      <c r="B81" t="s">
        <v>60</v>
      </c>
      <c r="C81" t="s">
        <v>89</v>
      </c>
      <c r="D81" s="29">
        <v>392576</v>
      </c>
      <c r="E81" s="29">
        <v>231679</v>
      </c>
      <c r="F81" s="29">
        <v>71709</v>
      </c>
      <c r="G81" s="29">
        <v>75277</v>
      </c>
      <c r="H81" s="29">
        <v>0</v>
      </c>
      <c r="I81" s="29">
        <v>0</v>
      </c>
      <c r="J81" s="29">
        <v>0</v>
      </c>
      <c r="K81" s="29">
        <v>10392</v>
      </c>
      <c r="L81" s="29">
        <v>2841</v>
      </c>
      <c r="M81" s="29">
        <v>678</v>
      </c>
      <c r="N81" s="25">
        <v>0</v>
      </c>
      <c r="O81" s="34"/>
      <c r="U81" s="27"/>
    </row>
    <row r="82" spans="1:26" x14ac:dyDescent="0.25">
      <c r="A82">
        <v>1845</v>
      </c>
      <c r="B82" t="s">
        <v>62</v>
      </c>
      <c r="C82" t="s">
        <v>89</v>
      </c>
      <c r="D82" s="29">
        <v>0</v>
      </c>
      <c r="E82" s="29">
        <v>0</v>
      </c>
      <c r="F82" s="29">
        <v>0</v>
      </c>
      <c r="G82" s="29">
        <v>0</v>
      </c>
      <c r="H82" s="29">
        <v>0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5">
        <v>0</v>
      </c>
      <c r="O82" s="34"/>
      <c r="U82" s="27"/>
    </row>
    <row r="83" spans="1:26" x14ac:dyDescent="0.25">
      <c r="A83" t="s">
        <v>63</v>
      </c>
      <c r="B83" t="s">
        <v>64</v>
      </c>
      <c r="C83" t="s">
        <v>89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5">
        <v>0</v>
      </c>
      <c r="O83" s="34"/>
      <c r="U83" s="27"/>
    </row>
    <row r="84" spans="1:26" x14ac:dyDescent="0.25">
      <c r="A84" t="s">
        <v>65</v>
      </c>
      <c r="B84" t="s">
        <v>66</v>
      </c>
      <c r="C84" t="s">
        <v>89</v>
      </c>
      <c r="D84" s="29">
        <v>4474547</v>
      </c>
      <c r="E84" s="29">
        <v>2575216</v>
      </c>
      <c r="F84" s="29">
        <v>783706</v>
      </c>
      <c r="G84" s="29">
        <v>958415</v>
      </c>
      <c r="H84" s="29">
        <v>0</v>
      </c>
      <c r="I84" s="29">
        <v>0</v>
      </c>
      <c r="J84" s="29">
        <v>0</v>
      </c>
      <c r="K84" s="29">
        <v>117222</v>
      </c>
      <c r="L84" s="29">
        <v>32336</v>
      </c>
      <c r="M84" s="29">
        <v>7651</v>
      </c>
      <c r="N84" s="25">
        <v>0</v>
      </c>
      <c r="O84" s="34"/>
      <c r="U84" s="27"/>
    </row>
    <row r="85" spans="1:26" x14ac:dyDescent="0.25">
      <c r="A85" t="s">
        <v>67</v>
      </c>
      <c r="B85" t="s">
        <v>68</v>
      </c>
      <c r="C85" t="s">
        <v>89</v>
      </c>
      <c r="D85" s="29">
        <v>780137</v>
      </c>
      <c r="E85" s="29">
        <v>460398</v>
      </c>
      <c r="F85" s="29">
        <v>142503</v>
      </c>
      <c r="G85" s="29">
        <v>149592</v>
      </c>
      <c r="H85" s="29">
        <v>0</v>
      </c>
      <c r="I85" s="29">
        <v>0</v>
      </c>
      <c r="J85" s="29">
        <v>0</v>
      </c>
      <c r="K85" s="29">
        <v>20651</v>
      </c>
      <c r="L85" s="29">
        <v>5646</v>
      </c>
      <c r="M85" s="29">
        <v>1347</v>
      </c>
      <c r="N85" s="25">
        <v>0</v>
      </c>
      <c r="O85" s="34"/>
      <c r="U85" s="27"/>
    </row>
    <row r="86" spans="1:26" x14ac:dyDescent="0.25">
      <c r="A86">
        <v>1850</v>
      </c>
      <c r="B86" t="s">
        <v>70</v>
      </c>
      <c r="C86" t="s">
        <v>89</v>
      </c>
      <c r="D86" s="29">
        <v>6559337</v>
      </c>
      <c r="E86" s="29">
        <v>3870996</v>
      </c>
      <c r="F86" s="29">
        <v>1198153</v>
      </c>
      <c r="G86" s="29">
        <v>1257762</v>
      </c>
      <c r="H86" s="29">
        <v>0</v>
      </c>
      <c r="I86" s="29">
        <v>0</v>
      </c>
      <c r="J86" s="29">
        <v>0</v>
      </c>
      <c r="K86" s="29">
        <v>173634</v>
      </c>
      <c r="L86" s="29">
        <v>47468</v>
      </c>
      <c r="M86" s="29">
        <v>11324</v>
      </c>
      <c r="N86" s="25">
        <v>0</v>
      </c>
      <c r="O86" s="34"/>
      <c r="U86" s="27"/>
    </row>
    <row r="87" spans="1:26" x14ac:dyDescent="0.25">
      <c r="A87">
        <v>1855</v>
      </c>
      <c r="B87" t="s">
        <v>16</v>
      </c>
      <c r="C87" t="s">
        <v>89</v>
      </c>
      <c r="D87" s="29">
        <v>2537028</v>
      </c>
      <c r="E87" s="29">
        <v>1766868</v>
      </c>
      <c r="F87" s="29">
        <v>617023</v>
      </c>
      <c r="G87" s="29">
        <v>145288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7849</v>
      </c>
      <c r="N87" s="25">
        <v>0</v>
      </c>
      <c r="O87" s="34"/>
      <c r="U87" s="27"/>
    </row>
    <row r="88" spans="1:26" x14ac:dyDescent="0.25">
      <c r="A88">
        <v>1860</v>
      </c>
      <c r="B88" t="s">
        <v>73</v>
      </c>
      <c r="C88" t="s">
        <v>89</v>
      </c>
      <c r="D88" s="29">
        <v>4294970</v>
      </c>
      <c r="E88" s="29">
        <v>3457108</v>
      </c>
      <c r="F88" s="29">
        <v>683794</v>
      </c>
      <c r="G88" s="29">
        <v>154069</v>
      </c>
      <c r="H88" s="29">
        <v>0</v>
      </c>
      <c r="I88" s="29">
        <v>0</v>
      </c>
      <c r="J88" s="29">
        <v>0</v>
      </c>
      <c r="K88" s="29">
        <v>0</v>
      </c>
      <c r="L88" s="29">
        <v>0</v>
      </c>
      <c r="M88" s="29">
        <v>0</v>
      </c>
      <c r="N88" s="25">
        <v>0</v>
      </c>
      <c r="O88" s="34"/>
      <c r="U88" s="27"/>
    </row>
    <row r="89" spans="1:26" x14ac:dyDescent="0.25">
      <c r="A89" t="s">
        <v>18</v>
      </c>
      <c r="D89" s="29">
        <f>SUM(D65:D88)</f>
        <v>57538848.688999996</v>
      </c>
      <c r="E89" s="29">
        <f t="shared" ref="E89:N89" si="22">SUM(E65:E88)</f>
        <v>33328325.175616082</v>
      </c>
      <c r="F89" s="29">
        <f t="shared" si="22"/>
        <v>10348032.375829669</v>
      </c>
      <c r="G89" s="29">
        <f t="shared" si="22"/>
        <v>12344759.462624937</v>
      </c>
      <c r="H89" s="29">
        <f t="shared" si="22"/>
        <v>0</v>
      </c>
      <c r="I89" s="29">
        <f t="shared" si="22"/>
        <v>0</v>
      </c>
      <c r="J89" s="29">
        <f t="shared" si="22"/>
        <v>0</v>
      </c>
      <c r="K89" s="29">
        <f t="shared" si="22"/>
        <v>1137569.1853687947</v>
      </c>
      <c r="L89" s="29">
        <f t="shared" si="22"/>
        <v>294859.5759075089</v>
      </c>
      <c r="M89" s="29">
        <f t="shared" si="22"/>
        <v>85303.913653006559</v>
      </c>
      <c r="N89" s="29">
        <f t="shared" si="22"/>
        <v>0</v>
      </c>
      <c r="O89" s="34"/>
      <c r="P89" s="6" t="s">
        <v>18</v>
      </c>
      <c r="Q89" s="6">
        <f>SUM(Q65:Q85)</f>
        <v>57538848.688999996</v>
      </c>
      <c r="R89" s="6">
        <f>SUM(R65:R85)</f>
        <v>33328325.175616082</v>
      </c>
      <c r="S89" s="6">
        <f>SUM(S65:S85)</f>
        <v>10348032.375829669</v>
      </c>
      <c r="T89" s="6">
        <f>SUM(T65:T85)</f>
        <v>12344759.462624937</v>
      </c>
      <c r="U89" s="27"/>
    </row>
    <row r="90" spans="1:26" x14ac:dyDescent="0.25">
      <c r="O90" s="34"/>
      <c r="U90" s="27"/>
    </row>
    <row r="91" spans="1:26" x14ac:dyDescent="0.25">
      <c r="O91" s="34"/>
      <c r="P91" t="s">
        <v>103</v>
      </c>
      <c r="U91" s="27"/>
      <c r="V91" t="s">
        <v>103</v>
      </c>
    </row>
    <row r="92" spans="1:26" ht="75" x14ac:dyDescent="0.25">
      <c r="O92" s="34"/>
      <c r="P92" s="28" t="s">
        <v>76</v>
      </c>
      <c r="Q92" s="28" t="s">
        <v>75</v>
      </c>
      <c r="R92" s="5" t="s">
        <v>80</v>
      </c>
      <c r="S92" s="5" t="s">
        <v>81</v>
      </c>
      <c r="T92" s="24" t="s">
        <v>82</v>
      </c>
      <c r="U92" s="27"/>
      <c r="V92" s="28" t="s">
        <v>76</v>
      </c>
      <c r="W92" s="5" t="s">
        <v>80</v>
      </c>
      <c r="X92" s="5" t="s">
        <v>81</v>
      </c>
      <c r="Y92" s="5" t="s">
        <v>82</v>
      </c>
      <c r="Z92" s="28" t="s">
        <v>91</v>
      </c>
    </row>
    <row r="93" spans="1:26" x14ac:dyDescent="0.25">
      <c r="O93" s="34"/>
      <c r="P93" s="28">
        <v>1815</v>
      </c>
      <c r="Q93" s="29">
        <f t="shared" ref="Q93:T93" si="23">Q37+Q65</f>
        <v>8387996.3290000008</v>
      </c>
      <c r="R93" s="29">
        <f t="shared" si="23"/>
        <v>4041753.4849235057</v>
      </c>
      <c r="S93" s="29">
        <f t="shared" si="23"/>
        <v>1427520.3434857244</v>
      </c>
      <c r="T93" s="29">
        <f t="shared" si="23"/>
        <v>2826002.8376296181</v>
      </c>
      <c r="U93" s="27"/>
      <c r="V93" s="28">
        <v>1815</v>
      </c>
      <c r="W93" s="19">
        <f t="shared" ref="W93:W94" si="24">R93/$Q93</f>
        <v>0.48184969644655951</v>
      </c>
      <c r="X93" s="19">
        <f t="shared" ref="X93:X94" si="25">S93/$Q93</f>
        <v>0.17018609540282315</v>
      </c>
      <c r="Y93" s="19">
        <f t="shared" ref="Y93:Y94" si="26">T93/$Q93</f>
        <v>0.33691035698945376</v>
      </c>
      <c r="Z93" s="19">
        <f t="shared" ref="Z93:Z94" si="27">SUM(W93:Y93)</f>
        <v>0.98894614883883647</v>
      </c>
    </row>
    <row r="94" spans="1:26" x14ac:dyDescent="0.25">
      <c r="O94" s="34"/>
      <c r="P94" s="28">
        <v>1820</v>
      </c>
      <c r="Q94" s="29">
        <f t="shared" ref="Q94:T94" si="28">Q38+Q66</f>
        <v>3089167.3599999994</v>
      </c>
      <c r="R94" s="29">
        <f t="shared" si="28"/>
        <v>1302981.6898944331</v>
      </c>
      <c r="S94" s="29">
        <f t="shared" si="28"/>
        <v>689248.10112700029</v>
      </c>
      <c r="T94" s="29">
        <f t="shared" si="28"/>
        <v>1077180.0997883519</v>
      </c>
      <c r="U94" s="27"/>
      <c r="V94" s="28">
        <v>1820</v>
      </c>
      <c r="W94" s="19">
        <f t="shared" si="24"/>
        <v>0.42179057915930895</v>
      </c>
      <c r="X94" s="19">
        <f t="shared" si="25"/>
        <v>0.223117759837719</v>
      </c>
      <c r="Y94" s="19">
        <f t="shared" si="26"/>
        <v>0.3486959346185608</v>
      </c>
      <c r="Z94" s="19">
        <f t="shared" si="27"/>
        <v>0.99360427361558878</v>
      </c>
    </row>
    <row r="95" spans="1:26" x14ac:dyDescent="0.25">
      <c r="O95" s="34"/>
      <c r="P95" s="23">
        <v>1830</v>
      </c>
      <c r="Q95" s="29">
        <f t="shared" ref="Q95:T101" si="29">Q39+Q67</f>
        <v>38389561.579999998</v>
      </c>
      <c r="R95" s="29">
        <f t="shared" si="29"/>
        <v>24571313.087066751</v>
      </c>
      <c r="S95" s="29">
        <f t="shared" si="29"/>
        <v>5845148.7026075609</v>
      </c>
      <c r="T95" s="29">
        <f t="shared" si="29"/>
        <v>6216819.2090416066</v>
      </c>
      <c r="U95" s="27"/>
      <c r="V95" s="23">
        <v>1830</v>
      </c>
      <c r="W95" s="19">
        <f>R95/$Q95</f>
        <v>0.6400519327594455</v>
      </c>
      <c r="X95" s="19">
        <f t="shared" ref="X95:X101" si="30">S95/$Q95</f>
        <v>0.15225880322771743</v>
      </c>
      <c r="Y95" s="19">
        <f t="shared" ref="Y95:Y101" si="31">T95/$Q95</f>
        <v>0.16194035443948424</v>
      </c>
      <c r="Z95" s="19">
        <f>SUM(W95:Y95)</f>
        <v>0.95425109042664724</v>
      </c>
    </row>
    <row r="96" spans="1:26" x14ac:dyDescent="0.25">
      <c r="O96" s="34"/>
      <c r="P96" s="23">
        <v>1835</v>
      </c>
      <c r="Q96" s="29">
        <f t="shared" si="29"/>
        <v>24971547.980000004</v>
      </c>
      <c r="R96" s="29">
        <f t="shared" si="29"/>
        <v>16062095.767885286</v>
      </c>
      <c r="S96" s="29">
        <f t="shared" si="29"/>
        <v>3791613.135042035</v>
      </c>
      <c r="T96" s="29">
        <f t="shared" si="29"/>
        <v>3971871.1840923359</v>
      </c>
      <c r="U96" s="27"/>
      <c r="V96" s="23">
        <v>1835</v>
      </c>
      <c r="W96" s="19">
        <f t="shared" ref="W96:W101" si="32">R96/$Q96</f>
        <v>0.64321586233859429</v>
      </c>
      <c r="X96" s="19">
        <f t="shared" si="30"/>
        <v>0.15183732855002746</v>
      </c>
      <c r="Y96" s="19">
        <f t="shared" si="31"/>
        <v>0.15905586579067715</v>
      </c>
      <c r="Z96" s="19">
        <f t="shared" ref="Z96:Z101" si="33">SUM(W96:Y96)</f>
        <v>0.95410905667929891</v>
      </c>
    </row>
    <row r="97" spans="15:26" x14ac:dyDescent="0.25">
      <c r="O97" s="34"/>
      <c r="P97" s="23">
        <v>1840</v>
      </c>
      <c r="Q97" s="29">
        <f t="shared" si="29"/>
        <v>4712948</v>
      </c>
      <c r="R97" s="29">
        <f t="shared" si="29"/>
        <v>2964049.89342112</v>
      </c>
      <c r="S97" s="29">
        <f t="shared" si="29"/>
        <v>745636.22168717044</v>
      </c>
      <c r="T97" s="29">
        <f t="shared" si="29"/>
        <v>799876.68406833918</v>
      </c>
      <c r="U97" s="27"/>
      <c r="V97" s="23">
        <v>1840</v>
      </c>
      <c r="W97" s="19">
        <f t="shared" si="32"/>
        <v>0.62891631594940578</v>
      </c>
      <c r="X97" s="19">
        <f t="shared" si="30"/>
        <v>0.15821015247508999</v>
      </c>
      <c r="Y97" s="19">
        <f t="shared" si="31"/>
        <v>0.16971897081579071</v>
      </c>
      <c r="Z97" s="19">
        <f t="shared" si="33"/>
        <v>0.95684543924028642</v>
      </c>
    </row>
    <row r="98" spans="15:26" x14ac:dyDescent="0.25">
      <c r="O98" s="34"/>
      <c r="P98" s="23">
        <v>1845</v>
      </c>
      <c r="Q98" s="29">
        <f t="shared" si="29"/>
        <v>14236893</v>
      </c>
      <c r="R98" s="29">
        <f t="shared" si="29"/>
        <v>9272725.8260049112</v>
      </c>
      <c r="S98" s="29">
        <f t="shared" si="29"/>
        <v>2140015.5353690051</v>
      </c>
      <c r="T98" s="29">
        <f t="shared" si="29"/>
        <v>2160105.0575621193</v>
      </c>
      <c r="U98" s="27"/>
      <c r="V98" s="23">
        <v>1845</v>
      </c>
      <c r="W98" s="19">
        <f t="shared" si="32"/>
        <v>0.6513166760475696</v>
      </c>
      <c r="X98" s="19">
        <f t="shared" si="30"/>
        <v>0.15031478675642257</v>
      </c>
      <c r="Y98" s="19">
        <f t="shared" si="31"/>
        <v>0.15172587569226792</v>
      </c>
      <c r="Z98" s="19">
        <f t="shared" si="33"/>
        <v>0.95335733849626014</v>
      </c>
    </row>
    <row r="99" spans="15:26" x14ac:dyDescent="0.25">
      <c r="O99" s="34"/>
      <c r="P99" s="23">
        <v>1850</v>
      </c>
      <c r="Q99" s="29">
        <f t="shared" si="29"/>
        <v>20118221</v>
      </c>
      <c r="R99" s="29">
        <f t="shared" si="29"/>
        <v>13172557.420423387</v>
      </c>
      <c r="S99" s="29">
        <f t="shared" si="29"/>
        <v>3143927.3143909108</v>
      </c>
      <c r="T99" s="29">
        <f t="shared" si="29"/>
        <v>2859270.2750756415</v>
      </c>
      <c r="U99" s="27"/>
      <c r="V99" s="23">
        <v>1850</v>
      </c>
      <c r="W99" s="19">
        <f t="shared" si="32"/>
        <v>0.65475756630883941</v>
      </c>
      <c r="X99" s="19">
        <f t="shared" si="30"/>
        <v>0.15627263038769237</v>
      </c>
      <c r="Y99" s="19">
        <f t="shared" si="31"/>
        <v>0.14212341514071455</v>
      </c>
      <c r="Z99" s="19">
        <f t="shared" si="33"/>
        <v>0.95315361183724634</v>
      </c>
    </row>
    <row r="100" spans="15:26" x14ac:dyDescent="0.25">
      <c r="O100" s="34"/>
      <c r="P100" s="23">
        <v>1855</v>
      </c>
      <c r="Q100" s="29">
        <f t="shared" si="29"/>
        <v>5673833</v>
      </c>
      <c r="R100" s="29">
        <f t="shared" si="29"/>
        <v>4427287.7561625028</v>
      </c>
      <c r="S100" s="29">
        <f t="shared" si="29"/>
        <v>836346.71739815478</v>
      </c>
      <c r="T100" s="29">
        <f t="shared" si="29"/>
        <v>146998.26984324731</v>
      </c>
      <c r="U100" s="27"/>
      <c r="V100" s="23">
        <v>1855</v>
      </c>
      <c r="W100" s="19">
        <f t="shared" si="32"/>
        <v>0.7802992714382857</v>
      </c>
      <c r="X100" s="19">
        <f t="shared" si="30"/>
        <v>0.14740418292151969</v>
      </c>
      <c r="Y100" s="19">
        <f t="shared" si="31"/>
        <v>2.5908106538075286E-2</v>
      </c>
      <c r="Z100" s="19">
        <f t="shared" si="33"/>
        <v>0.95361156089788068</v>
      </c>
    </row>
    <row r="101" spans="15:26" x14ac:dyDescent="0.25">
      <c r="O101" s="34"/>
      <c r="P101" s="23">
        <v>1860</v>
      </c>
      <c r="Q101" s="29">
        <f t="shared" si="29"/>
        <v>9664506</v>
      </c>
      <c r="R101" s="29">
        <f t="shared" si="29"/>
        <v>7125678.4310685731</v>
      </c>
      <c r="S101" s="29">
        <f t="shared" si="29"/>
        <v>1700830.3551399419</v>
      </c>
      <c r="T101" s="29">
        <f t="shared" si="29"/>
        <v>691591.64417868119</v>
      </c>
      <c r="U101" s="27"/>
      <c r="V101" s="23">
        <v>1860</v>
      </c>
      <c r="W101" s="19">
        <f t="shared" si="32"/>
        <v>0.73730394818613321</v>
      </c>
      <c r="X101" s="19">
        <f t="shared" si="30"/>
        <v>0.17598730396979856</v>
      </c>
      <c r="Y101" s="19">
        <f t="shared" si="31"/>
        <v>7.1559958075320271E-2</v>
      </c>
      <c r="Z101" s="19">
        <f t="shared" si="33"/>
        <v>0.98485121023125199</v>
      </c>
    </row>
    <row r="102" spans="15:26" x14ac:dyDescent="0.25">
      <c r="O102" s="34"/>
      <c r="U102" s="27"/>
    </row>
    <row r="103" spans="15:26" x14ac:dyDescent="0.25">
      <c r="O103" s="34"/>
      <c r="U103" s="27"/>
    </row>
  </sheetData>
  <pageMargins left="0.7" right="0.7" top="0.75" bottom="0.75" header="0.3" footer="0.3"/>
  <pageSetup paperSize="17" scale="49" orientation="landscape" r:id="rId1"/>
  <ignoredErrors>
    <ignoredError sqref="Q9:T13 Q38:T43 Q66:T70" formulaRange="1"/>
    <ignoredError sqref="A8:A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32"/>
  <sheetViews>
    <sheetView zoomScaleNormal="100" workbookViewId="0"/>
  </sheetViews>
  <sheetFormatPr defaultRowHeight="15" x14ac:dyDescent="0.25"/>
  <cols>
    <col min="1" max="1" width="5.85546875" customWidth="1"/>
    <col min="2" max="2" width="11.42578125" customWidth="1"/>
    <col min="3" max="3" width="32.42578125" bestFit="1" customWidth="1"/>
    <col min="4" max="4" width="14.5703125" bestFit="1" customWidth="1"/>
    <col min="5" max="5" width="10.140625" customWidth="1"/>
    <col min="8" max="8" width="5.42578125" bestFit="1" customWidth="1"/>
    <col min="9" max="9" width="14.5703125" customWidth="1"/>
    <col min="10" max="10" width="12.140625" bestFit="1" customWidth="1"/>
    <col min="11" max="11" width="14.85546875" bestFit="1" customWidth="1"/>
    <col min="12" max="12" width="14.5703125" bestFit="1" customWidth="1"/>
  </cols>
  <sheetData>
    <row r="1" spans="1:13" x14ac:dyDescent="0.25">
      <c r="A1" s="37" t="s">
        <v>105</v>
      </c>
    </row>
    <row r="4" spans="1:13" x14ac:dyDescent="0.25">
      <c r="A4" t="s">
        <v>345</v>
      </c>
      <c r="B4" s="8"/>
      <c r="C4" s="8"/>
    </row>
    <row r="5" spans="1:13" x14ac:dyDescent="0.25">
      <c r="B5" s="8"/>
      <c r="C5" s="8"/>
      <c r="G5" s="16"/>
      <c r="H5" s="326"/>
      <c r="I5" s="327"/>
      <c r="J5" s="327"/>
      <c r="K5" s="327"/>
    </row>
    <row r="6" spans="1:13" x14ac:dyDescent="0.25">
      <c r="A6" t="s">
        <v>106</v>
      </c>
      <c r="B6" s="8"/>
      <c r="C6" s="8"/>
    </row>
    <row r="7" spans="1:13" ht="30" x14ac:dyDescent="0.25">
      <c r="A7" s="46"/>
      <c r="B7" s="47"/>
      <c r="C7" s="47"/>
      <c r="D7" s="48"/>
      <c r="E7" s="41" t="s">
        <v>108</v>
      </c>
      <c r="F7" s="41"/>
      <c r="G7" s="41"/>
      <c r="H7" s="41"/>
      <c r="I7" s="41" t="s">
        <v>109</v>
      </c>
      <c r="J7" s="41"/>
      <c r="K7" s="41"/>
      <c r="L7" s="41"/>
    </row>
    <row r="8" spans="1:13" ht="30" x14ac:dyDescent="0.25">
      <c r="A8" s="42" t="s">
        <v>1</v>
      </c>
      <c r="B8" s="43"/>
      <c r="C8" s="42"/>
      <c r="D8" s="31" t="s">
        <v>331</v>
      </c>
      <c r="E8" s="33" t="s">
        <v>80</v>
      </c>
      <c r="F8" s="33" t="s">
        <v>81</v>
      </c>
      <c r="G8" s="33" t="s">
        <v>82</v>
      </c>
      <c r="H8" s="33" t="s">
        <v>75</v>
      </c>
      <c r="I8" s="33" t="s">
        <v>80</v>
      </c>
      <c r="J8" s="33" t="s">
        <v>81</v>
      </c>
      <c r="K8" s="33" t="s">
        <v>82</v>
      </c>
      <c r="L8" s="33" t="s">
        <v>75</v>
      </c>
      <c r="M8" s="38" t="s">
        <v>110</v>
      </c>
    </row>
    <row r="9" spans="1:13" x14ac:dyDescent="0.25">
      <c r="A9" s="42"/>
      <c r="B9" s="43">
        <v>1815</v>
      </c>
      <c r="C9" s="42" t="s">
        <v>280</v>
      </c>
      <c r="D9" s="44">
        <f>'1. Forecast Acq GBV'!X10</f>
        <v>62466.300628798468</v>
      </c>
      <c r="E9" s="159">
        <f>E23</f>
        <v>0.48184969644655951</v>
      </c>
      <c r="F9" s="159">
        <f t="shared" ref="F9:G9" si="0">F23</f>
        <v>0.17018609540282315</v>
      </c>
      <c r="G9" s="159">
        <f t="shared" si="0"/>
        <v>0.33691035698945376</v>
      </c>
      <c r="H9" s="159">
        <f>SUM(E9:G9)</f>
        <v>0.98894614883883647</v>
      </c>
      <c r="I9" s="32">
        <f t="shared" ref="I9:I10" si="1">E9*$D9</f>
        <v>30099.367996126071</v>
      </c>
      <c r="J9" s="32">
        <f t="shared" ref="J9:J10" si="2">F9*$D9</f>
        <v>10630.895798274127</v>
      </c>
      <c r="K9" s="32">
        <f t="shared" ref="K9:K10" si="3">G9*$D9</f>
        <v>21045.543644659032</v>
      </c>
      <c r="L9" s="32">
        <f t="shared" ref="L9:L10" si="4">H9*$D9</f>
        <v>61775.807439059237</v>
      </c>
      <c r="M9" s="39">
        <f t="shared" ref="M9:M10" si="5">SUM(I9:K9)-L9</f>
        <v>0</v>
      </c>
    </row>
    <row r="10" spans="1:13" x14ac:dyDescent="0.25">
      <c r="A10" s="42"/>
      <c r="B10" s="43">
        <v>1820</v>
      </c>
      <c r="C10" s="42" t="s">
        <v>281</v>
      </c>
      <c r="D10" s="44">
        <f>'1. Forecast Acq GBV'!X11</f>
        <v>866727.13637307764</v>
      </c>
      <c r="E10" s="45">
        <f>'2. Acq Last CAM outputs'!W9</f>
        <v>0.30868313971088146</v>
      </c>
      <c r="F10" s="45">
        <f>'2. Acq Last CAM outputs'!X9</f>
        <v>0.17472015335829136</v>
      </c>
      <c r="G10" s="45">
        <f>'2. Acq Last CAM outputs'!Y9</f>
        <v>0.29150343573383547</v>
      </c>
      <c r="H10" s="45">
        <f>'2. Acq Last CAM outputs'!Z9</f>
        <v>0.77490672880300826</v>
      </c>
      <c r="I10" s="32">
        <f t="shared" si="1"/>
        <v>267544.05372826295</v>
      </c>
      <c r="J10" s="32">
        <f t="shared" si="2"/>
        <v>151434.69818689683</v>
      </c>
      <c r="K10" s="32">
        <f t="shared" si="3"/>
        <v>252653.9380965007</v>
      </c>
      <c r="L10" s="32">
        <f t="shared" si="4"/>
        <v>671632.69001166045</v>
      </c>
      <c r="M10" s="39">
        <f t="shared" si="5"/>
        <v>0</v>
      </c>
    </row>
    <row r="11" spans="1:13" x14ac:dyDescent="0.25">
      <c r="A11" s="42"/>
      <c r="B11" s="43">
        <v>1830</v>
      </c>
      <c r="C11" s="42" t="s">
        <v>2</v>
      </c>
      <c r="D11" s="44">
        <f>'1. Forecast Acq GBV'!X12</f>
        <v>17444266.979465496</v>
      </c>
      <c r="E11" s="45">
        <f>'2. Acq Last CAM outputs'!W10</f>
        <v>0.56985155205963156</v>
      </c>
      <c r="F11" s="45">
        <f>'2. Acq Last CAM outputs'!X10</f>
        <v>0.10883904620573388</v>
      </c>
      <c r="G11" s="45">
        <f>'2. Acq Last CAM outputs'!Y10</f>
        <v>0.14875066455279554</v>
      </c>
      <c r="H11" s="45">
        <f>'2. Acq Last CAM outputs'!Z10</f>
        <v>0.82744126281816099</v>
      </c>
      <c r="I11" s="32">
        <f>E11*$D11</f>
        <v>9940642.6127909943</v>
      </c>
      <c r="J11" s="32">
        <f>F11*$D11</f>
        <v>1898617.379803203</v>
      </c>
      <c r="K11" s="32">
        <f>G11*$D11</f>
        <v>2594846.3058318798</v>
      </c>
      <c r="L11" s="32">
        <f>H11*$D11</f>
        <v>14434106.298426077</v>
      </c>
      <c r="M11" s="39">
        <f>SUM(I11:K11)-L11</f>
        <v>0</v>
      </c>
    </row>
    <row r="12" spans="1:13" x14ac:dyDescent="0.25">
      <c r="A12" s="42"/>
      <c r="B12" s="43">
        <v>1835</v>
      </c>
      <c r="C12" s="42" t="s">
        <v>3</v>
      </c>
      <c r="D12" s="44">
        <f>'1. Forecast Acq GBV'!X13</f>
        <v>9375753.715386251</v>
      </c>
      <c r="E12" s="45">
        <f>'2. Acq Last CAM outputs'!W11</f>
        <v>0.64309765252527518</v>
      </c>
      <c r="F12" s="45">
        <f>'2. Acq Last CAM outputs'!X11</f>
        <v>8.701224519302482E-2</v>
      </c>
      <c r="G12" s="45">
        <f>'2. Acq Last CAM outputs'!Y11</f>
        <v>0.11891984904400134</v>
      </c>
      <c r="H12" s="45">
        <f>'2. Acq Last CAM outputs'!Z11</f>
        <v>0.84902974676230136</v>
      </c>
      <c r="I12" s="32">
        <f t="shared" ref="I12:I31" si="6">E12*$D12</f>
        <v>6029525.2050200254</v>
      </c>
      <c r="J12" s="32">
        <f t="shared" ref="J12:J31" si="7">F12*$D12</f>
        <v>815805.38115260191</v>
      </c>
      <c r="K12" s="32">
        <f t="shared" ref="K12:K31" si="8">G12*$D12</f>
        <v>1114963.2165074677</v>
      </c>
      <c r="L12" s="32">
        <f t="shared" ref="L12:L31" si="9">H12*$D12</f>
        <v>7960293.8026800947</v>
      </c>
      <c r="M12" s="39">
        <f t="shared" ref="M12:M31" si="10">SUM(I12:K12)-L12</f>
        <v>0</v>
      </c>
    </row>
    <row r="13" spans="1:13" x14ac:dyDescent="0.25">
      <c r="A13" s="42"/>
      <c r="B13" s="43">
        <v>1840</v>
      </c>
      <c r="C13" s="42" t="s">
        <v>4</v>
      </c>
      <c r="D13" s="44">
        <f>'1. Forecast Acq GBV'!X14</f>
        <v>5247732.2020000005</v>
      </c>
      <c r="E13" s="45">
        <f>'2. Acq Last CAM outputs'!W12</f>
        <v>0.67270596694147422</v>
      </c>
      <c r="F13" s="45">
        <f>'2. Acq Last CAM outputs'!X12</f>
        <v>7.8189003204788707E-2</v>
      </c>
      <c r="G13" s="45">
        <f>'2. Acq Last CAM outputs'!Y12</f>
        <v>0.10686129258129703</v>
      </c>
      <c r="H13" s="45">
        <f>'2. Acq Last CAM outputs'!Z12</f>
        <v>0.85775626272756</v>
      </c>
      <c r="I13" s="32">
        <f t="shared" si="6"/>
        <v>3530180.765196322</v>
      </c>
      <c r="J13" s="32">
        <f t="shared" si="7"/>
        <v>410314.94996005093</v>
      </c>
      <c r="K13" s="32">
        <f t="shared" si="8"/>
        <v>560779.44622621615</v>
      </c>
      <c r="L13" s="32">
        <f t="shared" si="9"/>
        <v>4501275.1613825895</v>
      </c>
      <c r="M13" s="39">
        <f t="shared" si="10"/>
        <v>0</v>
      </c>
    </row>
    <row r="14" spans="1:13" x14ac:dyDescent="0.25">
      <c r="A14" s="42"/>
      <c r="B14" s="43">
        <v>1845</v>
      </c>
      <c r="C14" s="42" t="s">
        <v>5</v>
      </c>
      <c r="D14" s="44">
        <f>'1. Forecast Acq GBV'!X15</f>
        <v>9765316.4751648325</v>
      </c>
      <c r="E14" s="45">
        <f>'2. Acq Last CAM outputs'!W13</f>
        <v>0.67270581903402882</v>
      </c>
      <c r="F14" s="45">
        <f>'2. Acq Last CAM outputs'!X13</f>
        <v>7.8189037979969414E-2</v>
      </c>
      <c r="G14" s="45">
        <f>'2. Acq Last CAM outputs'!Y13</f>
        <v>0.10686134196570625</v>
      </c>
      <c r="H14" s="45">
        <f>'2. Acq Last CAM outputs'!Z13</f>
        <v>0.85775619897970456</v>
      </c>
      <c r="I14" s="32">
        <f t="shared" si="6"/>
        <v>6569185.217552254</v>
      </c>
      <c r="J14" s="32">
        <f t="shared" si="7"/>
        <v>763540.70076308411</v>
      </c>
      <c r="K14" s="32">
        <f t="shared" si="8"/>
        <v>1043534.8232559344</v>
      </c>
      <c r="L14" s="32">
        <f t="shared" si="9"/>
        <v>8376260.7415712737</v>
      </c>
      <c r="M14" s="39">
        <f t="shared" si="10"/>
        <v>0</v>
      </c>
    </row>
    <row r="15" spans="1:13" x14ac:dyDescent="0.25">
      <c r="A15" s="42"/>
      <c r="B15" s="43">
        <v>1850</v>
      </c>
      <c r="C15" s="42" t="s">
        <v>6</v>
      </c>
      <c r="D15" s="44">
        <f>'1. Forecast Acq GBV'!X16</f>
        <v>12255864.084741635</v>
      </c>
      <c r="E15" s="45">
        <f>'2. Acq Last CAM outputs'!W14</f>
        <v>0.57593170870769472</v>
      </c>
      <c r="F15" s="45">
        <f>'2. Acq Last CAM outputs'!X14</f>
        <v>0.17552799807283465</v>
      </c>
      <c r="G15" s="45">
        <f>'2. Acq Last CAM outputs'!Y14</f>
        <v>0.18868008634374023</v>
      </c>
      <c r="H15" s="45">
        <f>'2. Acq Last CAM outputs'!Z14</f>
        <v>0.94013979312426954</v>
      </c>
      <c r="I15" s="32">
        <f t="shared" si="6"/>
        <v>7058540.7440145174</v>
      </c>
      <c r="J15" s="32">
        <f t="shared" si="7"/>
        <v>2151247.287447453</v>
      </c>
      <c r="K15" s="32">
        <f t="shared" si="8"/>
        <v>2312437.4937261967</v>
      </c>
      <c r="L15" s="32">
        <f t="shared" si="9"/>
        <v>11522225.525188167</v>
      </c>
      <c r="M15" s="39">
        <f t="shared" si="10"/>
        <v>0</v>
      </c>
    </row>
    <row r="16" spans="1:13" x14ac:dyDescent="0.25">
      <c r="A16" s="42"/>
      <c r="B16" s="43">
        <v>1855</v>
      </c>
      <c r="C16" s="42" t="s">
        <v>16</v>
      </c>
      <c r="D16" s="44">
        <f>'1. Forecast Acq GBV'!X17</f>
        <v>0</v>
      </c>
      <c r="E16" s="45">
        <f>'2. Acq Last CAM outputs'!W15</f>
        <v>0.83908029054150046</v>
      </c>
      <c r="F16" s="45">
        <f>'2. Acq Last CAM outputs'!X15</f>
        <v>0</v>
      </c>
      <c r="G16" s="45">
        <f>'2. Acq Last CAM outputs'!Y15</f>
        <v>0</v>
      </c>
      <c r="H16" s="45">
        <f>'2. Acq Last CAM outputs'!Z15</f>
        <v>0.83908029054150046</v>
      </c>
      <c r="I16" s="32">
        <f t="shared" si="6"/>
        <v>0</v>
      </c>
      <c r="J16" s="32">
        <f t="shared" si="7"/>
        <v>0</v>
      </c>
      <c r="K16" s="32">
        <f t="shared" si="8"/>
        <v>0</v>
      </c>
      <c r="L16" s="32">
        <f t="shared" si="9"/>
        <v>0</v>
      </c>
      <c r="M16" s="39">
        <f t="shared" si="10"/>
        <v>0</v>
      </c>
    </row>
    <row r="17" spans="1:13" x14ac:dyDescent="0.25">
      <c r="A17" s="42"/>
      <c r="B17" s="43">
        <v>1860</v>
      </c>
      <c r="C17" s="42" t="s">
        <v>7</v>
      </c>
      <c r="D17" s="44">
        <f>'1. Forecast Acq GBV'!X18</f>
        <v>8177000.5119136833</v>
      </c>
      <c r="E17" s="45">
        <f>'2. Acq Last CAM outputs'!W16</f>
        <v>0.31635720646796289</v>
      </c>
      <c r="F17" s="45">
        <f>'2. Acq Last CAM outputs'!X16</f>
        <v>0.42838154076570251</v>
      </c>
      <c r="G17" s="45">
        <f>'2. Acq Last CAM outputs'!Y16</f>
        <v>0.22313201030188579</v>
      </c>
      <c r="H17" s="45">
        <f>'2. Acq Last CAM outputs'!Z16</f>
        <v>0.96787075753555118</v>
      </c>
      <c r="I17" s="32">
        <f t="shared" si="6"/>
        <v>2586853.0392361153</v>
      </c>
      <c r="J17" s="32">
        <f t="shared" si="7"/>
        <v>3502876.0781355216</v>
      </c>
      <c r="K17" s="32">
        <f t="shared" si="8"/>
        <v>1824550.5624628493</v>
      </c>
      <c r="L17" s="32">
        <f t="shared" si="9"/>
        <v>7914279.6798344869</v>
      </c>
      <c r="M17" s="39">
        <f t="shared" si="10"/>
        <v>0</v>
      </c>
    </row>
    <row r="18" spans="1:13" x14ac:dyDescent="0.25">
      <c r="A18" s="20"/>
      <c r="B18" s="21"/>
      <c r="C18" s="20" t="s">
        <v>18</v>
      </c>
      <c r="D18" s="6">
        <f>SUM(D9:D17)</f>
        <v>63195127.405673772</v>
      </c>
      <c r="I18" s="7"/>
      <c r="J18" s="7"/>
      <c r="K18" s="7"/>
      <c r="L18" s="6"/>
      <c r="M18" s="39"/>
    </row>
    <row r="19" spans="1:13" x14ac:dyDescent="0.25">
      <c r="G19" s="16"/>
      <c r="H19" s="326"/>
      <c r="I19" s="327"/>
      <c r="J19" s="327"/>
      <c r="K19" s="327"/>
      <c r="L19" s="6"/>
      <c r="M19" s="39"/>
    </row>
    <row r="20" spans="1:13" x14ac:dyDescent="0.25">
      <c r="A20" t="s">
        <v>107</v>
      </c>
      <c r="I20" s="6"/>
      <c r="J20" s="6"/>
      <c r="K20" s="6"/>
      <c r="L20" s="6"/>
      <c r="M20" s="39"/>
    </row>
    <row r="21" spans="1:13" ht="30" x14ac:dyDescent="0.25">
      <c r="A21" s="46"/>
      <c r="B21" s="47"/>
      <c r="C21" s="47"/>
      <c r="D21" s="48"/>
      <c r="E21" s="41" t="s">
        <v>108</v>
      </c>
      <c r="F21" s="41"/>
      <c r="G21" s="41"/>
      <c r="H21" s="41"/>
      <c r="I21" s="41" t="s">
        <v>109</v>
      </c>
      <c r="J21" s="41"/>
      <c r="K21" s="41"/>
      <c r="L21" s="41"/>
      <c r="M21" s="40"/>
    </row>
    <row r="22" spans="1:13" ht="30" x14ac:dyDescent="0.25">
      <c r="A22" s="42" t="s">
        <v>1</v>
      </c>
      <c r="B22" s="43"/>
      <c r="C22" s="42"/>
      <c r="D22" s="31" t="s">
        <v>331</v>
      </c>
      <c r="E22" s="33" t="s">
        <v>80</v>
      </c>
      <c r="F22" s="33" t="s">
        <v>81</v>
      </c>
      <c r="G22" s="33" t="s">
        <v>82</v>
      </c>
      <c r="H22" s="33" t="s">
        <v>75</v>
      </c>
      <c r="I22" s="33" t="s">
        <v>80</v>
      </c>
      <c r="J22" s="33" t="s">
        <v>81</v>
      </c>
      <c r="K22" s="33" t="s">
        <v>82</v>
      </c>
      <c r="L22" s="33" t="s">
        <v>75</v>
      </c>
      <c r="M22" s="38" t="s">
        <v>110</v>
      </c>
    </row>
    <row r="23" spans="1:13" x14ac:dyDescent="0.25">
      <c r="A23" s="42"/>
      <c r="B23" s="43">
        <v>1815</v>
      </c>
      <c r="C23" s="42" t="s">
        <v>280</v>
      </c>
      <c r="D23" s="44">
        <f>'1. Forecast Acq GBV'!X24+'1. Forecast Acq GBV'!X38</f>
        <v>8541745.8506359495</v>
      </c>
      <c r="E23" s="159">
        <f>'2. Acq Last CAM outputs'!W93</f>
        <v>0.48184969644655951</v>
      </c>
      <c r="F23" s="159">
        <f>'2. Acq Last CAM outputs'!X93</f>
        <v>0.17018609540282315</v>
      </c>
      <c r="G23" s="159">
        <f>'2. Acq Last CAM outputs'!Y93</f>
        <v>0.33691035698945376</v>
      </c>
      <c r="H23" s="159">
        <f>'2. Acq Last CAM outputs'!Z93</f>
        <v>0.98894614883883647</v>
      </c>
      <c r="I23" s="32">
        <f t="shared" ref="I23:I24" si="11">E23*$D23</f>
        <v>4115837.6452525915</v>
      </c>
      <c r="J23" s="32">
        <f t="shared" ref="J23:J24" si="12">F23*$D23</f>
        <v>1453686.3742429984</v>
      </c>
      <c r="K23" s="32">
        <f t="shared" ref="K23:K24" si="13">G23*$D23</f>
        <v>2877802.6438509431</v>
      </c>
      <c r="L23" s="32">
        <f t="shared" ref="L23:L24" si="14">H23*$D23</f>
        <v>8447326.6633465327</v>
      </c>
      <c r="M23" s="39">
        <f t="shared" ref="M23:M24" si="15">SUM(I23:K23)-L23</f>
        <v>0</v>
      </c>
    </row>
    <row r="24" spans="1:13" x14ac:dyDescent="0.25">
      <c r="A24" s="42"/>
      <c r="B24" s="43">
        <v>1820</v>
      </c>
      <c r="C24" s="42" t="s">
        <v>281</v>
      </c>
      <c r="D24" s="44">
        <f>'1. Forecast Acq GBV'!X25+'1. Forecast Acq GBV'!X39</f>
        <v>4128420.3963823328</v>
      </c>
      <c r="E24" s="45">
        <f>'2. Acq Last CAM outputs'!W94</f>
        <v>0.42179057915930895</v>
      </c>
      <c r="F24" s="45">
        <f>'2. Acq Last CAM outputs'!X94</f>
        <v>0.223117759837719</v>
      </c>
      <c r="G24" s="45">
        <f>'2. Acq Last CAM outputs'!Y94</f>
        <v>0.3486959346185608</v>
      </c>
      <c r="H24" s="45">
        <f>'2. Acq Last CAM outputs'!Z94</f>
        <v>0.99360427361558878</v>
      </c>
      <c r="I24" s="32">
        <f t="shared" si="11"/>
        <v>1741328.830003208</v>
      </c>
      <c r="J24" s="32">
        <f t="shared" si="12"/>
        <v>921123.91050917399</v>
      </c>
      <c r="K24" s="32">
        <f t="shared" si="13"/>
        <v>1439563.4086148667</v>
      </c>
      <c r="L24" s="32">
        <f t="shared" si="14"/>
        <v>4102016.1491272487</v>
      </c>
      <c r="M24" s="39">
        <f t="shared" si="15"/>
        <v>0</v>
      </c>
    </row>
    <row r="25" spans="1:13" x14ac:dyDescent="0.25">
      <c r="A25" s="42"/>
      <c r="B25" s="43">
        <v>1830</v>
      </c>
      <c r="C25" s="42" t="s">
        <v>2</v>
      </c>
      <c r="D25" s="44">
        <f>'1. Forecast Acq GBV'!X26+'1. Forecast Acq GBV'!X40</f>
        <v>60963837.758462586</v>
      </c>
      <c r="E25" s="45">
        <f>'2. Acq Last CAM outputs'!W95</f>
        <v>0.6400519327594455</v>
      </c>
      <c r="F25" s="45">
        <f>'2. Acq Last CAM outputs'!X95</f>
        <v>0.15225880322771743</v>
      </c>
      <c r="G25" s="45">
        <f>'2. Acq Last CAM outputs'!Y95</f>
        <v>0.16194035443948424</v>
      </c>
      <c r="H25" s="45">
        <f>'2. Acq Last CAM outputs'!Z95</f>
        <v>0.95425109042664724</v>
      </c>
      <c r="I25" s="32">
        <f t="shared" si="6"/>
        <v>39020022.185737237</v>
      </c>
      <c r="J25" s="32">
        <f t="shared" si="7"/>
        <v>9282280.9772722442</v>
      </c>
      <c r="K25" s="32">
        <f t="shared" si="8"/>
        <v>9872505.4945966434</v>
      </c>
      <c r="L25" s="32">
        <f t="shared" si="9"/>
        <v>58174808.657606132</v>
      </c>
      <c r="M25" s="39">
        <f t="shared" si="10"/>
        <v>0</v>
      </c>
    </row>
    <row r="26" spans="1:13" x14ac:dyDescent="0.25">
      <c r="A26" s="42"/>
      <c r="B26" s="43">
        <v>1835</v>
      </c>
      <c r="C26" s="42" t="s">
        <v>3</v>
      </c>
      <c r="D26" s="44">
        <f>'1. Forecast Acq GBV'!X27+'1. Forecast Acq GBV'!X41</f>
        <v>36306214.32471206</v>
      </c>
      <c r="E26" s="45">
        <f>'2. Acq Last CAM outputs'!W96</f>
        <v>0.64321586233859429</v>
      </c>
      <c r="F26" s="45">
        <f>'2. Acq Last CAM outputs'!X96</f>
        <v>0.15183732855002746</v>
      </c>
      <c r="G26" s="45">
        <f>'2. Acq Last CAM outputs'!Y96</f>
        <v>0.15905586579067715</v>
      </c>
      <c r="H26" s="45">
        <f>'2. Acq Last CAM outputs'!Z96</f>
        <v>0.95410905667929891</v>
      </c>
      <c r="I26" s="32">
        <f t="shared" si="6"/>
        <v>23352732.955119494</v>
      </c>
      <c r="J26" s="32">
        <f t="shared" si="7"/>
        <v>5512638.5928290188</v>
      </c>
      <c r="K26" s="32">
        <f t="shared" si="8"/>
        <v>5774716.3529989617</v>
      </c>
      <c r="L26" s="32">
        <f t="shared" si="9"/>
        <v>34640087.900947474</v>
      </c>
      <c r="M26" s="39">
        <f t="shared" si="10"/>
        <v>0</v>
      </c>
    </row>
    <row r="27" spans="1:13" x14ac:dyDescent="0.25">
      <c r="A27" s="42"/>
      <c r="B27" s="43">
        <v>1840</v>
      </c>
      <c r="C27" s="42" t="s">
        <v>4</v>
      </c>
      <c r="D27" s="44">
        <f>'1. Forecast Acq GBV'!X28+'1. Forecast Acq GBV'!X42</f>
        <v>6739962.6790000005</v>
      </c>
      <c r="E27" s="45">
        <f>'2. Acq Last CAM outputs'!W97</f>
        <v>0.62891631594940578</v>
      </c>
      <c r="F27" s="45">
        <f>'2. Acq Last CAM outputs'!X97</f>
        <v>0.15821015247508999</v>
      </c>
      <c r="G27" s="45">
        <f>'2. Acq Last CAM outputs'!Y97</f>
        <v>0.16971897081579071</v>
      </c>
      <c r="H27" s="45">
        <f>'2. Acq Last CAM outputs'!Z97</f>
        <v>0.95684543924028642</v>
      </c>
      <c r="I27" s="32">
        <f t="shared" si="6"/>
        <v>4238872.4977131682</v>
      </c>
      <c r="J27" s="32">
        <f t="shared" si="7"/>
        <v>1066330.5231210061</v>
      </c>
      <c r="K27" s="32">
        <f t="shared" si="8"/>
        <v>1143899.5292167196</v>
      </c>
      <c r="L27" s="32">
        <f t="shared" si="9"/>
        <v>6449102.5500508929</v>
      </c>
      <c r="M27" s="39">
        <f t="shared" si="10"/>
        <v>0</v>
      </c>
    </row>
    <row r="28" spans="1:13" x14ac:dyDescent="0.25">
      <c r="A28" s="42"/>
      <c r="B28" s="43">
        <v>1845</v>
      </c>
      <c r="C28" s="42" t="s">
        <v>5</v>
      </c>
      <c r="D28" s="44">
        <f>'1. Forecast Acq GBV'!X29+'1. Forecast Acq GBV'!X43</f>
        <v>17267476.651423249</v>
      </c>
      <c r="E28" s="45">
        <f>'2. Acq Last CAM outputs'!W98</f>
        <v>0.6513166760475696</v>
      </c>
      <c r="F28" s="45">
        <f>'2. Acq Last CAM outputs'!X98</f>
        <v>0.15031478675642257</v>
      </c>
      <c r="G28" s="45">
        <f>'2. Acq Last CAM outputs'!Y98</f>
        <v>0.15172587569226792</v>
      </c>
      <c r="H28" s="45">
        <f>'2. Acq Last CAM outputs'!Z98</f>
        <v>0.95335733849626014</v>
      </c>
      <c r="I28" s="32">
        <f t="shared" si="6"/>
        <v>11246595.496334009</v>
      </c>
      <c r="J28" s="32">
        <f t="shared" si="7"/>
        <v>2595557.0706801913</v>
      </c>
      <c r="K28" s="32">
        <f t="shared" si="8"/>
        <v>2619923.0159329828</v>
      </c>
      <c r="L28" s="32">
        <f t="shared" si="9"/>
        <v>16462075.582947183</v>
      </c>
      <c r="M28" s="39">
        <f t="shared" si="10"/>
        <v>0</v>
      </c>
    </row>
    <row r="29" spans="1:13" x14ac:dyDescent="0.25">
      <c r="A29" s="42"/>
      <c r="B29" s="43">
        <v>1850</v>
      </c>
      <c r="C29" s="42" t="s">
        <v>6</v>
      </c>
      <c r="D29" s="44">
        <f>'1. Forecast Acq GBV'!X30+'1. Forecast Acq GBV'!X44</f>
        <v>46541738.608461976</v>
      </c>
      <c r="E29" s="45">
        <f>'2. Acq Last CAM outputs'!W99</f>
        <v>0.65475756630883941</v>
      </c>
      <c r="F29" s="45">
        <f>'2. Acq Last CAM outputs'!X99</f>
        <v>0.15627263038769237</v>
      </c>
      <c r="G29" s="45">
        <f>'2. Acq Last CAM outputs'!Y99</f>
        <v>0.14212341514071455</v>
      </c>
      <c r="H29" s="45">
        <f>'2. Acq Last CAM outputs'!Z99</f>
        <v>0.95315361183724634</v>
      </c>
      <c r="I29" s="32">
        <f t="shared" si="6"/>
        <v>30473555.503058713</v>
      </c>
      <c r="J29" s="32">
        <f t="shared" si="7"/>
        <v>7273199.9151607705</v>
      </c>
      <c r="K29" s="32">
        <f t="shared" si="8"/>
        <v>6614670.8376210639</v>
      </c>
      <c r="L29" s="32">
        <f t="shared" si="9"/>
        <v>44361426.255840547</v>
      </c>
      <c r="M29" s="39">
        <f t="shared" si="10"/>
        <v>0</v>
      </c>
    </row>
    <row r="30" spans="1:13" x14ac:dyDescent="0.25">
      <c r="A30" s="42"/>
      <c r="B30" s="43">
        <v>1855</v>
      </c>
      <c r="C30" s="42" t="s">
        <v>16</v>
      </c>
      <c r="D30" s="44">
        <f>'1. Forecast Acq GBV'!X31+'1. Forecast Acq GBV'!X45</f>
        <v>6346106.0959670004</v>
      </c>
      <c r="E30" s="45">
        <f>'2. Acq Last CAM outputs'!W100</f>
        <v>0.7802992714382857</v>
      </c>
      <c r="F30" s="45">
        <f>'2. Acq Last CAM outputs'!X100</f>
        <v>0.14740418292151969</v>
      </c>
      <c r="G30" s="45">
        <f>'2. Acq Last CAM outputs'!Y100</f>
        <v>2.5908106538075286E-2</v>
      </c>
      <c r="H30" s="45">
        <f>'2. Acq Last CAM outputs'!Z100</f>
        <v>0.95361156089788068</v>
      </c>
      <c r="I30" s="32">
        <f t="shared" si="6"/>
        <v>4951861.9631531136</v>
      </c>
      <c r="J30" s="32">
        <f t="shared" si="7"/>
        <v>935442.5838092909</v>
      </c>
      <c r="K30" s="32">
        <f t="shared" si="8"/>
        <v>164415.59283624208</v>
      </c>
      <c r="L30" s="32">
        <f t="shared" si="9"/>
        <v>6051720.1397986468</v>
      </c>
      <c r="M30" s="39">
        <f t="shared" si="10"/>
        <v>0</v>
      </c>
    </row>
    <row r="31" spans="1:13" x14ac:dyDescent="0.25">
      <c r="A31" s="42"/>
      <c r="B31" s="43">
        <v>1860</v>
      </c>
      <c r="C31" s="42" t="s">
        <v>7</v>
      </c>
      <c r="D31" s="44">
        <f>'1. Forecast Acq GBV'!X32+'1. Forecast Acq GBV'!X46</f>
        <v>15773981.294457644</v>
      </c>
      <c r="E31" s="45">
        <f>'2. Acq Last CAM outputs'!W101</f>
        <v>0.73730394818613321</v>
      </c>
      <c r="F31" s="45">
        <f>'2. Acq Last CAM outputs'!X101</f>
        <v>0.17598730396979856</v>
      </c>
      <c r="G31" s="45">
        <f>'2. Acq Last CAM outputs'!Y101</f>
        <v>7.1559958075320271E-2</v>
      </c>
      <c r="H31" s="45">
        <f>'2. Acq Last CAM outputs'!Z101</f>
        <v>0.98485121023125199</v>
      </c>
      <c r="I31" s="32">
        <f t="shared" si="6"/>
        <v>11630218.687017834</v>
      </c>
      <c r="J31" s="32">
        <f t="shared" si="7"/>
        <v>2776020.4408816341</v>
      </c>
      <c r="K31" s="32">
        <f t="shared" si="8"/>
        <v>1128785.4401122753</v>
      </c>
      <c r="L31" s="32">
        <f t="shared" si="9"/>
        <v>15535024.568011742</v>
      </c>
      <c r="M31" s="39">
        <f t="shared" si="10"/>
        <v>0</v>
      </c>
    </row>
    <row r="32" spans="1:13" x14ac:dyDescent="0.25">
      <c r="A32" s="20"/>
      <c r="B32" s="21"/>
      <c r="C32" s="20" t="s">
        <v>18</v>
      </c>
      <c r="D32" s="6">
        <f>SUM(D23:D31)</f>
        <v>202609483.65950277</v>
      </c>
      <c r="I32" s="6"/>
      <c r="J32" s="6"/>
      <c r="K32" s="6"/>
      <c r="L32" s="6">
        <f>SUM(L23:L31)</f>
        <v>194223588.46767637</v>
      </c>
      <c r="M32" s="6"/>
    </row>
  </sheetData>
  <pageMargins left="0.7" right="0.7" top="0.75" bottom="0.75" header="0.3" footer="0.3"/>
  <pageSetup paperSize="17" scale="98" fitToHeight="0" orientation="landscape" r:id="rId1"/>
  <headerFooter>
    <oddHeader>&amp;A</oddHeader>
    <oddFooter>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H45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68.5703125" defaultRowHeight="11.25" x14ac:dyDescent="0.2"/>
  <cols>
    <col min="1" max="1" width="15.42578125" style="160" customWidth="1"/>
    <col min="2" max="2" width="22.5703125" style="160" customWidth="1"/>
    <col min="3" max="3" width="16.7109375" style="160" customWidth="1"/>
    <col min="4" max="4" width="12.5703125" style="160" bestFit="1" customWidth="1"/>
    <col min="5" max="5" width="11.5703125" style="160" bestFit="1" customWidth="1"/>
    <col min="6" max="9" width="12.5703125" style="160" bestFit="1" customWidth="1"/>
    <col min="10" max="10" width="2.42578125" style="160" customWidth="1"/>
    <col min="11" max="11" width="6.5703125" style="161" bestFit="1" customWidth="1"/>
    <col min="12" max="14" width="14.42578125" style="160" bestFit="1" customWidth="1"/>
    <col min="15" max="15" width="15.42578125" style="160" bestFit="1" customWidth="1"/>
    <col min="16" max="17" width="14.42578125" style="160" bestFit="1" customWidth="1"/>
    <col min="18" max="18" width="4.140625" style="160" customWidth="1"/>
    <col min="19" max="19" width="9.42578125" style="160" customWidth="1"/>
    <col min="20" max="22" width="13.42578125" style="160" customWidth="1"/>
    <col min="23" max="23" width="13.5703125" style="160" bestFit="1" customWidth="1"/>
    <col min="24" max="25" width="13.42578125" style="160" customWidth="1"/>
    <col min="26" max="26" width="1.42578125" style="160" customWidth="1"/>
    <col min="27" max="33" width="13.42578125" style="160" customWidth="1"/>
    <col min="34" max="34" width="1.5703125" style="160" customWidth="1"/>
    <col min="35" max="40" width="13.42578125" style="160" customWidth="1"/>
    <col min="41" max="16384" width="68.5703125" style="160"/>
  </cols>
  <sheetData>
    <row r="1" spans="1:34" x14ac:dyDescent="0.2">
      <c r="A1" s="328" t="s">
        <v>111</v>
      </c>
    </row>
    <row r="2" spans="1:34" ht="12" thickBot="1" x14ac:dyDescent="0.25">
      <c r="C2" s="160" t="s">
        <v>112</v>
      </c>
      <c r="K2" s="161" t="s">
        <v>113</v>
      </c>
      <c r="S2" s="160" t="s">
        <v>114</v>
      </c>
      <c r="AA2" s="160" t="s">
        <v>115</v>
      </c>
    </row>
    <row r="3" spans="1:34" ht="12" thickBot="1" x14ac:dyDescent="0.25">
      <c r="A3" s="162"/>
      <c r="B3" s="162"/>
      <c r="C3" s="162"/>
      <c r="D3" s="163"/>
      <c r="E3" s="163"/>
      <c r="F3" s="163"/>
      <c r="G3" s="163"/>
      <c r="H3" s="163"/>
      <c r="I3" s="163"/>
      <c r="J3" s="164"/>
      <c r="K3" s="165"/>
      <c r="L3" s="165"/>
      <c r="M3" s="165"/>
      <c r="N3" s="165"/>
      <c r="O3" s="165"/>
      <c r="P3" s="165"/>
      <c r="Q3" s="165"/>
      <c r="S3" s="166"/>
      <c r="T3" s="166"/>
      <c r="U3" s="166"/>
      <c r="V3" s="166"/>
      <c r="W3" s="166"/>
      <c r="X3" s="166"/>
      <c r="Y3" s="166"/>
    </row>
    <row r="4" spans="1:34" ht="12" thickBot="1" x14ac:dyDescent="0.25">
      <c r="A4" s="167" t="s">
        <v>19</v>
      </c>
      <c r="B4" s="167" t="s">
        <v>20</v>
      </c>
      <c r="C4" s="329" t="s">
        <v>75</v>
      </c>
      <c r="D4" s="168" t="s">
        <v>274</v>
      </c>
      <c r="E4" s="168" t="s">
        <v>275</v>
      </c>
      <c r="F4" s="168" t="s">
        <v>276</v>
      </c>
      <c r="G4" s="168" t="s">
        <v>277</v>
      </c>
      <c r="H4" s="168" t="s">
        <v>278</v>
      </c>
      <c r="I4" s="168" t="s">
        <v>279</v>
      </c>
      <c r="J4" s="169"/>
      <c r="K4" s="170" t="s">
        <v>76</v>
      </c>
      <c r="L4" s="170" t="s">
        <v>274</v>
      </c>
      <c r="M4" s="170" t="s">
        <v>275</v>
      </c>
      <c r="N4" s="170" t="s">
        <v>276</v>
      </c>
      <c r="O4" s="170" t="s">
        <v>277</v>
      </c>
      <c r="P4" s="170" t="s">
        <v>278</v>
      </c>
      <c r="Q4" s="170" t="s">
        <v>279</v>
      </c>
      <c r="S4" s="170" t="s">
        <v>76</v>
      </c>
      <c r="T4" s="170" t="s">
        <v>274</v>
      </c>
      <c r="U4" s="170" t="s">
        <v>275</v>
      </c>
      <c r="V4" s="170" t="s">
        <v>276</v>
      </c>
      <c r="W4" s="170" t="s">
        <v>277</v>
      </c>
      <c r="X4" s="170" t="s">
        <v>278</v>
      </c>
      <c r="Y4" s="170" t="s">
        <v>279</v>
      </c>
      <c r="AA4" s="170" t="s">
        <v>76</v>
      </c>
      <c r="AB4" s="170" t="s">
        <v>274</v>
      </c>
      <c r="AC4" s="170" t="s">
        <v>275</v>
      </c>
      <c r="AD4" s="170" t="s">
        <v>276</v>
      </c>
      <c r="AE4" s="170" t="s">
        <v>277</v>
      </c>
      <c r="AF4" s="170" t="s">
        <v>278</v>
      </c>
      <c r="AG4" s="170" t="s">
        <v>279</v>
      </c>
    </row>
    <row r="5" spans="1:34" ht="33.75" x14ac:dyDescent="0.2">
      <c r="A5" s="330" t="s">
        <v>282</v>
      </c>
      <c r="B5" s="171" t="s">
        <v>283</v>
      </c>
      <c r="C5" s="172">
        <v>0</v>
      </c>
      <c r="D5" s="172">
        <v>0</v>
      </c>
      <c r="E5" s="172">
        <v>0</v>
      </c>
      <c r="F5" s="172">
        <v>0</v>
      </c>
      <c r="G5" s="172">
        <v>0</v>
      </c>
      <c r="H5" s="172">
        <v>0</v>
      </c>
      <c r="I5" s="172">
        <v>0</v>
      </c>
      <c r="J5" s="173"/>
      <c r="K5" s="173"/>
      <c r="L5" s="173"/>
      <c r="M5" s="173"/>
      <c r="N5" s="173"/>
      <c r="O5" s="173"/>
      <c r="P5" s="173"/>
      <c r="Q5" s="173"/>
      <c r="S5" s="173"/>
      <c r="T5" s="173"/>
      <c r="U5" s="173"/>
      <c r="V5" s="173"/>
      <c r="W5" s="173"/>
      <c r="X5" s="173"/>
      <c r="Y5" s="173"/>
      <c r="AA5" s="173"/>
      <c r="AB5" s="173"/>
      <c r="AC5" s="173"/>
      <c r="AD5" s="173"/>
      <c r="AE5" s="173"/>
      <c r="AF5" s="173"/>
      <c r="AG5" s="173"/>
    </row>
    <row r="6" spans="1:34" x14ac:dyDescent="0.2">
      <c r="A6" s="330" t="s">
        <v>292</v>
      </c>
      <c r="B6" s="171" t="s">
        <v>293</v>
      </c>
      <c r="C6" s="172">
        <v>199756867.58735511</v>
      </c>
      <c r="D6" s="172">
        <v>1416875.4701258347</v>
      </c>
      <c r="E6" s="172">
        <v>379646.56589653634</v>
      </c>
      <c r="F6" s="172">
        <v>1018397.437917535</v>
      </c>
      <c r="G6" s="172">
        <v>3991982.459451972</v>
      </c>
      <c r="H6" s="172">
        <v>1108852.1576665516</v>
      </c>
      <c r="I6" s="172">
        <v>1807275.0879622975</v>
      </c>
      <c r="J6" s="173"/>
      <c r="K6" s="174"/>
      <c r="L6" s="175"/>
      <c r="M6" s="175"/>
      <c r="N6" s="175"/>
      <c r="O6" s="175"/>
      <c r="P6" s="175"/>
      <c r="Q6" s="175"/>
      <c r="S6" s="173"/>
      <c r="T6" s="173"/>
      <c r="U6" s="173"/>
      <c r="V6" s="173"/>
      <c r="W6" s="173"/>
      <c r="X6" s="173"/>
      <c r="Y6" s="173"/>
      <c r="AA6" s="173"/>
      <c r="AB6" s="173"/>
      <c r="AC6" s="173"/>
      <c r="AD6" s="173"/>
      <c r="AE6" s="173"/>
      <c r="AF6" s="173"/>
      <c r="AG6" s="173"/>
      <c r="AH6" s="175">
        <f>SUM(J22:J23)</f>
        <v>0</v>
      </c>
    </row>
    <row r="7" spans="1:34" x14ac:dyDescent="0.2">
      <c r="A7" s="330" t="s">
        <v>294</v>
      </c>
      <c r="B7" s="171" t="s">
        <v>295</v>
      </c>
      <c r="C7" s="172">
        <v>52943893.349070117</v>
      </c>
      <c r="D7" s="172">
        <v>0</v>
      </c>
      <c r="E7" s="172">
        <v>0</v>
      </c>
      <c r="F7" s="172">
        <v>0</v>
      </c>
      <c r="G7" s="172">
        <v>0</v>
      </c>
      <c r="H7" s="172">
        <v>0</v>
      </c>
      <c r="I7" s="172">
        <v>0</v>
      </c>
      <c r="J7" s="173"/>
      <c r="K7" s="173"/>
      <c r="L7" s="173"/>
      <c r="M7" s="173"/>
      <c r="N7" s="173"/>
      <c r="O7" s="173"/>
      <c r="P7" s="173"/>
      <c r="Q7" s="173"/>
      <c r="S7" s="173"/>
      <c r="T7" s="173"/>
      <c r="U7" s="173"/>
      <c r="V7" s="173"/>
      <c r="W7" s="173"/>
      <c r="X7" s="173"/>
      <c r="Y7" s="173"/>
      <c r="AA7" s="173"/>
      <c r="AB7" s="173"/>
      <c r="AC7" s="173"/>
      <c r="AD7" s="173"/>
      <c r="AE7" s="173"/>
      <c r="AF7" s="173"/>
      <c r="AG7" s="173"/>
    </row>
    <row r="8" spans="1:34" ht="22.5" x14ac:dyDescent="0.2">
      <c r="A8" s="330" t="s">
        <v>284</v>
      </c>
      <c r="B8" s="171" t="s">
        <v>285</v>
      </c>
      <c r="C8" s="176">
        <v>0</v>
      </c>
      <c r="D8" s="172">
        <v>0</v>
      </c>
      <c r="E8" s="172">
        <v>0</v>
      </c>
      <c r="F8" s="172">
        <v>0</v>
      </c>
      <c r="G8" s="172">
        <v>0</v>
      </c>
      <c r="H8" s="172">
        <v>0</v>
      </c>
      <c r="I8" s="172">
        <v>0</v>
      </c>
      <c r="J8" s="173"/>
      <c r="K8" s="173"/>
      <c r="L8" s="173"/>
      <c r="M8" s="173"/>
      <c r="N8" s="173"/>
      <c r="O8" s="173"/>
      <c r="P8" s="173"/>
      <c r="Q8" s="173"/>
      <c r="S8" s="173"/>
      <c r="T8" s="173"/>
      <c r="U8" s="173"/>
      <c r="V8" s="173"/>
      <c r="W8" s="173"/>
      <c r="X8" s="173"/>
      <c r="Y8" s="173"/>
      <c r="AA8" s="173"/>
      <c r="AB8" s="173"/>
      <c r="AC8" s="173"/>
      <c r="AD8" s="173"/>
      <c r="AE8" s="173"/>
      <c r="AF8" s="173"/>
      <c r="AG8" s="173"/>
    </row>
    <row r="9" spans="1:34" ht="33.75" x14ac:dyDescent="0.2">
      <c r="A9" s="330" t="s">
        <v>286</v>
      </c>
      <c r="B9" s="171" t="s">
        <v>287</v>
      </c>
      <c r="C9" s="176">
        <v>0</v>
      </c>
      <c r="D9" s="172">
        <v>0</v>
      </c>
      <c r="E9" s="172">
        <v>0</v>
      </c>
      <c r="F9" s="172">
        <v>0</v>
      </c>
      <c r="G9" s="172">
        <v>0</v>
      </c>
      <c r="H9" s="172">
        <v>0</v>
      </c>
      <c r="I9" s="172">
        <v>0</v>
      </c>
      <c r="J9" s="173"/>
      <c r="K9" s="174"/>
      <c r="L9" s="173"/>
      <c r="M9" s="173"/>
      <c r="N9" s="173"/>
      <c r="O9" s="173"/>
      <c r="P9" s="173"/>
      <c r="Q9" s="173"/>
      <c r="S9" s="173"/>
      <c r="T9" s="173"/>
      <c r="U9" s="173"/>
      <c r="V9" s="173"/>
      <c r="W9" s="173"/>
      <c r="X9" s="173"/>
      <c r="Y9" s="173"/>
      <c r="AA9" s="173"/>
      <c r="AB9" s="173"/>
      <c r="AC9" s="173"/>
      <c r="AD9" s="173"/>
      <c r="AE9" s="173"/>
      <c r="AF9" s="173"/>
      <c r="AG9" s="173"/>
    </row>
    <row r="10" spans="1:34" ht="33.75" x14ac:dyDescent="0.2">
      <c r="A10" s="330" t="s">
        <v>288</v>
      </c>
      <c r="B10" s="171" t="s">
        <v>289</v>
      </c>
      <c r="C10" s="176">
        <v>825585052.72160637</v>
      </c>
      <c r="D10" s="172">
        <v>4709080.915298095</v>
      </c>
      <c r="E10" s="172">
        <v>2538347.0262594083</v>
      </c>
      <c r="F10" s="172">
        <v>7538342.4963987796</v>
      </c>
      <c r="G10" s="172">
        <v>13204533.612201141</v>
      </c>
      <c r="H10" s="172">
        <v>6822171.116826497</v>
      </c>
      <c r="I10" s="172">
        <v>14490339.572738435</v>
      </c>
      <c r="J10" s="173"/>
      <c r="K10" s="174">
        <v>1820</v>
      </c>
      <c r="L10" s="175">
        <f>D10</f>
        <v>4709080.915298095</v>
      </c>
      <c r="M10" s="175">
        <f t="shared" ref="M10:Q11" si="0">E10</f>
        <v>2538347.0262594083</v>
      </c>
      <c r="N10" s="175">
        <f t="shared" si="0"/>
        <v>7538342.4963987796</v>
      </c>
      <c r="O10" s="175">
        <f t="shared" si="0"/>
        <v>13204533.612201141</v>
      </c>
      <c r="P10" s="175">
        <f t="shared" si="0"/>
        <v>6822171.116826497</v>
      </c>
      <c r="Q10" s="175">
        <f t="shared" si="0"/>
        <v>14490339.572738435</v>
      </c>
      <c r="S10" s="160">
        <v>1815</v>
      </c>
      <c r="T10" s="176">
        <f t="shared" ref="T10:Y18" si="1">SUMIF($K:$K,$S10,L:L)</f>
        <v>0</v>
      </c>
      <c r="U10" s="176">
        <f t="shared" ref="U10:U11" si="2">SUMIF($K:$K,$S10,M:M)</f>
        <v>0</v>
      </c>
      <c r="V10" s="176">
        <f t="shared" ref="V10:V11" si="3">SUMIF($K:$K,$S10,N:N)</f>
        <v>0</v>
      </c>
      <c r="W10" s="176">
        <f t="shared" ref="W10:W11" si="4">SUMIF($K:$K,$S10,O:O)</f>
        <v>0</v>
      </c>
      <c r="X10" s="176">
        <f t="shared" ref="X10:X11" si="5">SUMIF($K:$K,$S10,P:P)</f>
        <v>0</v>
      </c>
      <c r="Y10" s="176">
        <f t="shared" ref="Y10:Y11" si="6">SUMIF($K:$K,$S10,Q:Q)</f>
        <v>0</v>
      </c>
      <c r="AA10" s="160">
        <v>1815</v>
      </c>
      <c r="AB10" s="175">
        <f>D6</f>
        <v>1416875.4701258347</v>
      </c>
      <c r="AC10" s="175">
        <f t="shared" ref="AC10:AG10" si="7">E6</f>
        <v>379646.56589653634</v>
      </c>
      <c r="AD10" s="175">
        <f t="shared" si="7"/>
        <v>1018397.437917535</v>
      </c>
      <c r="AE10" s="175">
        <f t="shared" si="7"/>
        <v>3991982.459451972</v>
      </c>
      <c r="AF10" s="175">
        <f t="shared" si="7"/>
        <v>1108852.1576665516</v>
      </c>
      <c r="AG10" s="175">
        <f t="shared" si="7"/>
        <v>1807275.0879622975</v>
      </c>
    </row>
    <row r="11" spans="1:34" ht="33.75" x14ac:dyDescent="0.2">
      <c r="A11" s="330" t="s">
        <v>290</v>
      </c>
      <c r="B11" s="171" t="s">
        <v>291</v>
      </c>
      <c r="C11" s="176">
        <v>102209712.50881362</v>
      </c>
      <c r="D11" s="172">
        <v>498916.69611192239</v>
      </c>
      <c r="E11" s="172">
        <v>172851.16414128407</v>
      </c>
      <c r="F11" s="172">
        <v>489828.65370572126</v>
      </c>
      <c r="G11" s="172">
        <v>1419589.0435513186</v>
      </c>
      <c r="H11" s="172">
        <v>495659.05329475127</v>
      </c>
      <c r="I11" s="172">
        <v>955541.36178055126</v>
      </c>
      <c r="J11" s="173"/>
      <c r="K11" s="174">
        <v>1820</v>
      </c>
      <c r="L11" s="175">
        <f>D11</f>
        <v>498916.69611192239</v>
      </c>
      <c r="M11" s="175">
        <f t="shared" si="0"/>
        <v>172851.16414128407</v>
      </c>
      <c r="N11" s="175">
        <f t="shared" si="0"/>
        <v>489828.65370572126</v>
      </c>
      <c r="O11" s="175">
        <f t="shared" si="0"/>
        <v>1419589.0435513186</v>
      </c>
      <c r="P11" s="175">
        <f t="shared" si="0"/>
        <v>495659.05329475127</v>
      </c>
      <c r="Q11" s="175">
        <f t="shared" si="0"/>
        <v>955541.36178055126</v>
      </c>
      <c r="S11" s="160">
        <v>1820</v>
      </c>
      <c r="T11" s="176">
        <f t="shared" si="1"/>
        <v>5207997.6114100171</v>
      </c>
      <c r="U11" s="176">
        <f t="shared" si="2"/>
        <v>2711198.1904006926</v>
      </c>
      <c r="V11" s="176">
        <f t="shared" si="3"/>
        <v>8028171.1501045004</v>
      </c>
      <c r="W11" s="176">
        <f t="shared" si="4"/>
        <v>14624122.65575246</v>
      </c>
      <c r="X11" s="176">
        <f t="shared" si="5"/>
        <v>7317830.1701212479</v>
      </c>
      <c r="Y11" s="176">
        <f t="shared" si="6"/>
        <v>15445880.934518985</v>
      </c>
      <c r="AA11" s="160">
        <v>1820</v>
      </c>
      <c r="AB11" s="175">
        <v>0</v>
      </c>
      <c r="AC11" s="175">
        <v>0</v>
      </c>
      <c r="AD11" s="175">
        <v>0</v>
      </c>
      <c r="AE11" s="175">
        <v>0</v>
      </c>
      <c r="AF11" s="175">
        <v>0</v>
      </c>
      <c r="AG11" s="175">
        <v>0</v>
      </c>
    </row>
    <row r="12" spans="1:34" x14ac:dyDescent="0.2">
      <c r="A12" s="177" t="s">
        <v>21</v>
      </c>
      <c r="B12" s="178" t="s">
        <v>22</v>
      </c>
      <c r="C12" s="176">
        <v>0</v>
      </c>
      <c r="D12" s="172">
        <v>0</v>
      </c>
      <c r="E12" s="172">
        <v>0</v>
      </c>
      <c r="F12" s="172">
        <v>0</v>
      </c>
      <c r="G12" s="172">
        <v>0</v>
      </c>
      <c r="H12" s="172">
        <v>0</v>
      </c>
      <c r="I12" s="172">
        <v>0</v>
      </c>
      <c r="J12" s="176"/>
      <c r="K12" s="174"/>
      <c r="S12" s="160">
        <v>1830</v>
      </c>
      <c r="T12" s="176">
        <f t="shared" si="1"/>
        <v>25720593.251443431</v>
      </c>
      <c r="U12" s="176">
        <f t="shared" si="1"/>
        <v>6988956.7768715462</v>
      </c>
      <c r="V12" s="176">
        <f t="shared" si="1"/>
        <v>8315608.365901636</v>
      </c>
      <c r="W12" s="176">
        <f t="shared" si="1"/>
        <v>67774963.216904849</v>
      </c>
      <c r="X12" s="176">
        <f t="shared" si="1"/>
        <v>19292009.534864169</v>
      </c>
      <c r="Y12" s="176">
        <f t="shared" si="1"/>
        <v>15930166.338334594</v>
      </c>
      <c r="AA12" s="160">
        <v>1830</v>
      </c>
      <c r="AB12" s="175">
        <f t="shared" ref="AB12:AG12" si="8">SUM(D14:D15)</f>
        <v>12526417.188089944</v>
      </c>
      <c r="AC12" s="175">
        <f t="shared" si="8"/>
        <v>3356407.3686894602</v>
      </c>
      <c r="AD12" s="175">
        <f t="shared" si="8"/>
        <v>9003523.2027159147</v>
      </c>
      <c r="AE12" s="175">
        <f t="shared" si="8"/>
        <v>35292613.041138843</v>
      </c>
      <c r="AF12" s="175">
        <f t="shared" si="8"/>
        <v>9803221.9624857567</v>
      </c>
      <c r="AG12" s="175">
        <f t="shared" si="8"/>
        <v>15977890.93169008</v>
      </c>
    </row>
    <row r="13" spans="1:34" ht="22.5" x14ac:dyDescent="0.2">
      <c r="A13" s="177" t="s">
        <v>23</v>
      </c>
      <c r="B13" s="178" t="s">
        <v>24</v>
      </c>
      <c r="C13" s="176">
        <v>0</v>
      </c>
      <c r="D13" s="172">
        <v>0</v>
      </c>
      <c r="E13" s="172">
        <v>0</v>
      </c>
      <c r="F13" s="172">
        <v>0</v>
      </c>
      <c r="G13" s="172">
        <v>0</v>
      </c>
      <c r="H13" s="172">
        <v>0</v>
      </c>
      <c r="I13" s="172">
        <v>0</v>
      </c>
      <c r="J13" s="176"/>
      <c r="K13" s="174"/>
      <c r="S13" s="160">
        <v>1835</v>
      </c>
      <c r="T13" s="176">
        <f t="shared" si="1"/>
        <v>13894533.633657467</v>
      </c>
      <c r="U13" s="176">
        <f t="shared" si="1"/>
        <v>3421697.7361510792</v>
      </c>
      <c r="V13" s="176">
        <f t="shared" si="1"/>
        <v>6564914.1434346829</v>
      </c>
      <c r="W13" s="176">
        <f t="shared" si="1"/>
        <v>36387622.127733245</v>
      </c>
      <c r="X13" s="176">
        <f t="shared" si="1"/>
        <v>9496565.3277141228</v>
      </c>
      <c r="Y13" s="176">
        <f t="shared" si="1"/>
        <v>12570498.895341141</v>
      </c>
      <c r="AA13" s="160">
        <v>1835</v>
      </c>
      <c r="AB13" s="175">
        <f>SUM(D22:D23)</f>
        <v>5443663.7377873389</v>
      </c>
      <c r="AC13" s="175">
        <f t="shared" ref="AC13:AG13" si="9">SUM(E22:E23)</f>
        <v>1458609.6573207825</v>
      </c>
      <c r="AD13" s="175">
        <f t="shared" si="9"/>
        <v>3912703.212340083</v>
      </c>
      <c r="AE13" s="175">
        <f t="shared" si="9"/>
        <v>15337276.009494226</v>
      </c>
      <c r="AF13" s="175">
        <f t="shared" si="9"/>
        <v>4260232.0447544847</v>
      </c>
      <c r="AG13" s="175">
        <f t="shared" si="9"/>
        <v>6943586.8345388463</v>
      </c>
    </row>
    <row r="14" spans="1:34" x14ac:dyDescent="0.2">
      <c r="A14" s="179" t="s">
        <v>25</v>
      </c>
      <c r="B14" s="180" t="s">
        <v>26</v>
      </c>
      <c r="C14" s="176">
        <v>313909107.08162433</v>
      </c>
      <c r="D14" s="172">
        <v>0</v>
      </c>
      <c r="E14" s="172">
        <v>0</v>
      </c>
      <c r="F14" s="172">
        <v>0</v>
      </c>
      <c r="G14" s="172">
        <v>0</v>
      </c>
      <c r="H14" s="172">
        <v>0</v>
      </c>
      <c r="I14" s="172">
        <v>0</v>
      </c>
      <c r="J14" s="176"/>
      <c r="K14" s="174"/>
      <c r="S14" s="160">
        <v>1840</v>
      </c>
      <c r="T14" s="176">
        <f t="shared" si="1"/>
        <v>238576.44421744347</v>
      </c>
      <c r="U14" s="176">
        <f t="shared" si="1"/>
        <v>57536.557313945174</v>
      </c>
      <c r="V14" s="176">
        <f t="shared" si="1"/>
        <v>131151.51367076274</v>
      </c>
      <c r="W14" s="176">
        <f t="shared" si="1"/>
        <v>624016.76891932636</v>
      </c>
      <c r="X14" s="176">
        <f t="shared" si="1"/>
        <v>159880.58715837004</v>
      </c>
      <c r="Y14" s="176">
        <f t="shared" si="1"/>
        <v>251128.94421770659</v>
      </c>
      <c r="AA14" s="160">
        <v>1840</v>
      </c>
      <c r="AB14" s="175">
        <f t="shared" ref="AB14:AG14" si="10">D29</f>
        <v>41468.197252463811</v>
      </c>
      <c r="AC14" s="175">
        <f t="shared" si="10"/>
        <v>11111.25078580116</v>
      </c>
      <c r="AD14" s="175">
        <f t="shared" si="10"/>
        <v>29805.799258573872</v>
      </c>
      <c r="AE14" s="175">
        <f t="shared" si="10"/>
        <v>116834.76744941327</v>
      </c>
      <c r="AF14" s="175">
        <f t="shared" si="10"/>
        <v>32453.169645073274</v>
      </c>
      <c r="AG14" s="175">
        <f t="shared" si="10"/>
        <v>52894.161425794555</v>
      </c>
    </row>
    <row r="15" spans="1:34" x14ac:dyDescent="0.2">
      <c r="A15" s="179" t="s">
        <v>27</v>
      </c>
      <c r="B15" s="180" t="s">
        <v>28</v>
      </c>
      <c r="C15" s="176">
        <v>1766025252.2848926</v>
      </c>
      <c r="D15" s="172">
        <v>12526417.188089944</v>
      </c>
      <c r="E15" s="172">
        <v>3356407.3686894602</v>
      </c>
      <c r="F15" s="172">
        <v>9003523.2027159147</v>
      </c>
      <c r="G15" s="172">
        <v>35292613.041138843</v>
      </c>
      <c r="H15" s="172">
        <v>9803221.9624857567</v>
      </c>
      <c r="I15" s="172">
        <v>15977890.93169008</v>
      </c>
      <c r="J15" s="176"/>
      <c r="K15" s="174"/>
      <c r="L15" s="181"/>
      <c r="M15" s="181"/>
      <c r="N15" s="181"/>
      <c r="O15" s="181"/>
      <c r="P15" s="181"/>
      <c r="Q15" s="181"/>
      <c r="S15" s="160">
        <v>1845</v>
      </c>
      <c r="T15" s="176">
        <f t="shared" si="1"/>
        <v>3763572.3847190687</v>
      </c>
      <c r="U15" s="176">
        <f t="shared" si="1"/>
        <v>907646.17994393548</v>
      </c>
      <c r="V15" s="176">
        <f t="shared" si="1"/>
        <v>2068931.0576509077</v>
      </c>
      <c r="W15" s="176">
        <f t="shared" si="1"/>
        <v>9843940.3219787143</v>
      </c>
      <c r="X15" s="176">
        <f t="shared" si="1"/>
        <v>2522135.6813143282</v>
      </c>
      <c r="Y15" s="176">
        <f t="shared" si="1"/>
        <v>3961589.5968337688</v>
      </c>
      <c r="AA15" s="160">
        <v>1845</v>
      </c>
      <c r="AB15" s="175">
        <f t="shared" ref="AB15:AG15" si="11">D33</f>
        <v>654165.84833166446</v>
      </c>
      <c r="AC15" s="175">
        <f t="shared" si="11"/>
        <v>175281.33070428157</v>
      </c>
      <c r="AD15" s="175">
        <f t="shared" si="11"/>
        <v>470190.10347814945</v>
      </c>
      <c r="AE15" s="175">
        <f t="shared" si="11"/>
        <v>1843082.6471154871</v>
      </c>
      <c r="AF15" s="175">
        <f t="shared" si="11"/>
        <v>511952.69287138898</v>
      </c>
      <c r="AG15" s="175">
        <f t="shared" si="11"/>
        <v>834411.82094890962</v>
      </c>
    </row>
    <row r="16" spans="1:34" ht="22.5" x14ac:dyDescent="0.2">
      <c r="A16" s="177" t="s">
        <v>29</v>
      </c>
      <c r="B16" s="178" t="s">
        <v>30</v>
      </c>
      <c r="C16" s="176">
        <v>0</v>
      </c>
      <c r="D16" s="172">
        <v>0</v>
      </c>
      <c r="E16" s="172">
        <v>0</v>
      </c>
      <c r="F16" s="172">
        <v>0</v>
      </c>
      <c r="G16" s="172">
        <v>0</v>
      </c>
      <c r="H16" s="172">
        <v>0</v>
      </c>
      <c r="I16" s="172">
        <v>0</v>
      </c>
      <c r="J16" s="176"/>
      <c r="K16" s="174"/>
      <c r="S16" s="160">
        <v>1850</v>
      </c>
      <c r="T16" s="176">
        <f t="shared" si="1"/>
        <v>18472330.205654748</v>
      </c>
      <c r="U16" s="176">
        <f t="shared" si="1"/>
        <v>9250971.0096245278</v>
      </c>
      <c r="V16" s="176">
        <f t="shared" si="1"/>
        <v>16643318.187467895</v>
      </c>
      <c r="W16" s="176">
        <f t="shared" si="1"/>
        <v>46539428.883548468</v>
      </c>
      <c r="X16" s="176">
        <f t="shared" si="1"/>
        <v>23782635.45640894</v>
      </c>
      <c r="Y16" s="176">
        <f t="shared" si="1"/>
        <v>39352701.429399796</v>
      </c>
      <c r="AA16" s="160">
        <v>1850</v>
      </c>
    </row>
    <row r="17" spans="1:27" x14ac:dyDescent="0.2">
      <c r="A17" s="179" t="s">
        <v>31</v>
      </c>
      <c r="B17" s="180" t="s">
        <v>32</v>
      </c>
      <c r="C17" s="176">
        <v>1275201.384679964</v>
      </c>
      <c r="D17" s="172">
        <v>0</v>
      </c>
      <c r="E17" s="172">
        <v>0</v>
      </c>
      <c r="F17" s="172">
        <v>0</v>
      </c>
      <c r="G17" s="172">
        <v>0</v>
      </c>
      <c r="H17" s="172">
        <v>0</v>
      </c>
      <c r="I17" s="172">
        <v>0</v>
      </c>
      <c r="J17" s="176"/>
      <c r="K17" s="174"/>
      <c r="S17" s="160">
        <v>1855</v>
      </c>
      <c r="T17" s="176">
        <f t="shared" si="1"/>
        <v>5532892.0865150951</v>
      </c>
      <c r="U17" s="176">
        <f t="shared" si="1"/>
        <v>0</v>
      </c>
      <c r="V17" s="176">
        <f t="shared" si="1"/>
        <v>0</v>
      </c>
      <c r="W17" s="176">
        <f t="shared" si="1"/>
        <v>20909460.385936491</v>
      </c>
      <c r="X17" s="176">
        <f t="shared" si="1"/>
        <v>0</v>
      </c>
      <c r="Y17" s="176">
        <f t="shared" si="1"/>
        <v>0</v>
      </c>
      <c r="AA17" s="160">
        <v>1855</v>
      </c>
    </row>
    <row r="18" spans="1:27" x14ac:dyDescent="0.2">
      <c r="A18" s="179" t="s">
        <v>33</v>
      </c>
      <c r="B18" s="180" t="s">
        <v>34</v>
      </c>
      <c r="C18" s="176">
        <v>1681285491.5531359</v>
      </c>
      <c r="D18" s="172">
        <v>13929257.384255478</v>
      </c>
      <c r="E18" s="172">
        <v>3545832.482174586</v>
      </c>
      <c r="F18" s="172">
        <v>8315608.365901636</v>
      </c>
      <c r="G18" s="172">
        <v>36551194.57132782</v>
      </c>
      <c r="H18" s="172">
        <v>9822271.4332509767</v>
      </c>
      <c r="I18" s="172">
        <v>15930166.338334594</v>
      </c>
      <c r="J18" s="176"/>
      <c r="K18" s="174">
        <v>1830</v>
      </c>
      <c r="L18" s="175">
        <f t="shared" ref="L18:Q19" si="12">D18</f>
        <v>13929257.384255478</v>
      </c>
      <c r="M18" s="175">
        <f t="shared" si="12"/>
        <v>3545832.482174586</v>
      </c>
      <c r="N18" s="175">
        <f t="shared" si="12"/>
        <v>8315608.365901636</v>
      </c>
      <c r="O18" s="175">
        <f t="shared" si="12"/>
        <v>36551194.57132782</v>
      </c>
      <c r="P18" s="175">
        <f t="shared" si="12"/>
        <v>9822271.4332509767</v>
      </c>
      <c r="Q18" s="175">
        <f t="shared" si="12"/>
        <v>15930166.338334594</v>
      </c>
      <c r="S18" s="160">
        <v>1860</v>
      </c>
      <c r="T18" s="176">
        <f t="shared" si="1"/>
        <v>7090725.0516909054</v>
      </c>
      <c r="U18" s="176">
        <f t="shared" si="1"/>
        <v>1558868.8351465357</v>
      </c>
      <c r="V18" s="176">
        <f t="shared" si="1"/>
        <v>424715.07666496927</v>
      </c>
      <c r="W18" s="176">
        <f t="shared" si="1"/>
        <v>13694687.930010043</v>
      </c>
      <c r="X18" s="176">
        <f t="shared" si="1"/>
        <v>3032652.7847565091</v>
      </c>
      <c r="Y18" s="176">
        <f t="shared" si="1"/>
        <v>878775.16022634774</v>
      </c>
      <c r="AA18" s="160">
        <v>1860</v>
      </c>
    </row>
    <row r="19" spans="1:27" ht="22.5" x14ac:dyDescent="0.2">
      <c r="A19" s="177" t="s">
        <v>35</v>
      </c>
      <c r="B19" s="178" t="s">
        <v>36</v>
      </c>
      <c r="C19" s="176">
        <v>1247701811.0868382</v>
      </c>
      <c r="D19" s="172">
        <v>11791335.867187954</v>
      </c>
      <c r="E19" s="172">
        <v>3443124.2946969601</v>
      </c>
      <c r="F19" s="172">
        <v>0</v>
      </c>
      <c r="G19" s="172">
        <v>31223768.645577028</v>
      </c>
      <c r="H19" s="172">
        <v>9469738.1016131919</v>
      </c>
      <c r="I19" s="172">
        <v>0</v>
      </c>
      <c r="J19" s="176"/>
      <c r="K19" s="174">
        <v>1830</v>
      </c>
      <c r="L19" s="175">
        <f t="shared" si="12"/>
        <v>11791335.867187954</v>
      </c>
      <c r="M19" s="175">
        <f t="shared" si="12"/>
        <v>3443124.2946969601</v>
      </c>
      <c r="N19" s="175">
        <f t="shared" si="12"/>
        <v>0</v>
      </c>
      <c r="O19" s="175">
        <f t="shared" si="12"/>
        <v>31223768.645577028</v>
      </c>
      <c r="P19" s="175">
        <f t="shared" si="12"/>
        <v>9469738.1016131919</v>
      </c>
      <c r="Q19" s="175">
        <f t="shared" si="12"/>
        <v>0</v>
      </c>
    </row>
    <row r="20" spans="1:27" ht="22.5" x14ac:dyDescent="0.2">
      <c r="A20" s="177" t="s">
        <v>37</v>
      </c>
      <c r="B20" s="178" t="s">
        <v>38</v>
      </c>
      <c r="C20" s="176">
        <v>0</v>
      </c>
      <c r="D20" s="172">
        <v>0</v>
      </c>
      <c r="E20" s="172">
        <v>0</v>
      </c>
      <c r="F20" s="172">
        <v>0</v>
      </c>
      <c r="G20" s="172">
        <v>0</v>
      </c>
      <c r="H20" s="172">
        <v>0</v>
      </c>
      <c r="I20" s="172">
        <v>0</v>
      </c>
      <c r="J20" s="176"/>
      <c r="K20" s="174"/>
    </row>
    <row r="21" spans="1:27" ht="33.75" x14ac:dyDescent="0.2">
      <c r="A21" s="177" t="s">
        <v>39</v>
      </c>
      <c r="B21" s="178" t="s">
        <v>40</v>
      </c>
      <c r="C21" s="176">
        <v>0</v>
      </c>
      <c r="D21" s="172">
        <v>0</v>
      </c>
      <c r="E21" s="172">
        <v>0</v>
      </c>
      <c r="F21" s="172">
        <v>0</v>
      </c>
      <c r="G21" s="172">
        <v>0</v>
      </c>
      <c r="H21" s="172">
        <v>0</v>
      </c>
      <c r="I21" s="172">
        <v>0</v>
      </c>
      <c r="J21" s="176"/>
      <c r="K21" s="174"/>
    </row>
    <row r="22" spans="1:27" x14ac:dyDescent="0.2">
      <c r="A22" s="179" t="s">
        <v>41</v>
      </c>
      <c r="B22" s="180" t="s">
        <v>42</v>
      </c>
      <c r="C22" s="176">
        <v>136416949.67705327</v>
      </c>
      <c r="D22" s="172">
        <v>0</v>
      </c>
      <c r="E22" s="172">
        <v>0</v>
      </c>
      <c r="F22" s="172">
        <v>0</v>
      </c>
      <c r="G22" s="172">
        <v>0</v>
      </c>
      <c r="H22" s="172">
        <v>0</v>
      </c>
      <c r="I22" s="172">
        <v>0</v>
      </c>
      <c r="J22" s="176"/>
      <c r="K22" s="174"/>
    </row>
    <row r="23" spans="1:27" x14ac:dyDescent="0.2">
      <c r="A23" s="179" t="s">
        <v>43</v>
      </c>
      <c r="B23" s="180" t="s">
        <v>44</v>
      </c>
      <c r="C23" s="176">
        <v>767469858.42213619</v>
      </c>
      <c r="D23" s="172">
        <v>5443663.7377873389</v>
      </c>
      <c r="E23" s="172">
        <v>1458609.6573207825</v>
      </c>
      <c r="F23" s="172">
        <v>3912703.212340083</v>
      </c>
      <c r="G23" s="172">
        <v>15337276.009494226</v>
      </c>
      <c r="H23" s="172">
        <v>4260232.0447544847</v>
      </c>
      <c r="I23" s="172">
        <v>6943586.8345388463</v>
      </c>
      <c r="J23" s="176"/>
      <c r="K23" s="174"/>
      <c r="L23" s="175"/>
      <c r="M23" s="175"/>
      <c r="N23" s="175"/>
      <c r="O23" s="175"/>
      <c r="P23" s="175"/>
      <c r="Q23" s="175"/>
    </row>
    <row r="24" spans="1:27" ht="22.5" x14ac:dyDescent="0.2">
      <c r="A24" s="177" t="s">
        <v>45</v>
      </c>
      <c r="B24" s="178" t="s">
        <v>46</v>
      </c>
      <c r="C24" s="176">
        <v>0</v>
      </c>
      <c r="D24" s="172">
        <v>0</v>
      </c>
      <c r="E24" s="172">
        <v>0</v>
      </c>
      <c r="F24" s="172">
        <v>0</v>
      </c>
      <c r="G24" s="172">
        <v>0</v>
      </c>
      <c r="H24" s="172">
        <v>0</v>
      </c>
      <c r="I24" s="172">
        <v>0</v>
      </c>
      <c r="J24" s="176"/>
      <c r="K24" s="174"/>
    </row>
    <row r="25" spans="1:27" x14ac:dyDescent="0.2">
      <c r="A25" s="179" t="s">
        <v>47</v>
      </c>
      <c r="B25" s="180" t="s">
        <v>48</v>
      </c>
      <c r="C25" s="176">
        <v>1071673.4657399382</v>
      </c>
      <c r="D25" s="172">
        <v>0</v>
      </c>
      <c r="E25" s="172">
        <v>0</v>
      </c>
      <c r="F25" s="172">
        <v>0</v>
      </c>
      <c r="G25" s="172">
        <v>0</v>
      </c>
      <c r="H25" s="172">
        <v>0</v>
      </c>
      <c r="I25" s="172">
        <v>0</v>
      </c>
      <c r="J25" s="176"/>
      <c r="K25" s="174"/>
    </row>
    <row r="26" spans="1:27" x14ac:dyDescent="0.2">
      <c r="A26" s="179" t="s">
        <v>49</v>
      </c>
      <c r="B26" s="180" t="s">
        <v>50</v>
      </c>
      <c r="C26" s="176">
        <v>1412944709.1866338</v>
      </c>
      <c r="D26" s="172">
        <v>11942171.53196766</v>
      </c>
      <c r="E26" s="172">
        <v>2880047.269778965</v>
      </c>
      <c r="F26" s="172">
        <v>6564914.1434346829</v>
      </c>
      <c r="G26" s="172">
        <v>31235754.718797013</v>
      </c>
      <c r="H26" s="172">
        <v>8002975.3261674326</v>
      </c>
      <c r="I26" s="172">
        <v>12570498.895341141</v>
      </c>
      <c r="J26" s="176"/>
      <c r="K26" s="174">
        <v>1835</v>
      </c>
      <c r="L26" s="175">
        <f>D26</f>
        <v>11942171.53196766</v>
      </c>
      <c r="M26" s="175">
        <f t="shared" ref="M26:Q27" si="13">E26</f>
        <v>2880047.269778965</v>
      </c>
      <c r="N26" s="175">
        <f t="shared" si="13"/>
        <v>6564914.1434346829</v>
      </c>
      <c r="O26" s="175">
        <f t="shared" si="13"/>
        <v>31235754.718797013</v>
      </c>
      <c r="P26" s="175">
        <f t="shared" si="13"/>
        <v>8002975.3261674326</v>
      </c>
      <c r="Q26" s="175">
        <f t="shared" si="13"/>
        <v>12570498.895341141</v>
      </c>
    </row>
    <row r="27" spans="1:27" ht="22.5" x14ac:dyDescent="0.2">
      <c r="A27" s="177" t="s">
        <v>51</v>
      </c>
      <c r="B27" s="178" t="s">
        <v>52</v>
      </c>
      <c r="C27" s="176">
        <v>204520869.77219632</v>
      </c>
      <c r="D27" s="172">
        <v>1952362.1016898057</v>
      </c>
      <c r="E27" s="172">
        <v>541650.46637211426</v>
      </c>
      <c r="F27" s="172">
        <v>0</v>
      </c>
      <c r="G27" s="172">
        <v>5151867.4089362286</v>
      </c>
      <c r="H27" s="172">
        <v>1493590.0015466902</v>
      </c>
      <c r="I27" s="172">
        <v>0</v>
      </c>
      <c r="J27" s="176"/>
      <c r="K27" s="174">
        <v>1835</v>
      </c>
      <c r="L27" s="175">
        <f>D27</f>
        <v>1952362.1016898057</v>
      </c>
      <c r="M27" s="175">
        <f t="shared" si="13"/>
        <v>541650.46637211426</v>
      </c>
      <c r="N27" s="175">
        <f t="shared" si="13"/>
        <v>0</v>
      </c>
      <c r="O27" s="175">
        <f t="shared" si="13"/>
        <v>5151867.4089362286</v>
      </c>
      <c r="P27" s="175">
        <f t="shared" si="13"/>
        <v>1493590.0015466902</v>
      </c>
      <c r="Q27" s="175">
        <f t="shared" si="13"/>
        <v>0</v>
      </c>
    </row>
    <row r="28" spans="1:27" x14ac:dyDescent="0.2">
      <c r="A28" s="177" t="s">
        <v>53</v>
      </c>
      <c r="B28" s="178" t="s">
        <v>54</v>
      </c>
      <c r="C28" s="176">
        <v>0</v>
      </c>
      <c r="D28" s="172">
        <v>0</v>
      </c>
      <c r="E28" s="172">
        <v>0</v>
      </c>
      <c r="F28" s="172">
        <v>0</v>
      </c>
      <c r="G28" s="172">
        <v>0</v>
      </c>
      <c r="H28" s="172">
        <v>0</v>
      </c>
      <c r="I28" s="172">
        <v>0</v>
      </c>
      <c r="J28" s="176"/>
      <c r="K28" s="174"/>
    </row>
    <row r="29" spans="1:27" ht="22.5" x14ac:dyDescent="0.2">
      <c r="A29" s="177" t="s">
        <v>55</v>
      </c>
      <c r="B29" s="178" t="s">
        <v>56</v>
      </c>
      <c r="C29" s="176">
        <v>9691091.1201826632</v>
      </c>
      <c r="D29" s="172">
        <v>41468.197252463811</v>
      </c>
      <c r="E29" s="172">
        <v>11111.25078580116</v>
      </c>
      <c r="F29" s="172">
        <v>29805.799258573872</v>
      </c>
      <c r="G29" s="172">
        <v>116834.76744941327</v>
      </c>
      <c r="H29" s="172">
        <v>32453.169645073274</v>
      </c>
      <c r="I29" s="172">
        <v>52894.161425794555</v>
      </c>
      <c r="J29" s="176"/>
      <c r="K29" s="174"/>
    </row>
    <row r="30" spans="1:27" x14ac:dyDescent="0.2">
      <c r="A30" s="177" t="s">
        <v>57</v>
      </c>
      <c r="B30" s="178" t="s">
        <v>58</v>
      </c>
      <c r="C30" s="176">
        <v>28227305.535784338</v>
      </c>
      <c r="D30" s="172">
        <v>238576.44421744347</v>
      </c>
      <c r="E30" s="172">
        <v>57536.557313945174</v>
      </c>
      <c r="F30" s="172">
        <v>131151.51367076274</v>
      </c>
      <c r="G30" s="172">
        <v>624016.76891932636</v>
      </c>
      <c r="H30" s="172">
        <v>159880.58715837004</v>
      </c>
      <c r="I30" s="172">
        <v>251128.94421770659</v>
      </c>
      <c r="J30" s="176"/>
      <c r="K30" s="174">
        <v>1840</v>
      </c>
      <c r="L30" s="175">
        <f>D30</f>
        <v>238576.44421744347</v>
      </c>
      <c r="M30" s="175">
        <f t="shared" ref="M30:Q31" si="14">E30</f>
        <v>57536.557313945174</v>
      </c>
      <c r="N30" s="175">
        <f t="shared" si="14"/>
        <v>131151.51367076274</v>
      </c>
      <c r="O30" s="175">
        <f t="shared" si="14"/>
        <v>624016.76891932636</v>
      </c>
      <c r="P30" s="175">
        <f t="shared" si="14"/>
        <v>159880.58715837004</v>
      </c>
      <c r="Q30" s="175">
        <f t="shared" si="14"/>
        <v>251128.94421770659</v>
      </c>
    </row>
    <row r="31" spans="1:27" ht="22.5" x14ac:dyDescent="0.2">
      <c r="A31" s="177" t="s">
        <v>59</v>
      </c>
      <c r="B31" s="178" t="s">
        <v>60</v>
      </c>
      <c r="C31" s="176">
        <v>0</v>
      </c>
      <c r="D31" s="172">
        <v>0</v>
      </c>
      <c r="E31" s="172">
        <v>0</v>
      </c>
      <c r="F31" s="172">
        <v>0</v>
      </c>
      <c r="G31" s="172">
        <v>0</v>
      </c>
      <c r="H31" s="172">
        <v>0</v>
      </c>
      <c r="I31" s="172">
        <v>0</v>
      </c>
      <c r="J31" s="176"/>
      <c r="K31" s="174">
        <v>1840</v>
      </c>
      <c r="L31" s="175">
        <f>D31</f>
        <v>0</v>
      </c>
      <c r="M31" s="175">
        <f t="shared" si="14"/>
        <v>0</v>
      </c>
      <c r="N31" s="175">
        <f t="shared" si="14"/>
        <v>0</v>
      </c>
      <c r="O31" s="175">
        <f t="shared" si="14"/>
        <v>0</v>
      </c>
      <c r="P31" s="175">
        <f t="shared" si="14"/>
        <v>0</v>
      </c>
      <c r="Q31" s="175">
        <f t="shared" si="14"/>
        <v>0</v>
      </c>
    </row>
    <row r="32" spans="1:27" ht="22.5" x14ac:dyDescent="0.2">
      <c r="A32" s="177" t="s">
        <v>61</v>
      </c>
      <c r="B32" s="178" t="s">
        <v>62</v>
      </c>
      <c r="C32" s="176">
        <v>0</v>
      </c>
      <c r="D32" s="172">
        <v>0</v>
      </c>
      <c r="E32" s="172">
        <v>0</v>
      </c>
      <c r="F32" s="172">
        <v>0</v>
      </c>
      <c r="G32" s="172">
        <v>0</v>
      </c>
      <c r="H32" s="172">
        <v>0</v>
      </c>
      <c r="I32" s="172">
        <v>0</v>
      </c>
      <c r="J32" s="176"/>
      <c r="K32" s="174"/>
    </row>
    <row r="33" spans="1:25" ht="22.5" x14ac:dyDescent="0.2">
      <c r="A33" s="177" t="s">
        <v>63</v>
      </c>
      <c r="B33" s="178" t="s">
        <v>64</v>
      </c>
      <c r="C33" s="176">
        <v>152878139.48837844</v>
      </c>
      <c r="D33" s="172">
        <v>654165.84833166446</v>
      </c>
      <c r="E33" s="172">
        <v>175281.33070428157</v>
      </c>
      <c r="F33" s="172">
        <v>470190.10347814945</v>
      </c>
      <c r="G33" s="172">
        <v>1843082.6471154871</v>
      </c>
      <c r="H33" s="172">
        <v>511952.69287138898</v>
      </c>
      <c r="I33" s="172">
        <v>834411.82094890962</v>
      </c>
      <c r="J33" s="176"/>
      <c r="K33" s="174"/>
    </row>
    <row r="34" spans="1:25" ht="22.5" x14ac:dyDescent="0.2">
      <c r="A34" s="177" t="s">
        <v>65</v>
      </c>
      <c r="B34" s="178" t="s">
        <v>66</v>
      </c>
      <c r="C34" s="176">
        <v>445289173.27932167</v>
      </c>
      <c r="D34" s="172">
        <v>3763572.3847190687</v>
      </c>
      <c r="E34" s="172">
        <v>907646.17994393548</v>
      </c>
      <c r="F34" s="172">
        <v>2068931.0576509077</v>
      </c>
      <c r="G34" s="172">
        <v>9843940.3219787143</v>
      </c>
      <c r="H34" s="172">
        <v>2522135.6813143282</v>
      </c>
      <c r="I34" s="172">
        <v>3961589.5968337688</v>
      </c>
      <c r="J34" s="176"/>
      <c r="K34" s="174">
        <v>1845</v>
      </c>
      <c r="L34" s="175">
        <f>D34</f>
        <v>3763572.3847190687</v>
      </c>
      <c r="M34" s="175">
        <f t="shared" ref="M34:Q37" si="15">E34</f>
        <v>907646.17994393548</v>
      </c>
      <c r="N34" s="175">
        <f t="shared" si="15"/>
        <v>2068931.0576509077</v>
      </c>
      <c r="O34" s="175">
        <f t="shared" si="15"/>
        <v>9843940.3219787143</v>
      </c>
      <c r="P34" s="175">
        <f t="shared" si="15"/>
        <v>2522135.6813143282</v>
      </c>
      <c r="Q34" s="175">
        <f t="shared" si="15"/>
        <v>3961589.5968337688</v>
      </c>
    </row>
    <row r="35" spans="1:25" ht="22.5" x14ac:dyDescent="0.2">
      <c r="A35" s="177" t="s">
        <v>67</v>
      </c>
      <c r="B35" s="178" t="s">
        <v>68</v>
      </c>
      <c r="C35" s="176">
        <v>0</v>
      </c>
      <c r="D35" s="172">
        <v>0</v>
      </c>
      <c r="E35" s="172">
        <v>0</v>
      </c>
      <c r="F35" s="172">
        <v>0</v>
      </c>
      <c r="G35" s="172">
        <v>0</v>
      </c>
      <c r="H35" s="172">
        <v>0</v>
      </c>
      <c r="I35" s="172">
        <v>0</v>
      </c>
      <c r="J35" s="176"/>
      <c r="K35" s="174">
        <v>1845</v>
      </c>
      <c r="L35" s="175">
        <f>D35</f>
        <v>0</v>
      </c>
      <c r="M35" s="175">
        <f t="shared" si="15"/>
        <v>0</v>
      </c>
      <c r="N35" s="175">
        <f t="shared" si="15"/>
        <v>0</v>
      </c>
      <c r="O35" s="175">
        <f t="shared" si="15"/>
        <v>0</v>
      </c>
      <c r="P35" s="175">
        <f t="shared" si="15"/>
        <v>0</v>
      </c>
      <c r="Q35" s="175">
        <f t="shared" si="15"/>
        <v>0</v>
      </c>
    </row>
    <row r="36" spans="1:25" x14ac:dyDescent="0.2">
      <c r="A36" s="177" t="s">
        <v>69</v>
      </c>
      <c r="B36" s="178" t="s">
        <v>70</v>
      </c>
      <c r="C36" s="176">
        <v>2720465189.9699163</v>
      </c>
      <c r="D36" s="172">
        <v>18472330.205654748</v>
      </c>
      <c r="E36" s="172">
        <v>9250971.0096245278</v>
      </c>
      <c r="F36" s="172">
        <v>16643318.187467895</v>
      </c>
      <c r="G36" s="172">
        <v>46539428.883548468</v>
      </c>
      <c r="H36" s="172">
        <v>23782635.45640894</v>
      </c>
      <c r="I36" s="172">
        <v>39352701.429399796</v>
      </c>
      <c r="J36" s="176"/>
      <c r="K36" s="174">
        <v>1850</v>
      </c>
      <c r="L36" s="175">
        <f>D36</f>
        <v>18472330.205654748</v>
      </c>
      <c r="M36" s="175">
        <f t="shared" si="15"/>
        <v>9250971.0096245278</v>
      </c>
      <c r="N36" s="175">
        <f t="shared" si="15"/>
        <v>16643318.187467895</v>
      </c>
      <c r="O36" s="175">
        <f t="shared" si="15"/>
        <v>46539428.883548468</v>
      </c>
      <c r="P36" s="175">
        <f t="shared" si="15"/>
        <v>23782635.45640894</v>
      </c>
      <c r="Q36" s="175">
        <f t="shared" si="15"/>
        <v>39352701.429399796</v>
      </c>
    </row>
    <row r="37" spans="1:25" x14ac:dyDescent="0.2">
      <c r="A37" s="177" t="s">
        <v>71</v>
      </c>
      <c r="B37" s="178" t="s">
        <v>16</v>
      </c>
      <c r="C37" s="176">
        <v>851432394.04279912</v>
      </c>
      <c r="D37" s="172">
        <v>5532892.0865150951</v>
      </c>
      <c r="E37" s="172">
        <v>0</v>
      </c>
      <c r="F37" s="172">
        <v>0</v>
      </c>
      <c r="G37" s="172">
        <v>20909460.385936491</v>
      </c>
      <c r="H37" s="172">
        <v>0</v>
      </c>
      <c r="I37" s="172">
        <v>0</v>
      </c>
      <c r="J37" s="176"/>
      <c r="K37" s="174">
        <v>1855</v>
      </c>
      <c r="L37" s="175">
        <f>D37</f>
        <v>5532892.0865150951</v>
      </c>
      <c r="M37" s="175">
        <f t="shared" si="15"/>
        <v>0</v>
      </c>
      <c r="N37" s="175">
        <f t="shared" si="15"/>
        <v>0</v>
      </c>
      <c r="O37" s="175">
        <f t="shared" si="15"/>
        <v>20909460.385936491</v>
      </c>
      <c r="P37" s="175">
        <f t="shared" si="15"/>
        <v>0</v>
      </c>
      <c r="Q37" s="175">
        <f t="shared" si="15"/>
        <v>0</v>
      </c>
    </row>
    <row r="38" spans="1:25" x14ac:dyDescent="0.2">
      <c r="A38" s="177" t="s">
        <v>72</v>
      </c>
      <c r="B38" s="178" t="s">
        <v>73</v>
      </c>
      <c r="C38" s="176">
        <v>0</v>
      </c>
      <c r="D38" s="172">
        <v>0</v>
      </c>
      <c r="E38" s="172">
        <v>0</v>
      </c>
      <c r="F38" s="172">
        <v>0</v>
      </c>
      <c r="G38" s="172">
        <v>0</v>
      </c>
      <c r="H38" s="172">
        <v>0</v>
      </c>
      <c r="I38" s="172">
        <v>0</v>
      </c>
      <c r="J38" s="176"/>
      <c r="K38" s="174"/>
    </row>
    <row r="39" spans="1:25" x14ac:dyDescent="0.2">
      <c r="A39" s="179" t="s">
        <v>74</v>
      </c>
      <c r="B39" s="180" t="s">
        <v>336</v>
      </c>
      <c r="C39" s="176">
        <v>688090726.53126025</v>
      </c>
      <c r="D39" s="172">
        <v>7090725.0516909054</v>
      </c>
      <c r="E39" s="172">
        <v>1558868.8351465357</v>
      </c>
      <c r="F39" s="172">
        <v>424715.07666496927</v>
      </c>
      <c r="G39" s="172">
        <v>13694687.930010043</v>
      </c>
      <c r="H39" s="172">
        <v>3032652.7847565091</v>
      </c>
      <c r="I39" s="172">
        <v>878775.16022634774</v>
      </c>
      <c r="J39" s="176"/>
      <c r="K39" s="174">
        <v>1860</v>
      </c>
      <c r="L39" s="175">
        <f>D39</f>
        <v>7090725.0516909054</v>
      </c>
      <c r="M39" s="175">
        <f t="shared" ref="M39:Q39" si="16">E39</f>
        <v>1558868.8351465357</v>
      </c>
      <c r="N39" s="175">
        <f t="shared" si="16"/>
        <v>424715.07666496927</v>
      </c>
      <c r="O39" s="175">
        <f t="shared" si="16"/>
        <v>13694687.930010043</v>
      </c>
      <c r="P39" s="175">
        <f t="shared" si="16"/>
        <v>3032652.7847565091</v>
      </c>
      <c r="Q39" s="175">
        <f t="shared" si="16"/>
        <v>878775.16022634774</v>
      </c>
    </row>
    <row r="40" spans="1:25" x14ac:dyDescent="0.2">
      <c r="A40" s="179"/>
      <c r="B40" s="180"/>
      <c r="C40" s="176"/>
      <c r="D40" s="172"/>
      <c r="E40" s="172"/>
      <c r="F40" s="172"/>
      <c r="G40" s="172"/>
      <c r="H40" s="172"/>
      <c r="I40" s="172"/>
      <c r="J40" s="176"/>
      <c r="K40" s="174"/>
      <c r="L40" s="175"/>
      <c r="M40" s="175"/>
      <c r="N40" s="175"/>
      <c r="O40" s="175"/>
      <c r="P40" s="175"/>
      <c r="Q40" s="175"/>
    </row>
    <row r="41" spans="1:25" x14ac:dyDescent="0.2">
      <c r="A41" s="179"/>
      <c r="B41" s="180"/>
      <c r="C41" s="176"/>
      <c r="D41" s="172"/>
      <c r="E41" s="172"/>
      <c r="F41" s="172"/>
      <c r="G41" s="172"/>
      <c r="H41" s="172"/>
      <c r="I41" s="172"/>
      <c r="J41" s="176"/>
      <c r="K41" s="174"/>
    </row>
    <row r="42" spans="1:25" x14ac:dyDescent="0.2">
      <c r="A42" s="179"/>
      <c r="B42" s="180"/>
      <c r="C42" s="176"/>
      <c r="D42" s="172"/>
      <c r="E42" s="172"/>
      <c r="F42" s="172"/>
      <c r="G42" s="172"/>
      <c r="H42" s="172"/>
      <c r="I42" s="172"/>
      <c r="J42" s="176"/>
      <c r="K42" s="174"/>
      <c r="L42" s="175"/>
      <c r="M42" s="175"/>
      <c r="N42" s="175"/>
      <c r="O42" s="175"/>
      <c r="P42" s="175"/>
      <c r="Q42" s="175"/>
    </row>
    <row r="44" spans="1:25" x14ac:dyDescent="0.2">
      <c r="K44" s="161" t="s">
        <v>18</v>
      </c>
      <c r="L44" s="176">
        <f>SUM(L5:L43)</f>
        <v>79921220.669308186</v>
      </c>
      <c r="M44" s="176">
        <f t="shared" ref="M44:Q44" si="17">SUM(M5:M43)</f>
        <v>24896875.285452262</v>
      </c>
      <c r="N44" s="176">
        <f t="shared" si="17"/>
        <v>42176809.494895354</v>
      </c>
      <c r="O44" s="176">
        <f t="shared" si="17"/>
        <v>210398242.29078361</v>
      </c>
      <c r="P44" s="176">
        <f t="shared" si="17"/>
        <v>65603709.542337686</v>
      </c>
      <c r="Q44" s="176">
        <f t="shared" si="17"/>
        <v>88390741.298872322</v>
      </c>
      <c r="S44" s="160" t="s">
        <v>18</v>
      </c>
      <c r="T44" s="175">
        <f>SUM(T5:T43)</f>
        <v>79921220.669308186</v>
      </c>
      <c r="U44" s="175">
        <f t="shared" ref="U44:Y44" si="18">SUM(U5:U43)</f>
        <v>24896875.285452262</v>
      </c>
      <c r="V44" s="175">
        <f t="shared" si="18"/>
        <v>42176809.494895354</v>
      </c>
      <c r="W44" s="175">
        <f t="shared" si="18"/>
        <v>210398242.29078361</v>
      </c>
      <c r="X44" s="175">
        <f t="shared" si="18"/>
        <v>65603709.542337686</v>
      </c>
      <c r="Y44" s="175">
        <f t="shared" si="18"/>
        <v>88390741.298872322</v>
      </c>
    </row>
    <row r="45" spans="1:25" ht="33.75" x14ac:dyDescent="0.2">
      <c r="S45" s="182" t="s">
        <v>77</v>
      </c>
      <c r="T45" s="175">
        <f t="shared" ref="T45:Y45" si="19">T44-L44</f>
        <v>0</v>
      </c>
      <c r="U45" s="175">
        <f t="shared" si="19"/>
        <v>0</v>
      </c>
      <c r="V45" s="175">
        <f t="shared" si="19"/>
        <v>0</v>
      </c>
      <c r="W45" s="175">
        <f t="shared" si="19"/>
        <v>0</v>
      </c>
      <c r="X45" s="175">
        <f t="shared" si="19"/>
        <v>0</v>
      </c>
      <c r="Y45" s="175">
        <f t="shared" si="19"/>
        <v>0</v>
      </c>
    </row>
  </sheetData>
  <pageMargins left="0.7" right="0.7" top="0.75" bottom="0.75" header="0.3" footer="0.3"/>
  <pageSetup orientation="portrait" r:id="rId1"/>
  <ignoredErrors>
    <ignoredError sqref="AB12:AG13" formulaRange="1"/>
    <ignoredError sqref="A5:A42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A126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9.140625" style="79"/>
    <col min="2" max="2" width="29.140625" customWidth="1"/>
    <col min="3" max="3" width="15.85546875" bestFit="1" customWidth="1"/>
    <col min="4" max="4" width="12.42578125" bestFit="1" customWidth="1"/>
    <col min="5" max="5" width="19.85546875" bestFit="1" customWidth="1"/>
    <col min="6" max="6" width="16.140625" customWidth="1"/>
    <col min="7" max="10" width="13.5703125" bestFit="1" customWidth="1"/>
    <col min="11" max="11" width="16.140625" bestFit="1" customWidth="1"/>
    <col min="12" max="12" width="13.5703125" customWidth="1"/>
    <col min="13" max="14" width="14.5703125" bestFit="1" customWidth="1"/>
    <col min="15" max="15" width="13.5703125" bestFit="1" customWidth="1"/>
    <col min="16" max="16" width="15.85546875" bestFit="1" customWidth="1"/>
    <col min="17" max="17" width="17" bestFit="1" customWidth="1"/>
    <col min="18" max="18" width="16.140625" customWidth="1"/>
    <col min="19" max="19" width="17.5703125" customWidth="1"/>
    <col min="20" max="20" width="16.42578125" customWidth="1"/>
    <col min="21" max="21" width="15.85546875" bestFit="1" customWidth="1"/>
    <col min="22" max="22" width="16.140625" bestFit="1" customWidth="1"/>
    <col min="23" max="23" width="15.85546875" bestFit="1" customWidth="1"/>
    <col min="24" max="24" width="16.5703125" bestFit="1" customWidth="1"/>
    <col min="25" max="25" width="16.140625" bestFit="1" customWidth="1"/>
    <col min="26" max="26" width="17" bestFit="1" customWidth="1"/>
    <col min="27" max="27" width="16.5703125" bestFit="1" customWidth="1"/>
  </cols>
  <sheetData>
    <row r="1" spans="1:27" x14ac:dyDescent="0.25">
      <c r="A1" s="331" t="s">
        <v>346</v>
      </c>
    </row>
    <row r="4" spans="1:27" x14ac:dyDescent="0.25">
      <c r="A4" s="79" t="s">
        <v>332</v>
      </c>
    </row>
    <row r="5" spans="1:27" ht="15.75" thickBot="1" x14ac:dyDescent="0.3"/>
    <row r="6" spans="1:27" x14ac:dyDescent="0.25">
      <c r="A6" s="332"/>
      <c r="B6" s="60" t="s">
        <v>116</v>
      </c>
      <c r="C6" s="61"/>
      <c r="D6" s="61"/>
      <c r="E6" s="61"/>
      <c r="F6" s="61"/>
      <c r="G6" s="297"/>
      <c r="H6" s="339" t="s">
        <v>117</v>
      </c>
      <c r="I6" s="340"/>
      <c r="J6" s="340"/>
      <c r="K6" s="340"/>
      <c r="L6" s="340"/>
      <c r="M6" s="341"/>
      <c r="N6" s="52" t="s">
        <v>120</v>
      </c>
      <c r="O6" s="53"/>
      <c r="P6" s="53"/>
      <c r="Q6" s="53"/>
      <c r="R6" s="53"/>
      <c r="S6" s="53"/>
      <c r="T6" s="54"/>
      <c r="U6" s="52" t="s">
        <v>118</v>
      </c>
      <c r="V6" s="53"/>
      <c r="W6" s="53"/>
      <c r="X6" s="53"/>
      <c r="Y6" s="53"/>
      <c r="Z6" s="53"/>
      <c r="AA6" s="54"/>
    </row>
    <row r="7" spans="1:27" x14ac:dyDescent="0.25">
      <c r="A7" s="333" t="s">
        <v>76</v>
      </c>
      <c r="B7" s="55" t="s">
        <v>274</v>
      </c>
      <c r="C7" s="51" t="s">
        <v>275</v>
      </c>
      <c r="D7" s="51" t="s">
        <v>276</v>
      </c>
      <c r="E7" s="51" t="s">
        <v>277</v>
      </c>
      <c r="F7" s="51" t="s">
        <v>278</v>
      </c>
      <c r="G7" s="86" t="s">
        <v>279</v>
      </c>
      <c r="H7" s="55" t="s">
        <v>274</v>
      </c>
      <c r="I7" s="51" t="s">
        <v>275</v>
      </c>
      <c r="J7" s="51" t="s">
        <v>276</v>
      </c>
      <c r="K7" s="51" t="s">
        <v>277</v>
      </c>
      <c r="L7" s="51" t="s">
        <v>278</v>
      </c>
      <c r="M7" s="49" t="s">
        <v>279</v>
      </c>
      <c r="N7" s="55" t="s">
        <v>274</v>
      </c>
      <c r="O7" s="51" t="s">
        <v>275</v>
      </c>
      <c r="P7" s="51" t="s">
        <v>276</v>
      </c>
      <c r="Q7" s="51" t="s">
        <v>277</v>
      </c>
      <c r="R7" s="51" t="s">
        <v>278</v>
      </c>
      <c r="S7" s="51" t="s">
        <v>279</v>
      </c>
      <c r="T7" s="49" t="s">
        <v>119</v>
      </c>
      <c r="U7" s="55" t="s">
        <v>274</v>
      </c>
      <c r="V7" s="51" t="s">
        <v>275</v>
      </c>
      <c r="W7" s="51" t="s">
        <v>276</v>
      </c>
      <c r="X7" s="51" t="s">
        <v>277</v>
      </c>
      <c r="Y7" s="51" t="s">
        <v>278</v>
      </c>
      <c r="Z7" s="51" t="s">
        <v>279</v>
      </c>
      <c r="AA7" s="49" t="s">
        <v>119</v>
      </c>
    </row>
    <row r="8" spans="1:27" x14ac:dyDescent="0.25">
      <c r="A8" s="334">
        <v>1815</v>
      </c>
      <c r="B8" s="56">
        <f>'3. Allocated Forecast Acq GBV'!I9</f>
        <v>30099.367996126071</v>
      </c>
      <c r="C8" s="44">
        <f>'3. Allocated Forecast Acq GBV'!J9</f>
        <v>10630.895798274127</v>
      </c>
      <c r="D8" s="44">
        <f>'3. Allocated Forecast Acq GBV'!K9</f>
        <v>21045.543644659032</v>
      </c>
      <c r="E8" s="44">
        <f>'3. Allocated Forecast Acq GBV'!I23</f>
        <v>4115837.6452525915</v>
      </c>
      <c r="F8" s="44">
        <f>'3. Allocated Forecast Acq GBV'!J23</f>
        <v>1453686.3742429984</v>
      </c>
      <c r="G8" s="292">
        <f>'3. Allocated Forecast Acq GBV'!K23</f>
        <v>2877802.6438509431</v>
      </c>
      <c r="H8" s="144">
        <f>H24</f>
        <v>0</v>
      </c>
      <c r="I8" s="145">
        <f t="shared" ref="I8:M9" si="0">I24</f>
        <v>0</v>
      </c>
      <c r="J8" s="145">
        <f t="shared" si="0"/>
        <v>0</v>
      </c>
      <c r="K8" s="145">
        <f t="shared" si="0"/>
        <v>0</v>
      </c>
      <c r="L8" s="145">
        <f t="shared" si="0"/>
        <v>0</v>
      </c>
      <c r="M8" s="158">
        <f t="shared" si="0"/>
        <v>0</v>
      </c>
      <c r="N8" s="56">
        <f t="shared" ref="N8" si="1">SUM(B8+H8)</f>
        <v>30099.367996126071</v>
      </c>
      <c r="O8" s="44">
        <f t="shared" ref="O8" si="2">SUM(C8+I8)</f>
        <v>10630.895798274127</v>
      </c>
      <c r="P8" s="44">
        <f t="shared" ref="P8" si="3">SUM(D8+J8)</f>
        <v>21045.543644659032</v>
      </c>
      <c r="Q8" s="44">
        <f t="shared" ref="Q8" si="4">SUM(E8+K8)</f>
        <v>4115837.6452525915</v>
      </c>
      <c r="R8" s="44">
        <f t="shared" ref="R8" si="5">SUM(F8+L8)</f>
        <v>1453686.3742429984</v>
      </c>
      <c r="S8" s="44">
        <f t="shared" ref="S8" si="6">SUM(G8+M8)</f>
        <v>2877802.6438509431</v>
      </c>
      <c r="T8" s="226">
        <f t="shared" ref="T8" si="7">SUM(N8:S8)</f>
        <v>8509102.4707855918</v>
      </c>
      <c r="U8" s="56">
        <f>'4. Non Adj 2023 CAM outputs'!T10+'4. Non Adj 2023 CAM outputs'!AB10</f>
        <v>1416875.4701258347</v>
      </c>
      <c r="V8" s="44">
        <f>'4. Non Adj 2023 CAM outputs'!U10+'4. Non Adj 2023 CAM outputs'!AC10</f>
        <v>379646.56589653634</v>
      </c>
      <c r="W8" s="44">
        <f>'4. Non Adj 2023 CAM outputs'!V10+'4. Non Adj 2023 CAM outputs'!AD10</f>
        <v>1018397.437917535</v>
      </c>
      <c r="X8" s="44">
        <f>'4. Non Adj 2023 CAM outputs'!W10+'4. Non Adj 2023 CAM outputs'!AE10</f>
        <v>3991982.459451972</v>
      </c>
      <c r="Y8" s="44">
        <f>'4. Non Adj 2023 CAM outputs'!X10+'4. Non Adj 2023 CAM outputs'!AF10</f>
        <v>1108852.1576665516</v>
      </c>
      <c r="Z8" s="44">
        <f>'4. Non Adj 2023 CAM outputs'!Y10+'4. Non Adj 2023 CAM outputs'!AG10</f>
        <v>1807275.0879622975</v>
      </c>
      <c r="AA8" s="226">
        <f t="shared" ref="AA8:AA9" si="8">SUM(U8:Z8)</f>
        <v>9723029.1790207271</v>
      </c>
    </row>
    <row r="9" spans="1:27" x14ac:dyDescent="0.25">
      <c r="A9" s="334">
        <v>1820</v>
      </c>
      <c r="B9" s="56">
        <f>'3. Allocated Forecast Acq GBV'!I10</f>
        <v>267544.05372826295</v>
      </c>
      <c r="C9" s="44">
        <f>'3. Allocated Forecast Acq GBV'!J10</f>
        <v>151434.69818689683</v>
      </c>
      <c r="D9" s="44">
        <f>'3. Allocated Forecast Acq GBV'!K10</f>
        <v>252653.9380965007</v>
      </c>
      <c r="E9" s="44">
        <f>'3. Allocated Forecast Acq GBV'!I24</f>
        <v>1741328.830003208</v>
      </c>
      <c r="F9" s="44">
        <f>'3. Allocated Forecast Acq GBV'!J24</f>
        <v>921123.91050917399</v>
      </c>
      <c r="G9" s="292">
        <f>'3. Allocated Forecast Acq GBV'!K24</f>
        <v>1439563.4086148667</v>
      </c>
      <c r="H9" s="144">
        <f>H25</f>
        <v>0</v>
      </c>
      <c r="I9" s="145">
        <f t="shared" si="0"/>
        <v>0</v>
      </c>
      <c r="J9" s="145">
        <f t="shared" si="0"/>
        <v>0</v>
      </c>
      <c r="K9" s="145">
        <f t="shared" si="0"/>
        <v>0</v>
      </c>
      <c r="L9" s="145">
        <f t="shared" si="0"/>
        <v>0</v>
      </c>
      <c r="M9" s="158">
        <f t="shared" si="0"/>
        <v>0</v>
      </c>
      <c r="N9" s="56">
        <f>SUM(B9+H9)</f>
        <v>267544.05372826295</v>
      </c>
      <c r="O9" s="44">
        <f t="shared" ref="O9" si="9">SUM(C9+I9)</f>
        <v>151434.69818689683</v>
      </c>
      <c r="P9" s="44">
        <f t="shared" ref="P9" si="10">SUM(D9+J9)</f>
        <v>252653.9380965007</v>
      </c>
      <c r="Q9" s="44">
        <f t="shared" ref="Q9" si="11">SUM(E9+K9)</f>
        <v>1741328.830003208</v>
      </c>
      <c r="R9" s="44">
        <f t="shared" ref="R9" si="12">SUM(F9+L9)</f>
        <v>921123.91050917399</v>
      </c>
      <c r="S9" s="44">
        <f t="shared" ref="S9" si="13">SUM(G9+M9)</f>
        <v>1439563.4086148667</v>
      </c>
      <c r="T9" s="226">
        <f t="shared" ref="T9" si="14">SUM(N9:S9)</f>
        <v>4773648.8391389092</v>
      </c>
      <c r="U9" s="56">
        <f>'4. Non Adj 2023 CAM outputs'!T11+'4. Non Adj 2023 CAM outputs'!AB11</f>
        <v>5207997.6114100171</v>
      </c>
      <c r="V9" s="44">
        <f>'4. Non Adj 2023 CAM outputs'!U11+'4. Non Adj 2023 CAM outputs'!AC11</f>
        <v>2711198.1904006926</v>
      </c>
      <c r="W9" s="44">
        <f>'4. Non Adj 2023 CAM outputs'!V11+'4. Non Adj 2023 CAM outputs'!AD11</f>
        <v>8028171.1501045004</v>
      </c>
      <c r="X9" s="44">
        <f>'4. Non Adj 2023 CAM outputs'!W11+'4. Non Adj 2023 CAM outputs'!AE11</f>
        <v>14624122.65575246</v>
      </c>
      <c r="Y9" s="44">
        <f>'4. Non Adj 2023 CAM outputs'!X11+'4. Non Adj 2023 CAM outputs'!AF11</f>
        <v>7317830.1701212479</v>
      </c>
      <c r="Z9" s="44">
        <f>'4. Non Adj 2023 CAM outputs'!Y11+'4. Non Adj 2023 CAM outputs'!AG11</f>
        <v>15445880.934518985</v>
      </c>
      <c r="AA9" s="226">
        <f t="shared" si="8"/>
        <v>53335200.7123079</v>
      </c>
    </row>
    <row r="10" spans="1:27" x14ac:dyDescent="0.25">
      <c r="A10" s="334">
        <v>1830</v>
      </c>
      <c r="B10" s="56">
        <f>'3. Allocated Forecast Acq GBV'!I11</f>
        <v>9940642.6127909943</v>
      </c>
      <c r="C10" s="44">
        <f>'3. Allocated Forecast Acq GBV'!J11</f>
        <v>1898617.379803203</v>
      </c>
      <c r="D10" s="44">
        <f>'3. Allocated Forecast Acq GBV'!K11</f>
        <v>2594846.3058318798</v>
      </c>
      <c r="E10" s="44">
        <f>'3. Allocated Forecast Acq GBV'!I25</f>
        <v>39020022.185737237</v>
      </c>
      <c r="F10" s="44">
        <f>'3. Allocated Forecast Acq GBV'!J25</f>
        <v>9282280.9772722442</v>
      </c>
      <c r="G10" s="292">
        <f>'3. Allocated Forecast Acq GBV'!K25</f>
        <v>9872505.4945966434</v>
      </c>
      <c r="H10" s="293">
        <f>H35</f>
        <v>0</v>
      </c>
      <c r="I10" s="294">
        <f t="shared" ref="I10:M10" si="15">I35</f>
        <v>0</v>
      </c>
      <c r="J10" s="294">
        <f t="shared" si="15"/>
        <v>0</v>
      </c>
      <c r="K10" s="44">
        <f t="shared" si="15"/>
        <v>6625887.1788936211</v>
      </c>
      <c r="L10" s="44">
        <f t="shared" si="15"/>
        <v>1576199.6809083638</v>
      </c>
      <c r="M10" s="57">
        <f t="shared" si="15"/>
        <v>1676424.1513966941</v>
      </c>
      <c r="N10" s="56">
        <f>SUM(B10+H10)</f>
        <v>9940642.6127909943</v>
      </c>
      <c r="O10" s="44">
        <f t="shared" ref="O10:S16" si="16">SUM(C10+I10)</f>
        <v>1898617.379803203</v>
      </c>
      <c r="P10" s="44">
        <f t="shared" si="16"/>
        <v>2594846.3058318798</v>
      </c>
      <c r="Q10" s="44">
        <f t="shared" si="16"/>
        <v>45645909.364630856</v>
      </c>
      <c r="R10" s="44">
        <f t="shared" si="16"/>
        <v>10858480.658180607</v>
      </c>
      <c r="S10" s="44">
        <f t="shared" si="16"/>
        <v>11548929.645993337</v>
      </c>
      <c r="T10" s="226">
        <f>SUM(N10:S10)</f>
        <v>82487425.967230871</v>
      </c>
      <c r="U10" s="56">
        <f>'4. Non Adj 2023 CAM outputs'!T12+'4. Non Adj 2023 CAM outputs'!AB12</f>
        <v>38247010.439533375</v>
      </c>
      <c r="V10" s="44">
        <f>'4. Non Adj 2023 CAM outputs'!U12+'4. Non Adj 2023 CAM outputs'!AC12</f>
        <v>10345364.145561006</v>
      </c>
      <c r="W10" s="44">
        <f>'4. Non Adj 2023 CAM outputs'!V12+'4. Non Adj 2023 CAM outputs'!AD12</f>
        <v>17319131.568617553</v>
      </c>
      <c r="X10" s="44">
        <f>'4. Non Adj 2023 CAM outputs'!W12+'4. Non Adj 2023 CAM outputs'!AE12</f>
        <v>103067576.25804369</v>
      </c>
      <c r="Y10" s="44">
        <f>'4. Non Adj 2023 CAM outputs'!X12+'4. Non Adj 2023 CAM outputs'!AF12</f>
        <v>29095231.497349925</v>
      </c>
      <c r="Z10" s="44">
        <f>'4. Non Adj 2023 CAM outputs'!Y12+'4. Non Adj 2023 CAM outputs'!AG12</f>
        <v>31908057.270024672</v>
      </c>
      <c r="AA10" s="226">
        <f>SUM(U10:Z10)</f>
        <v>229982371.1791302</v>
      </c>
    </row>
    <row r="11" spans="1:27" x14ac:dyDescent="0.25">
      <c r="A11" s="334">
        <v>1835</v>
      </c>
      <c r="B11" s="56">
        <f>'3. Allocated Forecast Acq GBV'!I12</f>
        <v>6029525.2050200254</v>
      </c>
      <c r="C11" s="44">
        <f>'3. Allocated Forecast Acq GBV'!J12</f>
        <v>815805.38115260191</v>
      </c>
      <c r="D11" s="44">
        <f>'3. Allocated Forecast Acq GBV'!K12</f>
        <v>1114963.2165074677</v>
      </c>
      <c r="E11" s="44">
        <f>'3. Allocated Forecast Acq GBV'!I26</f>
        <v>23352732.955119494</v>
      </c>
      <c r="F11" s="44">
        <f>'3. Allocated Forecast Acq GBV'!J26</f>
        <v>5512638.5928290188</v>
      </c>
      <c r="G11" s="292">
        <f>'3. Allocated Forecast Acq GBV'!K26</f>
        <v>5774716.3529989617</v>
      </c>
      <c r="H11" s="144">
        <f>H44</f>
        <v>0</v>
      </c>
      <c r="I11" s="145">
        <f t="shared" ref="I11:M11" si="17">I44</f>
        <v>0</v>
      </c>
      <c r="J11" s="145">
        <f t="shared" si="17"/>
        <v>0</v>
      </c>
      <c r="K11" s="44">
        <f t="shared" si="17"/>
        <v>3120621.5144555867</v>
      </c>
      <c r="L11" s="44">
        <f t="shared" si="17"/>
        <v>736652.90599013667</v>
      </c>
      <c r="M11" s="300">
        <f t="shared" si="17"/>
        <v>771674.31005528104</v>
      </c>
      <c r="N11" s="56">
        <f t="shared" ref="N11:N16" si="18">SUM(B11+H11)</f>
        <v>6029525.2050200254</v>
      </c>
      <c r="O11" s="44">
        <f t="shared" si="16"/>
        <v>815805.38115260191</v>
      </c>
      <c r="P11" s="44">
        <f t="shared" si="16"/>
        <v>1114963.2165074677</v>
      </c>
      <c r="Q11" s="44">
        <f t="shared" si="16"/>
        <v>26473354.469575081</v>
      </c>
      <c r="R11" s="44">
        <f t="shared" si="16"/>
        <v>6249291.4988191556</v>
      </c>
      <c r="S11" s="44">
        <f t="shared" si="16"/>
        <v>6546390.6630542427</v>
      </c>
      <c r="T11" s="226">
        <f t="shared" ref="T11:T16" si="19">SUM(N11:S11)</f>
        <v>47229330.434128575</v>
      </c>
      <c r="U11" s="56">
        <f>'4. Non Adj 2023 CAM outputs'!T13+'4. Non Adj 2023 CAM outputs'!AB13</f>
        <v>19338197.371444806</v>
      </c>
      <c r="V11" s="44">
        <f>'4. Non Adj 2023 CAM outputs'!U13+'4. Non Adj 2023 CAM outputs'!AC13</f>
        <v>4880307.3934718613</v>
      </c>
      <c r="W11" s="44">
        <f>'4. Non Adj 2023 CAM outputs'!V13+'4. Non Adj 2023 CAM outputs'!AD13</f>
        <v>10477617.355774766</v>
      </c>
      <c r="X11" s="44">
        <f>'4. Non Adj 2023 CAM outputs'!W13+'4. Non Adj 2023 CAM outputs'!AE13</f>
        <v>51724898.137227476</v>
      </c>
      <c r="Y11" s="44">
        <f>'4. Non Adj 2023 CAM outputs'!X13+'4. Non Adj 2023 CAM outputs'!AF13</f>
        <v>13756797.372468608</v>
      </c>
      <c r="Z11" s="44">
        <f>'4. Non Adj 2023 CAM outputs'!Y13+'4. Non Adj 2023 CAM outputs'!AG13</f>
        <v>19514085.729879986</v>
      </c>
      <c r="AA11" s="226">
        <f t="shared" ref="AA11:AA16" si="20">SUM(U11:Z11)</f>
        <v>119691903.36026751</v>
      </c>
    </row>
    <row r="12" spans="1:27" x14ac:dyDescent="0.25">
      <c r="A12" s="334">
        <v>1840</v>
      </c>
      <c r="B12" s="56">
        <f>'3. Allocated Forecast Acq GBV'!I13</f>
        <v>3530180.765196322</v>
      </c>
      <c r="C12" s="44">
        <f>'3. Allocated Forecast Acq GBV'!J13</f>
        <v>410314.94996005093</v>
      </c>
      <c r="D12" s="44">
        <f>'3. Allocated Forecast Acq GBV'!K13</f>
        <v>560779.44622621615</v>
      </c>
      <c r="E12" s="44">
        <f>'3. Allocated Forecast Acq GBV'!I27</f>
        <v>4238872.4977131682</v>
      </c>
      <c r="F12" s="44">
        <f>'3. Allocated Forecast Acq GBV'!J27</f>
        <v>1066330.5231210061</v>
      </c>
      <c r="G12" s="292">
        <f>'3. Allocated Forecast Acq GBV'!K27</f>
        <v>1143899.5292167196</v>
      </c>
      <c r="H12" s="144">
        <f>H47</f>
        <v>0</v>
      </c>
      <c r="I12" s="145">
        <f t="shared" ref="I12:M12" si="21">I47</f>
        <v>0</v>
      </c>
      <c r="J12" s="145">
        <f t="shared" si="21"/>
        <v>0</v>
      </c>
      <c r="K12" s="44">
        <f t="shared" si="21"/>
        <v>409855.44665767951</v>
      </c>
      <c r="L12" s="44">
        <f t="shared" si="21"/>
        <v>103103.21272325523</v>
      </c>
      <c r="M12" s="300">
        <f t="shared" si="21"/>
        <v>110603.33915010633</v>
      </c>
      <c r="N12" s="56">
        <f>SUM(B12+H12)</f>
        <v>3530180.765196322</v>
      </c>
      <c r="O12" s="44">
        <f t="shared" si="16"/>
        <v>410314.94996005093</v>
      </c>
      <c r="P12" s="44">
        <f t="shared" si="16"/>
        <v>560779.44622621615</v>
      </c>
      <c r="Q12" s="44">
        <f t="shared" si="16"/>
        <v>4648727.9443708472</v>
      </c>
      <c r="R12" s="44">
        <f t="shared" si="16"/>
        <v>1169433.7358442612</v>
      </c>
      <c r="S12" s="44">
        <f t="shared" si="16"/>
        <v>1254502.8683668259</v>
      </c>
      <c r="T12" s="226">
        <f t="shared" si="19"/>
        <v>11573939.709964525</v>
      </c>
      <c r="U12" s="56">
        <f>'4. Non Adj 2023 CAM outputs'!T14+'4. Non Adj 2023 CAM outputs'!AB14</f>
        <v>280044.64146990725</v>
      </c>
      <c r="V12" s="44">
        <f>'4. Non Adj 2023 CAM outputs'!U14+'4. Non Adj 2023 CAM outputs'!AC14</f>
        <v>68647.808099746326</v>
      </c>
      <c r="W12" s="44">
        <f>'4. Non Adj 2023 CAM outputs'!V14+'4. Non Adj 2023 CAM outputs'!AD14</f>
        <v>160957.31292933662</v>
      </c>
      <c r="X12" s="44">
        <f>'4. Non Adj 2023 CAM outputs'!W14+'4. Non Adj 2023 CAM outputs'!AE14</f>
        <v>740851.53636873967</v>
      </c>
      <c r="Y12" s="44">
        <f>'4. Non Adj 2023 CAM outputs'!X14+'4. Non Adj 2023 CAM outputs'!AF14</f>
        <v>192333.75680344331</v>
      </c>
      <c r="Z12" s="44">
        <f>'4. Non Adj 2023 CAM outputs'!Y14+'4. Non Adj 2023 CAM outputs'!AG14</f>
        <v>304023.10564350116</v>
      </c>
      <c r="AA12" s="226">
        <f t="shared" si="20"/>
        <v>1746858.1613146742</v>
      </c>
    </row>
    <row r="13" spans="1:27" x14ac:dyDescent="0.25">
      <c r="A13" s="334">
        <v>1845</v>
      </c>
      <c r="B13" s="56">
        <f>'3. Allocated Forecast Acq GBV'!I14</f>
        <v>6569185.217552254</v>
      </c>
      <c r="C13" s="44">
        <f>'3. Allocated Forecast Acq GBV'!J14</f>
        <v>763540.70076308411</v>
      </c>
      <c r="D13" s="44">
        <f>'3. Allocated Forecast Acq GBV'!K14</f>
        <v>1043534.8232559344</v>
      </c>
      <c r="E13" s="44">
        <f>'3. Allocated Forecast Acq GBV'!I28</f>
        <v>11246595.496334009</v>
      </c>
      <c r="F13" s="44">
        <f>'3. Allocated Forecast Acq GBV'!J28</f>
        <v>2595557.0706801913</v>
      </c>
      <c r="G13" s="292">
        <f>'3. Allocated Forecast Acq GBV'!K28</f>
        <v>2619923.0159329828</v>
      </c>
      <c r="H13" s="144">
        <f>H52</f>
        <v>0</v>
      </c>
      <c r="I13" s="145">
        <f t="shared" ref="I13:M13" si="22">I52</f>
        <v>0</v>
      </c>
      <c r="J13" s="145">
        <f t="shared" si="22"/>
        <v>0</v>
      </c>
      <c r="K13" s="44">
        <f t="shared" si="22"/>
        <v>1087430.3067655354</v>
      </c>
      <c r="L13" s="44">
        <f t="shared" si="22"/>
        <v>250963.71808848693</v>
      </c>
      <c r="M13" s="300">
        <f t="shared" si="22"/>
        <v>253319.65480991628</v>
      </c>
      <c r="N13" s="56">
        <f>SUM(B13+H13)</f>
        <v>6569185.217552254</v>
      </c>
      <c r="O13" s="44">
        <f t="shared" si="16"/>
        <v>763540.70076308411</v>
      </c>
      <c r="P13" s="44">
        <f t="shared" si="16"/>
        <v>1043534.8232559344</v>
      </c>
      <c r="Q13" s="44">
        <f t="shared" si="16"/>
        <v>12334025.803099545</v>
      </c>
      <c r="R13" s="44">
        <f t="shared" si="16"/>
        <v>2846520.788768678</v>
      </c>
      <c r="S13" s="44">
        <f t="shared" si="16"/>
        <v>2873242.6707428992</v>
      </c>
      <c r="T13" s="226">
        <f t="shared" si="19"/>
        <v>26430050.004182395</v>
      </c>
      <c r="U13" s="56">
        <f>'4. Non Adj 2023 CAM outputs'!T15+'4. Non Adj 2023 CAM outputs'!AB15</f>
        <v>4417738.2330507329</v>
      </c>
      <c r="V13" s="44">
        <f>'4. Non Adj 2023 CAM outputs'!U15+'4. Non Adj 2023 CAM outputs'!AC15</f>
        <v>1082927.5106482171</v>
      </c>
      <c r="W13" s="44">
        <f>'4. Non Adj 2023 CAM outputs'!V15+'4. Non Adj 2023 CAM outputs'!AD15</f>
        <v>2539121.1611290569</v>
      </c>
      <c r="X13" s="44">
        <f>'4. Non Adj 2023 CAM outputs'!W15+'4. Non Adj 2023 CAM outputs'!AE15</f>
        <v>11687022.969094202</v>
      </c>
      <c r="Y13" s="44">
        <f>'4. Non Adj 2023 CAM outputs'!X15+'4. Non Adj 2023 CAM outputs'!AF15</f>
        <v>3034088.3741857172</v>
      </c>
      <c r="Z13" s="44">
        <f>'4. Non Adj 2023 CAM outputs'!Y15+'4. Non Adj 2023 CAM outputs'!AG15</f>
        <v>4796001.4177826783</v>
      </c>
      <c r="AA13" s="226">
        <f t="shared" si="20"/>
        <v>27556899.665890604</v>
      </c>
    </row>
    <row r="14" spans="1:27" x14ac:dyDescent="0.25">
      <c r="A14" s="334">
        <v>1850</v>
      </c>
      <c r="B14" s="56">
        <f>'3. Allocated Forecast Acq GBV'!I15</f>
        <v>7058540.7440145174</v>
      </c>
      <c r="C14" s="44">
        <f>'3. Allocated Forecast Acq GBV'!J15</f>
        <v>2151247.287447453</v>
      </c>
      <c r="D14" s="44">
        <f>'3. Allocated Forecast Acq GBV'!K15</f>
        <v>2312437.4937261967</v>
      </c>
      <c r="E14" s="44">
        <f>'3. Allocated Forecast Acq GBV'!I29</f>
        <v>30473555.503058713</v>
      </c>
      <c r="F14" s="44">
        <f>'3. Allocated Forecast Acq GBV'!J29</f>
        <v>7273199.9151607705</v>
      </c>
      <c r="G14" s="292">
        <f>'3. Allocated Forecast Acq GBV'!K29</f>
        <v>6614670.8376210639</v>
      </c>
      <c r="H14" s="295"/>
      <c r="I14" s="296"/>
      <c r="J14" s="296"/>
      <c r="K14" s="145"/>
      <c r="L14" s="145"/>
      <c r="M14" s="158"/>
      <c r="N14" s="56">
        <f t="shared" si="18"/>
        <v>7058540.7440145174</v>
      </c>
      <c r="O14" s="44">
        <f t="shared" si="16"/>
        <v>2151247.287447453</v>
      </c>
      <c r="P14" s="44">
        <f t="shared" si="16"/>
        <v>2312437.4937261967</v>
      </c>
      <c r="Q14" s="44">
        <f t="shared" si="16"/>
        <v>30473555.503058713</v>
      </c>
      <c r="R14" s="44">
        <f t="shared" si="16"/>
        <v>7273199.9151607705</v>
      </c>
      <c r="S14" s="44">
        <f t="shared" si="16"/>
        <v>6614670.8376210639</v>
      </c>
      <c r="T14" s="226">
        <f t="shared" si="19"/>
        <v>55883651.78102871</v>
      </c>
      <c r="U14" s="56">
        <f>'4. Non Adj 2023 CAM outputs'!T16+'4. Non Adj 2023 CAM outputs'!AB16</f>
        <v>18472330.205654748</v>
      </c>
      <c r="V14" s="44">
        <f>'4. Non Adj 2023 CAM outputs'!U16+'4. Non Adj 2023 CAM outputs'!AC16</f>
        <v>9250971.0096245278</v>
      </c>
      <c r="W14" s="44">
        <f>'4. Non Adj 2023 CAM outputs'!V16+'4. Non Adj 2023 CAM outputs'!AD16</f>
        <v>16643318.187467895</v>
      </c>
      <c r="X14" s="44">
        <f>'4. Non Adj 2023 CAM outputs'!W16+'4. Non Adj 2023 CAM outputs'!AE16</f>
        <v>46539428.883548468</v>
      </c>
      <c r="Y14" s="44">
        <f>'4. Non Adj 2023 CAM outputs'!X16+'4. Non Adj 2023 CAM outputs'!AF16</f>
        <v>23782635.45640894</v>
      </c>
      <c r="Z14" s="44">
        <f>'4. Non Adj 2023 CAM outputs'!Y16+'4. Non Adj 2023 CAM outputs'!AG16</f>
        <v>39352701.429399796</v>
      </c>
      <c r="AA14" s="226">
        <f t="shared" si="20"/>
        <v>154041385.17210436</v>
      </c>
    </row>
    <row r="15" spans="1:27" x14ac:dyDescent="0.25">
      <c r="A15" s="334">
        <v>1855</v>
      </c>
      <c r="B15" s="56">
        <f>'3. Allocated Forecast Acq GBV'!I16</f>
        <v>0</v>
      </c>
      <c r="C15" s="44">
        <f>'3. Allocated Forecast Acq GBV'!J16</f>
        <v>0</v>
      </c>
      <c r="D15" s="44">
        <f>'3. Allocated Forecast Acq GBV'!K16</f>
        <v>0</v>
      </c>
      <c r="E15" s="44">
        <f>'3. Allocated Forecast Acq GBV'!I30</f>
        <v>4951861.9631531136</v>
      </c>
      <c r="F15" s="44">
        <f>'3. Allocated Forecast Acq GBV'!J30</f>
        <v>935442.5838092909</v>
      </c>
      <c r="G15" s="292">
        <f>'3. Allocated Forecast Acq GBV'!K30</f>
        <v>164415.59283624208</v>
      </c>
      <c r="H15" s="144"/>
      <c r="I15" s="145"/>
      <c r="J15" s="145"/>
      <c r="K15" s="145"/>
      <c r="L15" s="145"/>
      <c r="M15" s="158"/>
      <c r="N15" s="56">
        <f t="shared" si="18"/>
        <v>0</v>
      </c>
      <c r="O15" s="44">
        <f t="shared" si="16"/>
        <v>0</v>
      </c>
      <c r="P15" s="44">
        <f t="shared" si="16"/>
        <v>0</v>
      </c>
      <c r="Q15" s="44">
        <f t="shared" si="16"/>
        <v>4951861.9631531136</v>
      </c>
      <c r="R15" s="44">
        <f t="shared" si="16"/>
        <v>935442.5838092909</v>
      </c>
      <c r="S15" s="44">
        <f t="shared" si="16"/>
        <v>164415.59283624208</v>
      </c>
      <c r="T15" s="226">
        <f t="shared" si="19"/>
        <v>6051720.1397986468</v>
      </c>
      <c r="U15" s="56">
        <f>'4. Non Adj 2023 CAM outputs'!T17+'4. Non Adj 2023 CAM outputs'!AB17</f>
        <v>5532892.0865150951</v>
      </c>
      <c r="V15" s="44">
        <f>'4. Non Adj 2023 CAM outputs'!U17+'4. Non Adj 2023 CAM outputs'!AC17</f>
        <v>0</v>
      </c>
      <c r="W15" s="44">
        <f>'4. Non Adj 2023 CAM outputs'!V17+'4. Non Adj 2023 CAM outputs'!AD17</f>
        <v>0</v>
      </c>
      <c r="X15" s="44">
        <f>'4. Non Adj 2023 CAM outputs'!W17+'4. Non Adj 2023 CAM outputs'!AE17</f>
        <v>20909460.385936491</v>
      </c>
      <c r="Y15" s="44">
        <f>'4. Non Adj 2023 CAM outputs'!X17+'4. Non Adj 2023 CAM outputs'!AF17</f>
        <v>0</v>
      </c>
      <c r="Z15" s="44">
        <f>'4. Non Adj 2023 CAM outputs'!Y17+'4. Non Adj 2023 CAM outputs'!AG17</f>
        <v>0</v>
      </c>
      <c r="AA15" s="226">
        <f t="shared" si="20"/>
        <v>26442352.472451586</v>
      </c>
    </row>
    <row r="16" spans="1:27" ht="15.75" thickBot="1" x14ac:dyDescent="0.3">
      <c r="A16" s="335">
        <v>1860</v>
      </c>
      <c r="B16" s="58">
        <f>'3. Allocated Forecast Acq GBV'!I17</f>
        <v>2586853.0392361153</v>
      </c>
      <c r="C16" s="59">
        <f>'3. Allocated Forecast Acq GBV'!J17</f>
        <v>3502876.0781355216</v>
      </c>
      <c r="D16" s="59">
        <f>'3. Allocated Forecast Acq GBV'!K17</f>
        <v>1824550.5624628493</v>
      </c>
      <c r="E16" s="59">
        <f>'3. Allocated Forecast Acq GBV'!I31</f>
        <v>11630218.687017834</v>
      </c>
      <c r="F16" s="59">
        <f>'3. Allocated Forecast Acq GBV'!J31</f>
        <v>2776020.4408816341</v>
      </c>
      <c r="G16" s="298">
        <f>'3. Allocated Forecast Acq GBV'!K31</f>
        <v>1128785.4401122753</v>
      </c>
      <c r="H16" s="146"/>
      <c r="I16" s="147"/>
      <c r="J16" s="147"/>
      <c r="K16" s="147"/>
      <c r="L16" s="147"/>
      <c r="M16" s="299"/>
      <c r="N16" s="58">
        <f t="shared" si="18"/>
        <v>2586853.0392361153</v>
      </c>
      <c r="O16" s="59">
        <f t="shared" si="16"/>
        <v>3502876.0781355216</v>
      </c>
      <c r="P16" s="59">
        <f t="shared" si="16"/>
        <v>1824550.5624628493</v>
      </c>
      <c r="Q16" s="59">
        <f t="shared" si="16"/>
        <v>11630218.687017834</v>
      </c>
      <c r="R16" s="59">
        <f t="shared" si="16"/>
        <v>2776020.4408816341</v>
      </c>
      <c r="S16" s="59">
        <f t="shared" si="16"/>
        <v>1128785.4401122753</v>
      </c>
      <c r="T16" s="227">
        <f t="shared" si="19"/>
        <v>23449304.247846227</v>
      </c>
      <c r="U16" s="58">
        <f>'4. Non Adj 2023 CAM outputs'!T18+'4. Non Adj 2023 CAM outputs'!AB18</f>
        <v>7090725.0516909054</v>
      </c>
      <c r="V16" s="59">
        <f>'4. Non Adj 2023 CAM outputs'!U18+'4. Non Adj 2023 CAM outputs'!AC18</f>
        <v>1558868.8351465357</v>
      </c>
      <c r="W16" s="59">
        <f>'4. Non Adj 2023 CAM outputs'!V18+'4. Non Adj 2023 CAM outputs'!AD18</f>
        <v>424715.07666496927</v>
      </c>
      <c r="X16" s="59">
        <f>'4. Non Adj 2023 CAM outputs'!W18+'4. Non Adj 2023 CAM outputs'!AE18</f>
        <v>13694687.930010043</v>
      </c>
      <c r="Y16" s="59">
        <f>'4. Non Adj 2023 CAM outputs'!X18+'4. Non Adj 2023 CAM outputs'!AF18</f>
        <v>3032652.7847565091</v>
      </c>
      <c r="Z16" s="59">
        <f>'4. Non Adj 2023 CAM outputs'!Y18+'4. Non Adj 2023 CAM outputs'!AG18</f>
        <v>878775.16022634774</v>
      </c>
      <c r="AA16" s="227">
        <f t="shared" si="20"/>
        <v>26680424.83849531</v>
      </c>
    </row>
    <row r="17" spans="1:27" x14ac:dyDescent="0.25">
      <c r="A17" s="336" t="s">
        <v>18</v>
      </c>
      <c r="B17" s="50"/>
      <c r="C17" s="50"/>
      <c r="D17" s="50"/>
      <c r="E17" s="50"/>
      <c r="F17" s="50"/>
      <c r="G17" s="50"/>
      <c r="H17" s="96">
        <f>SUM(H8:H16)</f>
        <v>0</v>
      </c>
      <c r="I17" s="96">
        <f t="shared" ref="I17:M17" si="23">SUM(I8:I16)</f>
        <v>0</v>
      </c>
      <c r="J17" s="96">
        <f t="shared" si="23"/>
        <v>0</v>
      </c>
      <c r="K17" s="96">
        <f t="shared" si="23"/>
        <v>11243794.446772425</v>
      </c>
      <c r="L17" s="96">
        <f t="shared" si="23"/>
        <v>2666919.5177102424</v>
      </c>
      <c r="M17" s="96">
        <f t="shared" si="23"/>
        <v>2812021.4554119981</v>
      </c>
      <c r="N17" s="96">
        <f>SUM(N8:N16)</f>
        <v>36012571.005534612</v>
      </c>
      <c r="O17" s="96">
        <f t="shared" ref="O17:U17" si="24">SUM(O8:O16)</f>
        <v>9704467.3712470867</v>
      </c>
      <c r="P17" s="96">
        <f t="shared" si="24"/>
        <v>9724811.3297517039</v>
      </c>
      <c r="Q17" s="96">
        <f t="shared" si="24"/>
        <v>142014820.21016181</v>
      </c>
      <c r="R17" s="96">
        <f t="shared" si="24"/>
        <v>34483199.906216569</v>
      </c>
      <c r="S17" s="96">
        <f t="shared" si="24"/>
        <v>34448303.7711927</v>
      </c>
      <c r="T17" s="96">
        <f t="shared" si="24"/>
        <v>266388173.59410444</v>
      </c>
      <c r="U17" s="96">
        <f t="shared" si="24"/>
        <v>100003811.11089543</v>
      </c>
      <c r="V17" s="96">
        <f>SUM(V8:V16)</f>
        <v>30277931.458849121</v>
      </c>
      <c r="W17" s="96">
        <f t="shared" ref="W17" si="25">SUM(W8:W16)</f>
        <v>56611429.250605613</v>
      </c>
      <c r="X17" s="96">
        <f t="shared" ref="X17" si="26">SUM(X8:X16)</f>
        <v>266980031.21543354</v>
      </c>
      <c r="Y17" s="96">
        <f t="shared" ref="Y17" si="27">SUM(Y8:Y16)</f>
        <v>81320421.569760948</v>
      </c>
      <c r="Z17" s="96">
        <f t="shared" ref="Z17" si="28">SUM(Z8:Z16)</f>
        <v>114006800.13543826</v>
      </c>
      <c r="AA17" s="96">
        <f t="shared" ref="AA17" si="29">SUM(AA8:AA16)</f>
        <v>649200424.74098277</v>
      </c>
    </row>
    <row r="18" spans="1:27" x14ac:dyDescent="0.25">
      <c r="A18" s="337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R18" s="228"/>
      <c r="S18" s="228"/>
      <c r="T18" s="229" t="s">
        <v>329</v>
      </c>
      <c r="U18" s="208">
        <f>N17/U17</f>
        <v>0.36011198578822001</v>
      </c>
      <c r="V18" s="208">
        <f t="shared" ref="V18:AA18" si="30">O17/V17</f>
        <v>0.32051289185446746</v>
      </c>
      <c r="W18" s="208">
        <f t="shared" si="30"/>
        <v>0.17178176665885309</v>
      </c>
      <c r="X18" s="208">
        <f t="shared" si="30"/>
        <v>0.53193049518960511</v>
      </c>
      <c r="Y18" s="208">
        <f t="shared" si="30"/>
        <v>0.42404108636641857</v>
      </c>
      <c r="Z18" s="208">
        <f t="shared" si="30"/>
        <v>0.30216007931341521</v>
      </c>
      <c r="AA18" s="208">
        <f t="shared" si="30"/>
        <v>0.41033271612597555</v>
      </c>
    </row>
    <row r="19" spans="1:27" ht="15.75" thickBot="1" x14ac:dyDescent="0.3">
      <c r="A19" s="337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R19" s="16"/>
      <c r="S19" s="16"/>
      <c r="T19" s="212"/>
      <c r="U19" s="207"/>
      <c r="V19" s="207"/>
      <c r="W19" s="207"/>
      <c r="X19" s="207"/>
      <c r="Y19" s="207"/>
      <c r="Z19" s="207"/>
      <c r="AA19" s="207"/>
    </row>
    <row r="20" spans="1:27" s="16" customFormat="1" x14ac:dyDescent="0.25">
      <c r="A20" s="343"/>
      <c r="B20" s="344"/>
      <c r="C20" s="344"/>
      <c r="D20" s="344"/>
      <c r="E20" s="344"/>
      <c r="F20" s="344"/>
      <c r="G20" s="344"/>
      <c r="H20" s="344"/>
      <c r="I20" s="344"/>
      <c r="J20" s="344"/>
      <c r="K20" s="344"/>
      <c r="L20" s="344"/>
      <c r="M20" s="345"/>
    </row>
    <row r="21" spans="1:27" ht="102" x14ac:dyDescent="0.25">
      <c r="A21" s="346" t="s">
        <v>270</v>
      </c>
      <c r="B21" s="31"/>
      <c r="C21" s="213" t="s">
        <v>273</v>
      </c>
      <c r="D21" s="214" t="s">
        <v>271</v>
      </c>
      <c r="E21" s="214" t="s">
        <v>272</v>
      </c>
      <c r="F21" s="33" t="s">
        <v>328</v>
      </c>
      <c r="G21" s="342" t="s">
        <v>330</v>
      </c>
      <c r="H21" s="51" t="s">
        <v>274</v>
      </c>
      <c r="I21" s="51" t="s">
        <v>275</v>
      </c>
      <c r="J21" s="51" t="s">
        <v>276</v>
      </c>
      <c r="K21" s="51" t="s">
        <v>277</v>
      </c>
      <c r="L21" s="51" t="s">
        <v>278</v>
      </c>
      <c r="M21" s="51" t="s">
        <v>279</v>
      </c>
      <c r="R21" s="16"/>
      <c r="S21" s="16"/>
    </row>
    <row r="22" spans="1:27" ht="25.5" x14ac:dyDescent="0.25">
      <c r="A22" s="347">
        <v>1815</v>
      </c>
      <c r="B22" s="348" t="s">
        <v>283</v>
      </c>
      <c r="C22" s="349">
        <v>252700760.93642515</v>
      </c>
      <c r="D22" s="349"/>
      <c r="E22" s="350"/>
      <c r="F22" s="351">
        <v>1</v>
      </c>
      <c r="G22" s="352">
        <f>'5a. Acq Bulk Factors'!R11</f>
        <v>0.28162882582512855</v>
      </c>
      <c r="H22" s="353"/>
      <c r="I22" s="353"/>
      <c r="J22" s="353"/>
      <c r="K22" s="32"/>
      <c r="L22" s="32"/>
      <c r="M22" s="32"/>
    </row>
    <row r="23" spans="1:27" x14ac:dyDescent="0.25">
      <c r="A23" s="354" t="s">
        <v>292</v>
      </c>
      <c r="B23" s="355" t="s">
        <v>293</v>
      </c>
      <c r="C23" s="349"/>
      <c r="D23" s="351">
        <v>0.79048779610762698</v>
      </c>
      <c r="E23" s="44">
        <f>C22*D23</f>
        <v>199756867.58735505</v>
      </c>
      <c r="F23" s="356"/>
      <c r="G23" s="357"/>
      <c r="H23" s="358"/>
      <c r="I23" s="359"/>
      <c r="J23" s="360"/>
      <c r="K23" s="361"/>
      <c r="L23" s="357"/>
      <c r="M23" s="362"/>
      <c r="O23" s="50"/>
    </row>
    <row r="24" spans="1:27" s="150" customFormat="1" x14ac:dyDescent="0.25">
      <c r="A24" s="354" t="s">
        <v>294</v>
      </c>
      <c r="B24" s="355" t="s">
        <v>295</v>
      </c>
      <c r="C24" s="349"/>
      <c r="D24" s="351">
        <v>0.20951220389237302</v>
      </c>
      <c r="E24" s="44">
        <f>C22*D24</f>
        <v>52943893.349070117</v>
      </c>
      <c r="F24" s="361"/>
      <c r="G24" s="357"/>
      <c r="H24" s="358"/>
      <c r="I24" s="359"/>
      <c r="J24" s="360"/>
      <c r="K24" s="361"/>
      <c r="L24" s="357"/>
      <c r="M24" s="362"/>
      <c r="N24" s="50"/>
      <c r="O24" s="152"/>
      <c r="P24" s="154"/>
      <c r="R24"/>
      <c r="S24"/>
      <c r="T24"/>
      <c r="U24"/>
      <c r="V24"/>
      <c r="W24"/>
      <c r="X24"/>
      <c r="Y24"/>
      <c r="Z24"/>
      <c r="AA24"/>
    </row>
    <row r="25" spans="1:27" s="150" customFormat="1" ht="25.5" x14ac:dyDescent="0.25">
      <c r="A25" s="347">
        <v>1820</v>
      </c>
      <c r="B25" s="348" t="s">
        <v>285</v>
      </c>
      <c r="C25" s="349">
        <v>927794765.23042011</v>
      </c>
      <c r="D25" s="349"/>
      <c r="E25" s="350"/>
      <c r="F25" s="351">
        <v>0</v>
      </c>
      <c r="G25" s="352">
        <f>G22</f>
        <v>0.28162882582512855</v>
      </c>
      <c r="H25" s="353"/>
      <c r="I25" s="353"/>
      <c r="J25" s="353"/>
      <c r="K25" s="32"/>
      <c r="L25" s="32"/>
      <c r="M25" s="32"/>
      <c r="N25" s="155"/>
      <c r="O25" s="152"/>
      <c r="P25" s="154"/>
      <c r="R25"/>
      <c r="S25"/>
      <c r="T25"/>
      <c r="U25"/>
      <c r="V25"/>
      <c r="W25"/>
      <c r="X25"/>
      <c r="Y25"/>
      <c r="Z25"/>
      <c r="AA25"/>
    </row>
    <row r="26" spans="1:27" s="150" customFormat="1" ht="38.25" x14ac:dyDescent="0.25">
      <c r="A26" s="363" t="s">
        <v>286</v>
      </c>
      <c r="B26" s="364" t="s">
        <v>287</v>
      </c>
      <c r="C26" s="349"/>
      <c r="D26" s="365"/>
      <c r="E26" s="350"/>
      <c r="F26" s="361"/>
      <c r="G26" s="357"/>
      <c r="H26" s="358"/>
      <c r="I26" s="359"/>
      <c r="J26" s="360"/>
      <c r="K26" s="361"/>
      <c r="L26" s="357"/>
      <c r="M26" s="362"/>
      <c r="N26" s="151"/>
      <c r="O26" s="152"/>
      <c r="P26" s="154"/>
      <c r="R26"/>
      <c r="S26"/>
      <c r="T26"/>
      <c r="U26"/>
      <c r="V26"/>
      <c r="W26"/>
      <c r="X26"/>
      <c r="Y26"/>
      <c r="Z26"/>
      <c r="AA26"/>
    </row>
    <row r="27" spans="1:27" s="150" customFormat="1" ht="38.25" x14ac:dyDescent="0.25">
      <c r="A27" s="363" t="s">
        <v>288</v>
      </c>
      <c r="B27" s="364" t="s">
        <v>296</v>
      </c>
      <c r="C27" s="349"/>
      <c r="D27" s="351">
        <v>0.88983585989146041</v>
      </c>
      <c r="E27" s="44">
        <f>D27*C25</f>
        <v>825585052.72160649</v>
      </c>
      <c r="F27" s="361"/>
      <c r="G27" s="357"/>
      <c r="H27" s="358"/>
      <c r="I27" s="359"/>
      <c r="J27" s="360"/>
      <c r="K27" s="361"/>
      <c r="L27" s="357"/>
      <c r="M27" s="362"/>
      <c r="N27" s="151"/>
      <c r="O27" s="152"/>
      <c r="P27" s="154"/>
      <c r="R27"/>
      <c r="S27"/>
      <c r="T27"/>
      <c r="U27"/>
      <c r="V27"/>
      <c r="W27"/>
      <c r="X27"/>
      <c r="Y27"/>
      <c r="Z27"/>
      <c r="AA27"/>
    </row>
    <row r="28" spans="1:27" s="150" customFormat="1" ht="38.25" x14ac:dyDescent="0.25">
      <c r="A28" s="363" t="s">
        <v>290</v>
      </c>
      <c r="B28" s="364" t="s">
        <v>291</v>
      </c>
      <c r="C28" s="349"/>
      <c r="D28" s="351">
        <v>0.11016414010853959</v>
      </c>
      <c r="E28" s="44">
        <f>D28*C25</f>
        <v>102209712.50881359</v>
      </c>
      <c r="F28" s="356"/>
      <c r="G28" s="357"/>
      <c r="H28" s="358"/>
      <c r="I28" s="366"/>
      <c r="J28" s="360"/>
      <c r="K28" s="361"/>
      <c r="L28" s="367"/>
      <c r="M28" s="362"/>
      <c r="N28" s="155"/>
      <c r="O28" s="152"/>
      <c r="P28" s="154"/>
      <c r="R28"/>
      <c r="S28"/>
      <c r="T28"/>
      <c r="U28"/>
      <c r="V28"/>
      <c r="W28"/>
      <c r="X28"/>
      <c r="Y28"/>
      <c r="Z28"/>
      <c r="AA28"/>
    </row>
    <row r="29" spans="1:27" s="150" customFormat="1" x14ac:dyDescent="0.25">
      <c r="A29" s="347">
        <v>1830</v>
      </c>
      <c r="B29" s="348" t="s">
        <v>22</v>
      </c>
      <c r="C29" s="368">
        <v>5010196863.3911695</v>
      </c>
      <c r="D29" s="351">
        <v>0</v>
      </c>
      <c r="E29" s="350">
        <f t="shared" ref="E29" si="31">D29*$C28</f>
        <v>0</v>
      </c>
      <c r="F29" s="31"/>
      <c r="G29" s="369"/>
      <c r="H29" s="370"/>
      <c r="I29" s="370"/>
      <c r="J29" s="370"/>
      <c r="K29" s="31"/>
      <c r="L29" s="31"/>
      <c r="M29" s="31"/>
      <c r="N29" s="151"/>
      <c r="O29" s="152"/>
      <c r="P29" s="154"/>
      <c r="R29"/>
      <c r="S29"/>
      <c r="T29"/>
      <c r="U29"/>
      <c r="V29"/>
      <c r="W29"/>
      <c r="X29"/>
      <c r="Y29"/>
      <c r="Z29"/>
      <c r="AA29"/>
    </row>
    <row r="30" spans="1:27" s="150" customFormat="1" ht="25.5" x14ac:dyDescent="0.25">
      <c r="A30" s="363" t="s">
        <v>23</v>
      </c>
      <c r="B30" s="364" t="s">
        <v>24</v>
      </c>
      <c r="C30" s="368"/>
      <c r="D30" s="371">
        <v>0.4151402461975725</v>
      </c>
      <c r="E30" s="350">
        <f>D30*$C29</f>
        <v>2079934359.3665156</v>
      </c>
      <c r="F30" s="31"/>
      <c r="G30" s="369"/>
      <c r="H30" s="370"/>
      <c r="I30" s="370"/>
      <c r="J30" s="370"/>
      <c r="K30" s="31"/>
      <c r="L30" s="31"/>
      <c r="M30" s="31"/>
      <c r="N30" s="151"/>
      <c r="O30" s="152"/>
      <c r="P30" s="154"/>
      <c r="R30"/>
      <c r="S30"/>
      <c r="T30"/>
      <c r="U30"/>
      <c r="V30"/>
      <c r="W30"/>
      <c r="X30"/>
      <c r="Y30"/>
      <c r="Z30"/>
      <c r="AA30"/>
    </row>
    <row r="31" spans="1:27" x14ac:dyDescent="0.25">
      <c r="A31" s="354" t="s">
        <v>25</v>
      </c>
      <c r="B31" s="372" t="s">
        <v>26</v>
      </c>
      <c r="C31" s="368"/>
      <c r="D31" s="351">
        <v>0.15092260275811367</v>
      </c>
      <c r="E31" s="44">
        <f>E30*D31</f>
        <v>313909107.08162427</v>
      </c>
      <c r="F31" s="31"/>
      <c r="G31" s="369"/>
      <c r="H31" s="370"/>
      <c r="I31" s="370"/>
      <c r="J31" s="370"/>
      <c r="K31" s="31"/>
      <c r="L31" s="31"/>
      <c r="M31" s="31"/>
      <c r="N31" s="153"/>
    </row>
    <row r="32" spans="1:27" x14ac:dyDescent="0.25">
      <c r="A32" s="354" t="s">
        <v>27</v>
      </c>
      <c r="B32" s="372" t="s">
        <v>28</v>
      </c>
      <c r="C32" s="368"/>
      <c r="D32" s="351">
        <v>0.84907739724188636</v>
      </c>
      <c r="E32" s="44">
        <f>E30*D32</f>
        <v>1766025252.2848914</v>
      </c>
      <c r="F32" s="31"/>
      <c r="G32" s="369"/>
      <c r="H32" s="370"/>
      <c r="I32" s="370"/>
      <c r="J32" s="370"/>
      <c r="K32" s="31"/>
      <c r="L32" s="31"/>
      <c r="M32" s="31"/>
    </row>
    <row r="33" spans="1:14" ht="25.5" x14ac:dyDescent="0.25">
      <c r="A33" s="363" t="s">
        <v>29</v>
      </c>
      <c r="B33" s="364" t="s">
        <v>30</v>
      </c>
      <c r="C33" s="368"/>
      <c r="D33" s="371">
        <v>0.3358272616455571</v>
      </c>
      <c r="E33" s="350">
        <f>D33*C29</f>
        <v>1682560692.9378157</v>
      </c>
      <c r="F33" s="31"/>
      <c r="G33" s="369"/>
      <c r="H33" s="370"/>
      <c r="I33" s="370"/>
      <c r="J33" s="370"/>
      <c r="K33" s="31"/>
      <c r="L33" s="31"/>
      <c r="M33" s="31"/>
    </row>
    <row r="34" spans="1:14" x14ac:dyDescent="0.25">
      <c r="A34" s="354" t="s">
        <v>31</v>
      </c>
      <c r="B34" s="372" t="s">
        <v>32</v>
      </c>
      <c r="C34" s="368"/>
      <c r="D34" s="351">
        <v>7.5789324571312404E-4</v>
      </c>
      <c r="E34" s="44">
        <f>D34*E33</f>
        <v>1275201.3846799643</v>
      </c>
      <c r="F34" s="31"/>
      <c r="G34" s="369"/>
      <c r="H34" s="370"/>
      <c r="I34" s="370"/>
      <c r="J34" s="370"/>
      <c r="K34" s="31"/>
      <c r="L34" s="31"/>
      <c r="M34" s="31"/>
    </row>
    <row r="35" spans="1:14" x14ac:dyDescent="0.25">
      <c r="A35" s="354" t="s">
        <v>33</v>
      </c>
      <c r="B35" s="372" t="s">
        <v>34</v>
      </c>
      <c r="C35" s="368"/>
      <c r="D35" s="351">
        <v>0.99924210675428693</v>
      </c>
      <c r="E35" s="44">
        <f>D35*E33</f>
        <v>1681285491.5531359</v>
      </c>
      <c r="F35" s="351">
        <f>E32/(E35+E36)</f>
        <v>0.60294739096107597</v>
      </c>
      <c r="G35" s="352">
        <f>G22</f>
        <v>0.28162882582512855</v>
      </c>
      <c r="H35" s="353"/>
      <c r="I35" s="353"/>
      <c r="J35" s="353"/>
      <c r="K35" s="32">
        <f>$F35*$G35*E10</f>
        <v>6625887.1788936211</v>
      </c>
      <c r="L35" s="32">
        <f t="shared" ref="L35:M35" si="32">$F35*$G35*F10</f>
        <v>1576199.6809083638</v>
      </c>
      <c r="M35" s="32">
        <f t="shared" si="32"/>
        <v>1676424.1513966941</v>
      </c>
    </row>
    <row r="36" spans="1:14" ht="25.5" x14ac:dyDescent="0.25">
      <c r="A36" s="363" t="s">
        <v>35</v>
      </c>
      <c r="B36" s="364" t="s">
        <v>36</v>
      </c>
      <c r="C36" s="368"/>
      <c r="D36" s="371">
        <v>0.2490324921568704</v>
      </c>
      <c r="E36" s="350">
        <f>D36*C29</f>
        <v>1247701811.086838</v>
      </c>
      <c r="F36" s="373"/>
      <c r="G36" s="374"/>
      <c r="H36" s="353"/>
      <c r="I36" s="353"/>
      <c r="J36" s="353"/>
      <c r="K36" s="32"/>
      <c r="L36" s="32"/>
      <c r="M36" s="32"/>
    </row>
    <row r="37" spans="1:14" ht="25.5" x14ac:dyDescent="0.25">
      <c r="A37" s="347">
        <v>1835</v>
      </c>
      <c r="B37" s="348" t="s">
        <v>38</v>
      </c>
      <c r="C37" s="368">
        <v>2522424060.5237594</v>
      </c>
      <c r="D37" s="351">
        <v>0</v>
      </c>
      <c r="E37" s="44"/>
      <c r="F37" s="31"/>
      <c r="G37" s="374"/>
      <c r="H37" s="353"/>
      <c r="I37" s="353"/>
      <c r="J37" s="353"/>
      <c r="K37" s="32"/>
      <c r="L37" s="32"/>
      <c r="M37" s="32"/>
    </row>
    <row r="38" spans="1:14" ht="38.25" x14ac:dyDescent="0.25">
      <c r="A38" s="347" t="s">
        <v>39</v>
      </c>
      <c r="B38" s="348" t="s">
        <v>40</v>
      </c>
      <c r="C38" s="368"/>
      <c r="D38" s="371">
        <v>0.35834054322789211</v>
      </c>
      <c r="E38" s="350">
        <f>C37*D38</f>
        <v>903886808.09918928</v>
      </c>
      <c r="F38" s="31"/>
      <c r="G38" s="369"/>
      <c r="H38" s="353"/>
      <c r="I38" s="353"/>
      <c r="J38" s="353"/>
      <c r="K38" s="32"/>
      <c r="L38" s="32"/>
      <c r="M38" s="32"/>
    </row>
    <row r="39" spans="1:14" x14ac:dyDescent="0.25">
      <c r="A39" s="354" t="s">
        <v>41</v>
      </c>
      <c r="B39" s="372" t="s">
        <v>42</v>
      </c>
      <c r="C39" s="368"/>
      <c r="D39" s="351">
        <v>0.15092260275811367</v>
      </c>
      <c r="E39" s="44">
        <f>E38*D39</f>
        <v>136416949.67705327</v>
      </c>
      <c r="F39" s="31"/>
      <c r="G39" s="369"/>
      <c r="H39" s="353"/>
      <c r="I39" s="353"/>
      <c r="J39" s="353"/>
      <c r="K39" s="32"/>
      <c r="L39" s="32"/>
      <c r="M39" s="32"/>
    </row>
    <row r="40" spans="1:14" x14ac:dyDescent="0.25">
      <c r="A40" s="354" t="s">
        <v>43</v>
      </c>
      <c r="B40" s="372" t="s">
        <v>44</v>
      </c>
      <c r="C40" s="368"/>
      <c r="D40" s="351">
        <v>0.84907739724188636</v>
      </c>
      <c r="E40" s="44">
        <f>D40*E38</f>
        <v>767469858.42213607</v>
      </c>
      <c r="F40" s="31"/>
      <c r="G40" s="369"/>
      <c r="H40" s="353"/>
      <c r="I40" s="353"/>
      <c r="J40" s="353"/>
      <c r="K40" s="32"/>
      <c r="L40" s="32"/>
      <c r="M40" s="32"/>
    </row>
    <row r="41" spans="1:14" ht="25.5" x14ac:dyDescent="0.25">
      <c r="A41" s="347" t="s">
        <v>45</v>
      </c>
      <c r="B41" s="348" t="s">
        <v>46</v>
      </c>
      <c r="C41" s="368"/>
      <c r="D41" s="371">
        <v>0.56057837569102698</v>
      </c>
      <c r="E41" s="350">
        <f>D41*C37</f>
        <v>1414016382.6523738</v>
      </c>
      <c r="F41" s="31"/>
      <c r="G41" s="369"/>
      <c r="H41" s="353"/>
      <c r="I41" s="353"/>
      <c r="J41" s="353"/>
      <c r="K41" s="32"/>
      <c r="L41" s="32"/>
      <c r="M41" s="32"/>
    </row>
    <row r="42" spans="1:14" x14ac:dyDescent="0.25">
      <c r="A42" s="354" t="s">
        <v>47</v>
      </c>
      <c r="B42" s="372" t="s">
        <v>48</v>
      </c>
      <c r="C42" s="368"/>
      <c r="D42" s="351">
        <v>7.5789324571312404E-4</v>
      </c>
      <c r="E42" s="44">
        <f>E41*D42</f>
        <v>1071673.4657399384</v>
      </c>
      <c r="F42" s="31"/>
      <c r="G42" s="369"/>
      <c r="H42" s="353"/>
      <c r="I42" s="353"/>
      <c r="J42" s="353"/>
      <c r="K42" s="32"/>
      <c r="L42" s="32"/>
      <c r="M42" s="32"/>
    </row>
    <row r="43" spans="1:14" x14ac:dyDescent="0.25">
      <c r="A43" s="354" t="s">
        <v>49</v>
      </c>
      <c r="B43" s="372" t="s">
        <v>50</v>
      </c>
      <c r="C43" s="368"/>
      <c r="D43" s="351">
        <v>0.99924210675428693</v>
      </c>
      <c r="E43" s="44">
        <f>E41*D43</f>
        <v>1412944709.1866338</v>
      </c>
      <c r="F43" s="31"/>
      <c r="G43" s="369"/>
      <c r="H43" s="353"/>
      <c r="I43" s="353"/>
      <c r="J43" s="353"/>
      <c r="K43" s="32"/>
      <c r="L43" s="32"/>
      <c r="M43" s="32"/>
    </row>
    <row r="44" spans="1:14" ht="25.5" x14ac:dyDescent="0.25">
      <c r="A44" s="347" t="s">
        <v>51</v>
      </c>
      <c r="B44" s="348" t="s">
        <v>52</v>
      </c>
      <c r="C44" s="368"/>
      <c r="D44" s="371">
        <v>8.1081081081080919E-2</v>
      </c>
      <c r="E44" s="350">
        <f>D44*C37</f>
        <v>204520869.77219629</v>
      </c>
      <c r="F44" s="351">
        <f>E40/(E43+E44)</f>
        <v>0.47448914425502636</v>
      </c>
      <c r="G44" s="352">
        <f>G22</f>
        <v>0.28162882582512855</v>
      </c>
      <c r="H44" s="353"/>
      <c r="I44" s="353"/>
      <c r="J44" s="353"/>
      <c r="K44" s="32">
        <f>$F44*$G44*E11</f>
        <v>3120621.5144555867</v>
      </c>
      <c r="L44" s="32">
        <f t="shared" ref="L44:M44" si="33">$F44*$G44*F11</f>
        <v>736652.90599013667</v>
      </c>
      <c r="M44" s="32">
        <f t="shared" si="33"/>
        <v>771674.31005528104</v>
      </c>
    </row>
    <row r="45" spans="1:14" x14ac:dyDescent="0.25">
      <c r="A45" s="347">
        <v>1840</v>
      </c>
      <c r="B45" s="348" t="s">
        <v>54</v>
      </c>
      <c r="C45" s="368">
        <v>37918396.655966997</v>
      </c>
      <c r="D45" s="351"/>
      <c r="E45" s="44"/>
      <c r="F45" s="31"/>
      <c r="G45" s="369"/>
      <c r="H45" s="353"/>
      <c r="I45" s="353"/>
      <c r="J45" s="353"/>
      <c r="K45" s="32"/>
      <c r="L45" s="32"/>
      <c r="M45" s="32"/>
    </row>
    <row r="46" spans="1:14" ht="25.5" x14ac:dyDescent="0.25">
      <c r="A46" s="347" t="s">
        <v>55</v>
      </c>
      <c r="B46" s="348" t="s">
        <v>56</v>
      </c>
      <c r="C46" s="368"/>
      <c r="D46" s="351">
        <v>0.25557755535155607</v>
      </c>
      <c r="E46" s="44">
        <f>D46*C$45</f>
        <v>9691091.1201826632</v>
      </c>
      <c r="F46" s="31"/>
      <c r="G46" s="369"/>
      <c r="H46" s="353"/>
      <c r="I46" s="353"/>
      <c r="J46" s="353"/>
      <c r="K46" s="32"/>
      <c r="L46" s="32"/>
      <c r="M46" s="32"/>
    </row>
    <row r="47" spans="1:14" x14ac:dyDescent="0.25">
      <c r="A47" s="347" t="s">
        <v>57</v>
      </c>
      <c r="B47" s="348" t="s">
        <v>58</v>
      </c>
      <c r="C47" s="368"/>
      <c r="D47" s="351">
        <v>0.74442244464844398</v>
      </c>
      <c r="E47" s="44">
        <f>D47*C$45</f>
        <v>28227305.535784334</v>
      </c>
      <c r="F47" s="351">
        <f>E46/E47</f>
        <v>0.34332327993180461</v>
      </c>
      <c r="G47" s="352">
        <f>G22</f>
        <v>0.28162882582512855</v>
      </c>
      <c r="H47" s="353"/>
      <c r="I47" s="353"/>
      <c r="J47" s="353"/>
      <c r="K47" s="32">
        <f>$F47*$G47*E12</f>
        <v>409855.44665767951</v>
      </c>
      <c r="L47" s="32">
        <f t="shared" ref="L47:M47" si="34">$F47*$G47*F12</f>
        <v>103103.21272325523</v>
      </c>
      <c r="M47" s="32">
        <f t="shared" si="34"/>
        <v>110603.33915010633</v>
      </c>
      <c r="N47" s="6"/>
    </row>
    <row r="48" spans="1:14" ht="25.5" x14ac:dyDescent="0.25">
      <c r="A48" s="347" t="s">
        <v>59</v>
      </c>
      <c r="B48" s="348" t="s">
        <v>60</v>
      </c>
      <c r="C48" s="368"/>
      <c r="D48" s="351">
        <v>0</v>
      </c>
      <c r="E48" s="44">
        <f>D48*C$45</f>
        <v>0</v>
      </c>
      <c r="F48" s="31"/>
      <c r="G48" s="369"/>
      <c r="H48" s="370"/>
      <c r="I48" s="370"/>
      <c r="J48" s="370"/>
      <c r="K48" s="31"/>
      <c r="L48" s="31"/>
      <c r="M48" s="31"/>
      <c r="N48" s="6"/>
    </row>
    <row r="49" spans="1:19" ht="25.5" x14ac:dyDescent="0.25">
      <c r="A49" s="347">
        <v>1845</v>
      </c>
      <c r="B49" s="348" t="s">
        <v>62</v>
      </c>
      <c r="C49" s="368">
        <v>598167312.76770008</v>
      </c>
      <c r="D49" s="351">
        <v>0</v>
      </c>
      <c r="E49" s="44"/>
      <c r="F49" s="31"/>
      <c r="G49" s="369"/>
      <c r="H49" s="370"/>
      <c r="I49" s="370"/>
      <c r="J49" s="370"/>
      <c r="K49" s="31"/>
      <c r="L49" s="31"/>
      <c r="M49" s="31"/>
    </row>
    <row r="50" spans="1:19" ht="25.5" x14ac:dyDescent="0.25">
      <c r="A50" s="347" t="s">
        <v>63</v>
      </c>
      <c r="B50" s="348" t="s">
        <v>64</v>
      </c>
      <c r="C50" s="368"/>
      <c r="D50" s="351">
        <v>0.25557755535155607</v>
      </c>
      <c r="E50" s="44">
        <f>D50*C$49</f>
        <v>152878139.48837841</v>
      </c>
      <c r="F50" s="31"/>
      <c r="G50" s="369"/>
      <c r="H50" s="370"/>
      <c r="I50" s="370"/>
      <c r="J50" s="370"/>
      <c r="K50" s="31"/>
      <c r="L50" s="31"/>
      <c r="M50" s="31"/>
    </row>
    <row r="51" spans="1:19" ht="25.5" x14ac:dyDescent="0.25">
      <c r="A51" s="347" t="s">
        <v>65</v>
      </c>
      <c r="B51" s="348" t="s">
        <v>66</v>
      </c>
      <c r="C51" s="368"/>
      <c r="D51" s="351">
        <v>0.74442244464844398</v>
      </c>
      <c r="E51" s="44">
        <f>D51*C$49</f>
        <v>445289173.27932167</v>
      </c>
      <c r="F51" s="31"/>
      <c r="G51" s="369"/>
      <c r="H51" s="353"/>
      <c r="I51" s="353"/>
      <c r="J51" s="353"/>
      <c r="K51" s="32"/>
      <c r="L51" s="32"/>
      <c r="M51" s="32"/>
      <c r="R51" s="50"/>
      <c r="S51" s="183"/>
    </row>
    <row r="52" spans="1:19" ht="25.5" x14ac:dyDescent="0.25">
      <c r="A52" s="347" t="s">
        <v>67</v>
      </c>
      <c r="B52" s="348" t="s">
        <v>68</v>
      </c>
      <c r="C52" s="368"/>
      <c r="D52" s="351">
        <v>0</v>
      </c>
      <c r="E52" s="44">
        <f>D52*C$49</f>
        <v>0</v>
      </c>
      <c r="F52" s="351">
        <f>E50/(E51+E52)</f>
        <v>0.34332327993180461</v>
      </c>
      <c r="G52" s="352">
        <f>G22</f>
        <v>0.28162882582512855</v>
      </c>
      <c r="H52" s="353"/>
      <c r="I52" s="353"/>
      <c r="J52" s="353"/>
      <c r="K52" s="32">
        <f>$F52*$G52*E13</f>
        <v>1087430.3067655354</v>
      </c>
      <c r="L52" s="32">
        <f t="shared" ref="L52:M52" si="35">$F52*$G52*F13</f>
        <v>250963.71808848693</v>
      </c>
      <c r="M52" s="32">
        <f t="shared" si="35"/>
        <v>253319.65480991628</v>
      </c>
    </row>
    <row r="53" spans="1:19" x14ac:dyDescent="0.25">
      <c r="A53" s="338"/>
      <c r="B53" s="16"/>
      <c r="C53" s="16"/>
      <c r="D53" s="16"/>
      <c r="E53" s="30"/>
      <c r="F53" s="16"/>
      <c r="G53" s="16"/>
      <c r="H53" s="16"/>
      <c r="I53" s="16"/>
      <c r="J53" s="211"/>
      <c r="K53" s="16"/>
      <c r="L53" s="16"/>
      <c r="M53" s="16"/>
    </row>
    <row r="54" spans="1:19" x14ac:dyDescent="0.25">
      <c r="A54" s="338"/>
      <c r="B54" s="16"/>
      <c r="C54" s="16"/>
      <c r="D54" s="16"/>
      <c r="E54" s="30"/>
      <c r="F54" s="16"/>
      <c r="G54" s="16"/>
      <c r="H54" s="16"/>
      <c r="I54" s="16"/>
      <c r="J54" s="211"/>
      <c r="K54" s="16"/>
      <c r="L54" s="16"/>
      <c r="M54" s="16"/>
    </row>
    <row r="76" spans="18:27" x14ac:dyDescent="0.25">
      <c r="R76" s="36"/>
      <c r="S76" s="36"/>
      <c r="T76" s="36"/>
      <c r="U76" s="36"/>
      <c r="V76" s="36"/>
      <c r="W76" s="36"/>
      <c r="X76" s="36"/>
      <c r="Y76" s="36"/>
      <c r="Z76" s="36"/>
      <c r="AA76" s="36"/>
    </row>
    <row r="86" spans="18:27" x14ac:dyDescent="0.25">
      <c r="R86" s="36"/>
      <c r="S86" s="36"/>
      <c r="T86" s="36"/>
      <c r="U86" s="36"/>
      <c r="V86" s="36"/>
      <c r="W86" s="36"/>
      <c r="X86" s="36"/>
      <c r="Y86" s="36"/>
      <c r="Z86" s="36"/>
      <c r="AA86" s="36"/>
    </row>
    <row r="95" spans="18:27" x14ac:dyDescent="0.25">
      <c r="R95" s="37"/>
      <c r="S95" s="37"/>
      <c r="T95" s="37"/>
      <c r="U95" s="37"/>
      <c r="V95" s="37"/>
      <c r="W95" s="37"/>
      <c r="X95" s="37"/>
      <c r="Y95" s="37"/>
      <c r="Z95" s="37"/>
      <c r="AA95" s="37"/>
    </row>
    <row r="96" spans="18:27" x14ac:dyDescent="0.25">
      <c r="R96" s="36"/>
      <c r="S96" s="36"/>
      <c r="T96" s="36"/>
      <c r="U96" s="36"/>
      <c r="V96" s="36"/>
      <c r="W96" s="36"/>
      <c r="X96" s="36"/>
      <c r="Y96" s="36"/>
      <c r="Z96" s="36"/>
      <c r="AA96" s="36"/>
    </row>
    <row r="99" spans="1:27" x14ac:dyDescent="0.25">
      <c r="Q99" s="50"/>
    </row>
    <row r="106" spans="1:27" s="36" customFormat="1" x14ac:dyDescent="0.25">
      <c r="A106" s="79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R106"/>
      <c r="S106"/>
      <c r="T106"/>
      <c r="U106"/>
      <c r="V106"/>
      <c r="W106"/>
      <c r="X106"/>
      <c r="Y106"/>
      <c r="Z106"/>
      <c r="AA106"/>
    </row>
    <row r="116" spans="1:27" s="36" customFormat="1" x14ac:dyDescent="0.25">
      <c r="A116" s="79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R116"/>
      <c r="S116"/>
      <c r="T116"/>
      <c r="U116"/>
      <c r="V116"/>
      <c r="W116"/>
      <c r="X116"/>
      <c r="Y116"/>
      <c r="Z116"/>
      <c r="AA116"/>
    </row>
    <row r="125" spans="1:27" s="37" customFormat="1" x14ac:dyDescent="0.25">
      <c r="A125" s="79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R125"/>
      <c r="S125"/>
      <c r="T125"/>
      <c r="U125"/>
      <c r="V125"/>
      <c r="W125"/>
      <c r="X125"/>
      <c r="Y125"/>
      <c r="Z125"/>
      <c r="AA125"/>
    </row>
    <row r="126" spans="1:27" s="36" customFormat="1" x14ac:dyDescent="0.25">
      <c r="A126" s="79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R126"/>
      <c r="S126"/>
      <c r="T126"/>
      <c r="U126"/>
      <c r="V126"/>
      <c r="W126"/>
      <c r="X126"/>
      <c r="Y126"/>
      <c r="Z126"/>
      <c r="AA126"/>
    </row>
  </sheetData>
  <protectedRanges>
    <protectedRange sqref="D26" name="Range1_1"/>
  </protectedRanges>
  <pageMargins left="0.7" right="0.7" top="0.75" bottom="0.75" header="0.3" footer="0.3"/>
  <pageSetup paperSize="128" scale="47" fitToHeight="0" orientation="landscape" r:id="rId1"/>
  <headerFooter>
    <oddFooter>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0"/>
  <sheetViews>
    <sheetView workbookViewId="0"/>
  </sheetViews>
  <sheetFormatPr defaultRowHeight="15" x14ac:dyDescent="0.25"/>
  <cols>
    <col min="2" max="2" width="1.42578125" customWidth="1"/>
    <col min="5" max="5" width="11.42578125" bestFit="1" customWidth="1"/>
    <col min="6" max="6" width="2.140625" customWidth="1"/>
    <col min="9" max="9" width="9.85546875" bestFit="1" customWidth="1"/>
    <col min="10" max="10" width="1.5703125" customWidth="1"/>
    <col min="13" max="13" width="11.140625" bestFit="1" customWidth="1"/>
    <col min="14" max="14" width="1.5703125" customWidth="1"/>
    <col min="15" max="15" width="16" bestFit="1" customWidth="1"/>
    <col min="17" max="17" width="18.42578125" bestFit="1" customWidth="1"/>
    <col min="18" max="18" width="7.42578125" bestFit="1" customWidth="1"/>
    <col min="19" max="19" width="7.5703125" customWidth="1"/>
    <col min="20" max="20" width="13.140625" bestFit="1" customWidth="1"/>
  </cols>
  <sheetData>
    <row r="1" spans="1:20" x14ac:dyDescent="0.25">
      <c r="A1" s="125" t="s">
        <v>333</v>
      </c>
    </row>
    <row r="3" spans="1:20" x14ac:dyDescent="0.25">
      <c r="A3" s="16" t="s">
        <v>347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20" ht="30" x14ac:dyDescent="0.25">
      <c r="Q4" s="31"/>
      <c r="R4" s="41" t="s">
        <v>324</v>
      </c>
      <c r="S4" s="41"/>
      <c r="T4" s="41"/>
    </row>
    <row r="5" spans="1:20" s="184" customFormat="1" ht="15.75" x14ac:dyDescent="0.25">
      <c r="A5" s="185" t="s">
        <v>300</v>
      </c>
      <c r="B5" s="186"/>
      <c r="C5" s="324" t="s">
        <v>301</v>
      </c>
      <c r="D5" s="324"/>
      <c r="E5" s="324"/>
      <c r="F5" s="186"/>
      <c r="G5" s="324" t="s">
        <v>302</v>
      </c>
      <c r="H5" s="324"/>
      <c r="I5" s="324"/>
      <c r="J5" s="186"/>
      <c r="K5" s="324" t="s">
        <v>303</v>
      </c>
      <c r="L5" s="324"/>
      <c r="M5" s="324"/>
      <c r="N5" s="186"/>
      <c r="O5" s="185" t="s">
        <v>304</v>
      </c>
      <c r="P5" s="189"/>
      <c r="Q5" s="203" t="s">
        <v>325</v>
      </c>
      <c r="R5" s="210" t="s">
        <v>301</v>
      </c>
      <c r="S5" s="210" t="s">
        <v>322</v>
      </c>
      <c r="T5" s="210" t="s">
        <v>323</v>
      </c>
    </row>
    <row r="6" spans="1:20" s="184" customFormat="1" ht="30" x14ac:dyDescent="0.3">
      <c r="A6" s="190" t="s">
        <v>305</v>
      </c>
      <c r="B6" s="196"/>
      <c r="C6" s="197" t="s">
        <v>306</v>
      </c>
      <c r="D6" s="197" t="s">
        <v>307</v>
      </c>
      <c r="E6" s="197" t="s">
        <v>308</v>
      </c>
      <c r="F6" s="196"/>
      <c r="G6" s="197" t="s">
        <v>306</v>
      </c>
      <c r="H6" s="197" t="s">
        <v>307</v>
      </c>
      <c r="I6" s="197" t="s">
        <v>308</v>
      </c>
      <c r="J6" s="196"/>
      <c r="K6" s="197" t="s">
        <v>306</v>
      </c>
      <c r="L6" s="197" t="s">
        <v>307</v>
      </c>
      <c r="M6" s="197" t="s">
        <v>308</v>
      </c>
      <c r="N6" s="196"/>
      <c r="O6" s="197" t="s">
        <v>308</v>
      </c>
      <c r="P6" s="187"/>
      <c r="Q6" s="204"/>
      <c r="R6" s="203"/>
      <c r="S6" s="203"/>
      <c r="T6" s="203"/>
    </row>
    <row r="7" spans="1:20" s="184" customFormat="1" ht="12.75" x14ac:dyDescent="0.2">
      <c r="B7" s="188"/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7"/>
      <c r="Q7" s="204" t="s">
        <v>12</v>
      </c>
      <c r="R7" s="205">
        <f>C40/SUM(C21,C40)</f>
        <v>0.27704107528328309</v>
      </c>
      <c r="S7" s="205">
        <f>G40/SUM(G21,G40)</f>
        <v>0.2710730893366804</v>
      </c>
      <c r="T7" s="205">
        <f>K40/SUM(K21,K40)</f>
        <v>0.56648911461397911</v>
      </c>
    </row>
    <row r="8" spans="1:20" s="184" customFormat="1" ht="12.75" x14ac:dyDescent="0.2">
      <c r="A8" s="191" t="s">
        <v>309</v>
      </c>
      <c r="B8" s="188"/>
      <c r="C8" s="198">
        <v>40723</v>
      </c>
      <c r="D8" s="199">
        <v>3.92</v>
      </c>
      <c r="E8" s="200">
        <f>C8*D8</f>
        <v>159634.16</v>
      </c>
      <c r="F8" s="188"/>
      <c r="G8" s="198">
        <v>40824</v>
      </c>
      <c r="H8" s="199">
        <v>0.97</v>
      </c>
      <c r="I8" s="200">
        <f>G8*H8</f>
        <v>39599.279999999999</v>
      </c>
      <c r="J8" s="188"/>
      <c r="K8" s="198">
        <v>11694</v>
      </c>
      <c r="L8" s="199">
        <v>2.33</v>
      </c>
      <c r="M8" s="200">
        <f>K8*L8</f>
        <v>27247.02</v>
      </c>
      <c r="N8" s="188"/>
      <c r="O8" s="192">
        <f>I8+M8</f>
        <v>66846.3</v>
      </c>
      <c r="P8" s="187"/>
      <c r="Q8" s="204" t="s">
        <v>13</v>
      </c>
      <c r="R8" s="205">
        <f>C80/SUM(C61,C80)</f>
        <v>0.28507252431139157</v>
      </c>
      <c r="S8" s="205">
        <f>G80/SUM(G80,G61)</f>
        <v>0.26591395465447742</v>
      </c>
      <c r="T8" s="205">
        <f>K80/SUM(K61,K80)</f>
        <v>0.26591395465447742</v>
      </c>
    </row>
    <row r="9" spans="1:20" s="184" customFormat="1" ht="12.75" x14ac:dyDescent="0.2">
      <c r="A9" s="191" t="s">
        <v>310</v>
      </c>
      <c r="B9" s="188"/>
      <c r="C9" s="198">
        <v>40906</v>
      </c>
      <c r="D9" s="199">
        <v>3.92</v>
      </c>
      <c r="E9" s="200">
        <f t="shared" ref="E9:E19" si="0">C9*D9</f>
        <v>160351.51999999999</v>
      </c>
      <c r="F9" s="188"/>
      <c r="G9" s="198">
        <v>41007</v>
      </c>
      <c r="H9" s="199">
        <v>0.97</v>
      </c>
      <c r="I9" s="200">
        <f t="shared" ref="I9:I19" si="1">G9*H9</f>
        <v>39776.79</v>
      </c>
      <c r="J9" s="188"/>
      <c r="K9" s="198">
        <v>11727</v>
      </c>
      <c r="L9" s="199">
        <v>2.33</v>
      </c>
      <c r="M9" s="200">
        <f t="shared" ref="M9:M19" si="2">K9*L9</f>
        <v>27323.91</v>
      </c>
      <c r="N9" s="188"/>
      <c r="O9" s="192">
        <f t="shared" ref="O9:O19" si="3">I9+M9</f>
        <v>67100.7</v>
      </c>
      <c r="P9" s="187"/>
      <c r="Q9" s="204"/>
      <c r="R9" s="203"/>
      <c r="S9" s="203"/>
      <c r="T9" s="203"/>
    </row>
    <row r="10" spans="1:20" s="184" customFormat="1" ht="12.75" x14ac:dyDescent="0.2">
      <c r="A10" s="191" t="s">
        <v>311</v>
      </c>
      <c r="B10" s="188"/>
      <c r="C10" s="198">
        <v>37359</v>
      </c>
      <c r="D10" s="199">
        <v>3.92</v>
      </c>
      <c r="E10" s="200">
        <f t="shared" si="0"/>
        <v>146447.28</v>
      </c>
      <c r="F10" s="188"/>
      <c r="G10" s="198">
        <v>37536</v>
      </c>
      <c r="H10" s="199">
        <v>0.97</v>
      </c>
      <c r="I10" s="200">
        <f t="shared" si="1"/>
        <v>36409.919999999998</v>
      </c>
      <c r="J10" s="188"/>
      <c r="K10" s="198">
        <v>10919</v>
      </c>
      <c r="L10" s="199">
        <v>2.33</v>
      </c>
      <c r="M10" s="200">
        <f t="shared" si="2"/>
        <v>25441.27</v>
      </c>
      <c r="N10" s="188"/>
      <c r="O10" s="192">
        <f t="shared" si="3"/>
        <v>61851.19</v>
      </c>
      <c r="P10" s="187"/>
      <c r="Q10" s="204" t="s">
        <v>326</v>
      </c>
      <c r="R10" s="203"/>
      <c r="S10" s="203"/>
      <c r="T10" s="203"/>
    </row>
    <row r="11" spans="1:20" s="184" customFormat="1" ht="12.75" x14ac:dyDescent="0.2">
      <c r="A11" s="191" t="s">
        <v>312</v>
      </c>
      <c r="B11" s="188"/>
      <c r="C11" s="198">
        <v>32869</v>
      </c>
      <c r="D11" s="199">
        <v>3.92</v>
      </c>
      <c r="E11" s="200">
        <f t="shared" si="0"/>
        <v>128846.48</v>
      </c>
      <c r="F11" s="188"/>
      <c r="G11" s="198">
        <v>34670</v>
      </c>
      <c r="H11" s="199">
        <v>0.97</v>
      </c>
      <c r="I11" s="200">
        <f t="shared" si="1"/>
        <v>33629.9</v>
      </c>
      <c r="J11" s="188"/>
      <c r="K11" s="198">
        <v>9881</v>
      </c>
      <c r="L11" s="199">
        <v>2.33</v>
      </c>
      <c r="M11" s="200">
        <f t="shared" si="2"/>
        <v>23022.73</v>
      </c>
      <c r="N11" s="188"/>
      <c r="O11" s="192">
        <f t="shared" si="3"/>
        <v>56652.630000000005</v>
      </c>
      <c r="P11" s="187"/>
      <c r="Q11" s="204" t="s">
        <v>327</v>
      </c>
      <c r="R11" s="209">
        <f>SUM(C40,C80)/SUM(C21,C40,C61,C80)</f>
        <v>0.28162882582512855</v>
      </c>
      <c r="S11" s="230">
        <f>SUM(G40,G80)/SUM(G21,G40,G61,G80)</f>
        <v>0.2680664626816362</v>
      </c>
      <c r="T11" s="205">
        <f>SUM(K40,K80)/SUM(K21,K40,K61,K80)</f>
        <v>0.3426100949926994</v>
      </c>
    </row>
    <row r="12" spans="1:20" s="184" customFormat="1" ht="12.75" x14ac:dyDescent="0.2">
      <c r="A12" s="191" t="s">
        <v>313</v>
      </c>
      <c r="B12" s="188"/>
      <c r="C12" s="198">
        <v>39070</v>
      </c>
      <c r="D12" s="199">
        <v>3.92</v>
      </c>
      <c r="E12" s="200">
        <f t="shared" si="0"/>
        <v>153154.4</v>
      </c>
      <c r="F12" s="188"/>
      <c r="G12" s="198">
        <v>41827</v>
      </c>
      <c r="H12" s="199">
        <v>0.97</v>
      </c>
      <c r="I12" s="200">
        <f t="shared" si="1"/>
        <v>40572.19</v>
      </c>
      <c r="J12" s="188"/>
      <c r="K12" s="198">
        <v>11424</v>
      </c>
      <c r="L12" s="199">
        <v>2.33</v>
      </c>
      <c r="M12" s="200">
        <f t="shared" si="2"/>
        <v>26617.920000000002</v>
      </c>
      <c r="N12" s="188"/>
      <c r="O12" s="192">
        <f t="shared" si="3"/>
        <v>67190.11</v>
      </c>
      <c r="P12" s="187"/>
      <c r="Q12" s="187"/>
    </row>
    <row r="13" spans="1:20" s="184" customFormat="1" ht="12.75" x14ac:dyDescent="0.2">
      <c r="A13" s="191" t="s">
        <v>314</v>
      </c>
      <c r="B13" s="188"/>
      <c r="C13" s="198">
        <v>42010</v>
      </c>
      <c r="D13" s="199">
        <v>3.92</v>
      </c>
      <c r="E13" s="200">
        <f t="shared" si="0"/>
        <v>164679.19999999998</v>
      </c>
      <c r="F13" s="188"/>
      <c r="G13" s="198">
        <v>45058</v>
      </c>
      <c r="H13" s="199">
        <v>0.97</v>
      </c>
      <c r="I13" s="200">
        <f t="shared" si="1"/>
        <v>43706.26</v>
      </c>
      <c r="J13" s="188"/>
      <c r="K13" s="198">
        <v>12304</v>
      </c>
      <c r="L13" s="199">
        <v>2.33</v>
      </c>
      <c r="M13" s="200">
        <f t="shared" si="2"/>
        <v>28668.32</v>
      </c>
      <c r="N13" s="188"/>
      <c r="O13" s="192">
        <f t="shared" si="3"/>
        <v>72374.58</v>
      </c>
      <c r="P13" s="187"/>
      <c r="Q13" s="187"/>
    </row>
    <row r="14" spans="1:20" s="184" customFormat="1" ht="12.75" x14ac:dyDescent="0.2">
      <c r="A14" s="191" t="s">
        <v>315</v>
      </c>
      <c r="B14" s="188"/>
      <c r="C14" s="198">
        <v>49200</v>
      </c>
      <c r="D14" s="199">
        <v>3.92</v>
      </c>
      <c r="E14" s="200">
        <f t="shared" si="0"/>
        <v>192864</v>
      </c>
      <c r="F14" s="188"/>
      <c r="G14" s="198">
        <v>52841</v>
      </c>
      <c r="H14" s="199">
        <v>0.97</v>
      </c>
      <c r="I14" s="200">
        <f t="shared" si="1"/>
        <v>51255.77</v>
      </c>
      <c r="J14" s="188"/>
      <c r="K14" s="198">
        <v>14066</v>
      </c>
      <c r="L14" s="199">
        <v>2.33</v>
      </c>
      <c r="M14" s="200">
        <f t="shared" si="2"/>
        <v>32773.78</v>
      </c>
      <c r="N14" s="188"/>
      <c r="O14" s="192">
        <f t="shared" si="3"/>
        <v>84029.549999999988</v>
      </c>
      <c r="P14" s="187"/>
      <c r="Q14" s="187"/>
    </row>
    <row r="15" spans="1:20" s="184" customFormat="1" ht="12.75" x14ac:dyDescent="0.2">
      <c r="A15" s="191" t="s">
        <v>316</v>
      </c>
      <c r="B15" s="188"/>
      <c r="C15" s="198">
        <v>43509</v>
      </c>
      <c r="D15" s="199">
        <v>3.92</v>
      </c>
      <c r="E15" s="200">
        <f t="shared" si="0"/>
        <v>170555.28</v>
      </c>
      <c r="F15" s="188"/>
      <c r="G15" s="198">
        <v>45211</v>
      </c>
      <c r="H15" s="199">
        <v>0.97</v>
      </c>
      <c r="I15" s="200">
        <f t="shared" si="1"/>
        <v>43854.67</v>
      </c>
      <c r="J15" s="188"/>
      <c r="K15" s="198">
        <v>11883</v>
      </c>
      <c r="L15" s="199">
        <v>2.33</v>
      </c>
      <c r="M15" s="200">
        <f t="shared" si="2"/>
        <v>27687.39</v>
      </c>
      <c r="N15" s="188"/>
      <c r="O15" s="192">
        <f t="shared" si="3"/>
        <v>71542.06</v>
      </c>
      <c r="P15" s="187"/>
      <c r="Q15" s="187"/>
    </row>
    <row r="16" spans="1:20" s="184" customFormat="1" ht="12.75" x14ac:dyDescent="0.2">
      <c r="A16" s="191" t="s">
        <v>317</v>
      </c>
      <c r="B16" s="188"/>
      <c r="C16" s="198">
        <v>42178</v>
      </c>
      <c r="D16" s="199">
        <v>3.92</v>
      </c>
      <c r="E16" s="200">
        <f t="shared" si="0"/>
        <v>165337.76</v>
      </c>
      <c r="F16" s="188"/>
      <c r="G16" s="198">
        <v>45461</v>
      </c>
      <c r="H16" s="199">
        <v>0.97</v>
      </c>
      <c r="I16" s="200">
        <f t="shared" si="1"/>
        <v>44097.17</v>
      </c>
      <c r="J16" s="188"/>
      <c r="K16" s="198">
        <v>13271</v>
      </c>
      <c r="L16" s="199">
        <v>2.33</v>
      </c>
      <c r="M16" s="200">
        <f t="shared" si="2"/>
        <v>30921.43</v>
      </c>
      <c r="N16" s="188"/>
      <c r="O16" s="192">
        <f t="shared" si="3"/>
        <v>75018.600000000006</v>
      </c>
      <c r="P16" s="187"/>
      <c r="Q16" s="187"/>
    </row>
    <row r="17" spans="1:17" s="184" customFormat="1" ht="12.75" x14ac:dyDescent="0.2">
      <c r="A17" s="191" t="s">
        <v>318</v>
      </c>
      <c r="B17" s="188"/>
      <c r="C17" s="198">
        <v>34419</v>
      </c>
      <c r="D17" s="199">
        <v>3.92</v>
      </c>
      <c r="E17" s="200">
        <f t="shared" si="0"/>
        <v>134922.48000000001</v>
      </c>
      <c r="F17" s="188"/>
      <c r="G17" s="198">
        <v>34419</v>
      </c>
      <c r="H17" s="199">
        <v>0.97</v>
      </c>
      <c r="I17" s="200">
        <f t="shared" si="1"/>
        <v>33386.43</v>
      </c>
      <c r="J17" s="188"/>
      <c r="K17" s="198">
        <v>10494</v>
      </c>
      <c r="L17" s="199">
        <v>2.33</v>
      </c>
      <c r="M17" s="200">
        <f t="shared" si="2"/>
        <v>24451.02</v>
      </c>
      <c r="N17" s="188"/>
      <c r="O17" s="192">
        <f t="shared" si="3"/>
        <v>57837.45</v>
      </c>
      <c r="P17" s="187"/>
      <c r="Q17" s="187"/>
    </row>
    <row r="18" spans="1:17" s="184" customFormat="1" ht="12.75" x14ac:dyDescent="0.2">
      <c r="A18" s="191" t="s">
        <v>319</v>
      </c>
      <c r="B18" s="188"/>
      <c r="C18" s="198">
        <v>35811</v>
      </c>
      <c r="D18" s="199">
        <v>3.92</v>
      </c>
      <c r="E18" s="200">
        <f t="shared" si="0"/>
        <v>140379.12</v>
      </c>
      <c r="F18" s="188"/>
      <c r="G18" s="198">
        <v>36499</v>
      </c>
      <c r="H18" s="199">
        <v>0.97</v>
      </c>
      <c r="I18" s="200">
        <f t="shared" si="1"/>
        <v>35404.03</v>
      </c>
      <c r="J18" s="188"/>
      <c r="K18" s="198">
        <v>11045</v>
      </c>
      <c r="L18" s="199">
        <v>2.33</v>
      </c>
      <c r="M18" s="200">
        <f t="shared" si="2"/>
        <v>25734.850000000002</v>
      </c>
      <c r="N18" s="188"/>
      <c r="O18" s="192">
        <f t="shared" si="3"/>
        <v>61138.880000000005</v>
      </c>
      <c r="P18" s="187"/>
      <c r="Q18" s="187"/>
    </row>
    <row r="19" spans="1:17" s="184" customFormat="1" ht="12.75" x14ac:dyDescent="0.2">
      <c r="A19" s="191" t="s">
        <v>320</v>
      </c>
      <c r="B19" s="188"/>
      <c r="C19" s="198">
        <v>34845</v>
      </c>
      <c r="D19" s="199">
        <v>3.92</v>
      </c>
      <c r="E19" s="200">
        <f t="shared" si="0"/>
        <v>136592.4</v>
      </c>
      <c r="F19" s="188"/>
      <c r="G19" s="198">
        <v>36540</v>
      </c>
      <c r="H19" s="199">
        <v>0.97</v>
      </c>
      <c r="I19" s="200">
        <f t="shared" si="1"/>
        <v>35443.799999999996</v>
      </c>
      <c r="J19" s="188"/>
      <c r="K19" s="198">
        <v>11277</v>
      </c>
      <c r="L19" s="199">
        <v>2.33</v>
      </c>
      <c r="M19" s="200">
        <f t="shared" si="2"/>
        <v>26275.41</v>
      </c>
      <c r="N19" s="188"/>
      <c r="O19" s="192">
        <f t="shared" si="3"/>
        <v>61719.209999999992</v>
      </c>
      <c r="P19" s="187"/>
      <c r="Q19" s="187"/>
    </row>
    <row r="20" spans="1:17" s="184" customFormat="1" ht="12.75" x14ac:dyDescent="0.2">
      <c r="A20" s="188"/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7"/>
      <c r="Q20" s="187"/>
    </row>
    <row r="21" spans="1:17" s="184" customFormat="1" ht="13.5" thickBot="1" x14ac:dyDescent="0.25">
      <c r="A21" s="190" t="s">
        <v>75</v>
      </c>
      <c r="B21" s="188"/>
      <c r="C21" s="193">
        <f>SUM(C8:C19)</f>
        <v>472899</v>
      </c>
      <c r="D21" s="194">
        <f>D19</f>
        <v>3.92</v>
      </c>
      <c r="E21" s="195">
        <f>SUM(E8:E19)</f>
        <v>1853764.08</v>
      </c>
      <c r="F21" s="188"/>
      <c r="G21" s="193">
        <f>SUM(G8:G19)</f>
        <v>491893</v>
      </c>
      <c r="H21" s="194">
        <f>H19</f>
        <v>0.97</v>
      </c>
      <c r="I21" s="195">
        <f>SUM(I8:I19)</f>
        <v>477136.21</v>
      </c>
      <c r="J21" s="188"/>
      <c r="K21" s="193">
        <f>SUM(K8:K19)</f>
        <v>139985</v>
      </c>
      <c r="L21" s="194">
        <f>L19</f>
        <v>2.33</v>
      </c>
      <c r="M21" s="195">
        <f>SUM(M8:M19)</f>
        <v>326165.04999999993</v>
      </c>
      <c r="N21" s="188"/>
      <c r="O21" s="195">
        <f>SUM(O8:O19)</f>
        <v>803301.25999999989</v>
      </c>
      <c r="P21" s="187"/>
      <c r="Q21" s="187"/>
    </row>
    <row r="22" spans="1:17" s="184" customFormat="1" ht="12.75" x14ac:dyDescent="0.2">
      <c r="A22" s="188"/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7"/>
      <c r="Q22" s="187"/>
    </row>
    <row r="23" spans="1:17" s="184" customFormat="1" ht="12.75" x14ac:dyDescent="0.2">
      <c r="A23" s="185" t="s">
        <v>321</v>
      </c>
      <c r="B23" s="186"/>
      <c r="C23" s="324" t="s">
        <v>301</v>
      </c>
      <c r="D23" s="324"/>
      <c r="E23" s="324"/>
      <c r="F23" s="186"/>
      <c r="G23" s="324" t="s">
        <v>302</v>
      </c>
      <c r="H23" s="324"/>
      <c r="I23" s="324"/>
      <c r="J23" s="186"/>
      <c r="K23" s="324" t="s">
        <v>303</v>
      </c>
      <c r="L23" s="324"/>
      <c r="M23" s="324"/>
      <c r="N23" s="186"/>
      <c r="O23" s="185" t="s">
        <v>304</v>
      </c>
      <c r="P23" s="187"/>
      <c r="Q23" s="187"/>
    </row>
    <row r="24" spans="1:17" s="184" customFormat="1" x14ac:dyDescent="0.3">
      <c r="A24" s="190"/>
      <c r="B24" s="196"/>
      <c r="C24" s="197"/>
      <c r="D24" s="197"/>
      <c r="E24" s="197"/>
      <c r="F24" s="196"/>
      <c r="G24" s="197"/>
      <c r="H24" s="197"/>
      <c r="I24" s="197"/>
      <c r="J24" s="196"/>
      <c r="K24" s="197"/>
      <c r="L24" s="197"/>
      <c r="M24" s="197"/>
      <c r="N24" s="196"/>
      <c r="O24" s="197"/>
      <c r="P24" s="187"/>
      <c r="Q24" s="187"/>
    </row>
    <row r="25" spans="1:17" s="184" customFormat="1" ht="30" x14ac:dyDescent="0.3">
      <c r="A25" s="190" t="s">
        <v>305</v>
      </c>
      <c r="B25" s="196"/>
      <c r="C25" s="197" t="s">
        <v>306</v>
      </c>
      <c r="D25" s="197" t="s">
        <v>307</v>
      </c>
      <c r="E25" s="197" t="s">
        <v>308</v>
      </c>
      <c r="F25" s="196"/>
      <c r="G25" s="197" t="s">
        <v>306</v>
      </c>
      <c r="H25" s="197" t="s">
        <v>307</v>
      </c>
      <c r="I25" s="197" t="s">
        <v>308</v>
      </c>
      <c r="J25" s="196"/>
      <c r="K25" s="197" t="s">
        <v>306</v>
      </c>
      <c r="L25" s="197" t="s">
        <v>307</v>
      </c>
      <c r="M25" s="197" t="s">
        <v>308</v>
      </c>
      <c r="N25" s="196"/>
      <c r="O25" s="197" t="s">
        <v>308</v>
      </c>
      <c r="P25" s="187"/>
      <c r="Q25" s="187"/>
    </row>
    <row r="26" spans="1:17" s="184" customFormat="1" ht="12.75" x14ac:dyDescent="0.2">
      <c r="A26" s="188"/>
      <c r="B26" s="188"/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7"/>
      <c r="Q26" s="187"/>
    </row>
    <row r="27" spans="1:17" s="184" customFormat="1" ht="12.75" x14ac:dyDescent="0.2">
      <c r="A27" s="191" t="s">
        <v>309</v>
      </c>
      <c r="B27" s="188"/>
      <c r="C27" s="198">
        <v>15655</v>
      </c>
      <c r="D27" s="201">
        <v>3.3980000000000001</v>
      </c>
      <c r="E27" s="200">
        <f>C27*D27</f>
        <v>53195.69</v>
      </c>
      <c r="F27" s="188"/>
      <c r="G27" s="198">
        <v>15794</v>
      </c>
      <c r="H27" s="201">
        <v>0.80449999999999999</v>
      </c>
      <c r="I27" s="200">
        <f>G27*H27</f>
        <v>12706.272999999999</v>
      </c>
      <c r="J27" s="188"/>
      <c r="K27" s="198">
        <v>15794</v>
      </c>
      <c r="L27" s="201">
        <v>2.0194000000000001</v>
      </c>
      <c r="M27" s="200">
        <f>K27*L27</f>
        <v>31894.403600000001</v>
      </c>
      <c r="N27" s="188"/>
      <c r="O27" s="192">
        <f>I27+M27</f>
        <v>44600.676599999999</v>
      </c>
      <c r="P27" s="187"/>
      <c r="Q27" s="187"/>
    </row>
    <row r="28" spans="1:17" s="184" customFormat="1" ht="12.75" x14ac:dyDescent="0.2">
      <c r="A28" s="191" t="s">
        <v>310</v>
      </c>
      <c r="B28" s="188"/>
      <c r="C28" s="198">
        <v>14443</v>
      </c>
      <c r="D28" s="201">
        <v>3.3980000000000001</v>
      </c>
      <c r="E28" s="200">
        <f t="shared" ref="E28:E38" si="4">C28*D28</f>
        <v>49077.313999999998</v>
      </c>
      <c r="F28" s="188"/>
      <c r="G28" s="198">
        <v>14505</v>
      </c>
      <c r="H28" s="201">
        <v>0.80449999999999999</v>
      </c>
      <c r="I28" s="200">
        <f t="shared" ref="I28:I38" si="5">G28*H28</f>
        <v>11669.272499999999</v>
      </c>
      <c r="J28" s="188"/>
      <c r="K28" s="198">
        <v>14505</v>
      </c>
      <c r="L28" s="201">
        <v>2.0194000000000001</v>
      </c>
      <c r="M28" s="200">
        <f t="shared" ref="M28:M38" si="6">K28*L28</f>
        <v>29291.397000000001</v>
      </c>
      <c r="N28" s="188"/>
      <c r="O28" s="192">
        <f t="shared" ref="O28:O38" si="7">I28+M28</f>
        <v>40960.669500000004</v>
      </c>
      <c r="P28" s="187"/>
      <c r="Q28" s="187"/>
    </row>
    <row r="29" spans="1:17" s="184" customFormat="1" ht="12.75" x14ac:dyDescent="0.2">
      <c r="A29" s="191" t="s">
        <v>311</v>
      </c>
      <c r="B29" s="188"/>
      <c r="C29" s="198">
        <v>13383</v>
      </c>
      <c r="D29" s="201">
        <v>3.3980000000000001</v>
      </c>
      <c r="E29" s="200">
        <f t="shared" si="4"/>
        <v>45475.434000000001</v>
      </c>
      <c r="F29" s="188"/>
      <c r="G29" s="198">
        <v>13383</v>
      </c>
      <c r="H29" s="201">
        <v>0.80449999999999999</v>
      </c>
      <c r="I29" s="200">
        <f t="shared" si="5"/>
        <v>10766.6235</v>
      </c>
      <c r="J29" s="188"/>
      <c r="K29" s="198">
        <v>13383</v>
      </c>
      <c r="L29" s="201">
        <v>2.0194000000000001</v>
      </c>
      <c r="M29" s="200">
        <f t="shared" si="6"/>
        <v>27025.6302</v>
      </c>
      <c r="N29" s="188"/>
      <c r="O29" s="192">
        <f t="shared" si="7"/>
        <v>37792.253700000001</v>
      </c>
      <c r="P29" s="187"/>
      <c r="Q29" s="187"/>
    </row>
    <row r="30" spans="1:17" s="184" customFormat="1" ht="12.75" x14ac:dyDescent="0.2">
      <c r="A30" s="191" t="s">
        <v>312</v>
      </c>
      <c r="B30" s="188"/>
      <c r="C30" s="198">
        <v>12093</v>
      </c>
      <c r="D30" s="201">
        <v>3.3980000000000001</v>
      </c>
      <c r="E30" s="200">
        <f t="shared" si="4"/>
        <v>41092.014000000003</v>
      </c>
      <c r="F30" s="188"/>
      <c r="G30" s="198">
        <v>12159</v>
      </c>
      <c r="H30" s="201">
        <v>0.80449999999999999</v>
      </c>
      <c r="I30" s="200">
        <f t="shared" si="5"/>
        <v>9781.9154999999992</v>
      </c>
      <c r="J30" s="188"/>
      <c r="K30" s="198">
        <v>12159</v>
      </c>
      <c r="L30" s="201">
        <v>2.0194000000000001</v>
      </c>
      <c r="M30" s="200">
        <f t="shared" si="6"/>
        <v>24553.884600000001</v>
      </c>
      <c r="N30" s="188"/>
      <c r="O30" s="192">
        <f t="shared" si="7"/>
        <v>34335.8001</v>
      </c>
      <c r="P30" s="187"/>
      <c r="Q30" s="187"/>
    </row>
    <row r="31" spans="1:17" s="184" customFormat="1" ht="12.75" x14ac:dyDescent="0.2">
      <c r="A31" s="191" t="s">
        <v>313</v>
      </c>
      <c r="B31" s="188"/>
      <c r="C31" s="198">
        <v>14286</v>
      </c>
      <c r="D31" s="201">
        <v>3.3980000000000001</v>
      </c>
      <c r="E31" s="200">
        <f t="shared" si="4"/>
        <v>48543.828000000001</v>
      </c>
      <c r="F31" s="188"/>
      <c r="G31" s="198">
        <v>14286</v>
      </c>
      <c r="H31" s="201">
        <v>0.80449999999999999</v>
      </c>
      <c r="I31" s="200">
        <f t="shared" si="5"/>
        <v>11493.087</v>
      </c>
      <c r="J31" s="188"/>
      <c r="K31" s="198">
        <v>14286</v>
      </c>
      <c r="L31" s="201">
        <v>2.0194000000000001</v>
      </c>
      <c r="M31" s="200">
        <f t="shared" si="6"/>
        <v>28849.148400000002</v>
      </c>
      <c r="N31" s="188"/>
      <c r="O31" s="192">
        <f t="shared" si="7"/>
        <v>40342.235400000005</v>
      </c>
      <c r="P31" s="187"/>
      <c r="Q31" s="187"/>
    </row>
    <row r="32" spans="1:17" s="184" customFormat="1" ht="12.75" x14ac:dyDescent="0.2">
      <c r="A32" s="191" t="s">
        <v>314</v>
      </c>
      <c r="B32" s="188"/>
      <c r="C32" s="198">
        <v>15909</v>
      </c>
      <c r="D32" s="201">
        <v>3.3980000000000001</v>
      </c>
      <c r="E32" s="200">
        <f t="shared" si="4"/>
        <v>54058.781999999999</v>
      </c>
      <c r="F32" s="188"/>
      <c r="G32" s="198">
        <v>15909</v>
      </c>
      <c r="H32" s="201">
        <v>0.80449999999999999</v>
      </c>
      <c r="I32" s="200">
        <f t="shared" si="5"/>
        <v>12798.790499999999</v>
      </c>
      <c r="J32" s="188"/>
      <c r="K32" s="198">
        <v>15909</v>
      </c>
      <c r="L32" s="201">
        <v>2.0194000000000001</v>
      </c>
      <c r="M32" s="200">
        <f t="shared" si="6"/>
        <v>32126.634600000001</v>
      </c>
      <c r="N32" s="188"/>
      <c r="O32" s="192">
        <f t="shared" si="7"/>
        <v>44925.4251</v>
      </c>
      <c r="P32" s="187"/>
      <c r="Q32" s="187"/>
    </row>
    <row r="33" spans="1:17" s="184" customFormat="1" ht="12.75" x14ac:dyDescent="0.2">
      <c r="A33" s="191" t="s">
        <v>315</v>
      </c>
      <c r="B33" s="188"/>
      <c r="C33" s="198">
        <v>21622</v>
      </c>
      <c r="D33" s="201">
        <v>3.3980000000000001</v>
      </c>
      <c r="E33" s="200">
        <f t="shared" si="4"/>
        <v>73471.555999999997</v>
      </c>
      <c r="F33" s="188"/>
      <c r="G33" s="198">
        <v>21622</v>
      </c>
      <c r="H33" s="201">
        <v>0.80449999999999999</v>
      </c>
      <c r="I33" s="200">
        <f t="shared" si="5"/>
        <v>17394.899000000001</v>
      </c>
      <c r="J33" s="188"/>
      <c r="K33" s="198">
        <v>21622</v>
      </c>
      <c r="L33" s="201">
        <v>2.0194000000000001</v>
      </c>
      <c r="M33" s="200">
        <f t="shared" si="6"/>
        <v>43663.466800000002</v>
      </c>
      <c r="N33" s="188"/>
      <c r="O33" s="192">
        <f t="shared" si="7"/>
        <v>61058.3658</v>
      </c>
      <c r="P33" s="187"/>
      <c r="Q33" s="187"/>
    </row>
    <row r="34" spans="1:17" s="184" customFormat="1" ht="12.75" x14ac:dyDescent="0.2">
      <c r="A34" s="191" t="s">
        <v>316</v>
      </c>
      <c r="B34" s="188"/>
      <c r="C34" s="198">
        <v>17685</v>
      </c>
      <c r="D34" s="201">
        <v>3.3980000000000001</v>
      </c>
      <c r="E34" s="200">
        <f t="shared" si="4"/>
        <v>60093.630000000005</v>
      </c>
      <c r="F34" s="188"/>
      <c r="G34" s="198">
        <v>18487</v>
      </c>
      <c r="H34" s="201">
        <v>0.80449999999999999</v>
      </c>
      <c r="I34" s="200">
        <f t="shared" si="5"/>
        <v>14872.791499999999</v>
      </c>
      <c r="J34" s="188"/>
      <c r="K34" s="198">
        <v>18487</v>
      </c>
      <c r="L34" s="201">
        <v>2.0194000000000001</v>
      </c>
      <c r="M34" s="200">
        <f t="shared" si="6"/>
        <v>37332.647799999999</v>
      </c>
      <c r="N34" s="188"/>
      <c r="O34" s="192">
        <f t="shared" si="7"/>
        <v>52205.439299999998</v>
      </c>
      <c r="P34" s="187"/>
      <c r="Q34" s="187"/>
    </row>
    <row r="35" spans="1:17" s="184" customFormat="1" ht="12.75" x14ac:dyDescent="0.2">
      <c r="A35" s="191" t="s">
        <v>317</v>
      </c>
      <c r="B35" s="188"/>
      <c r="C35" s="198">
        <v>13440</v>
      </c>
      <c r="D35" s="201">
        <v>3.3980000000000001</v>
      </c>
      <c r="E35" s="200">
        <f t="shared" si="4"/>
        <v>45669.120000000003</v>
      </c>
      <c r="F35" s="188"/>
      <c r="G35" s="198">
        <v>13603</v>
      </c>
      <c r="H35" s="201">
        <v>0.80449999999999999</v>
      </c>
      <c r="I35" s="200">
        <f t="shared" si="5"/>
        <v>10943.613499999999</v>
      </c>
      <c r="J35" s="188"/>
      <c r="K35" s="198">
        <v>13603</v>
      </c>
      <c r="L35" s="201">
        <v>2.0194000000000001</v>
      </c>
      <c r="M35" s="200">
        <f t="shared" si="6"/>
        <v>27469.8982</v>
      </c>
      <c r="N35" s="188"/>
      <c r="O35" s="192">
        <f t="shared" si="7"/>
        <v>38413.511700000003</v>
      </c>
      <c r="P35" s="187"/>
      <c r="Q35" s="187"/>
    </row>
    <row r="36" spans="1:17" s="184" customFormat="1" ht="12.75" x14ac:dyDescent="0.2">
      <c r="A36" s="191" t="s">
        <v>318</v>
      </c>
      <c r="B36" s="188"/>
      <c r="C36" s="198">
        <v>13100</v>
      </c>
      <c r="D36" s="201">
        <v>3.3980000000000001</v>
      </c>
      <c r="E36" s="200">
        <f t="shared" si="4"/>
        <v>44513.8</v>
      </c>
      <c r="F36" s="188"/>
      <c r="G36" s="198">
        <v>13350</v>
      </c>
      <c r="H36" s="201">
        <v>0.80449999999999999</v>
      </c>
      <c r="I36" s="200">
        <f t="shared" si="5"/>
        <v>10740.075000000001</v>
      </c>
      <c r="J36" s="188"/>
      <c r="K36" s="198">
        <v>13350</v>
      </c>
      <c r="L36" s="201">
        <v>2.0194000000000001</v>
      </c>
      <c r="M36" s="200">
        <f t="shared" si="6"/>
        <v>26958.99</v>
      </c>
      <c r="N36" s="188"/>
      <c r="O36" s="192">
        <f t="shared" si="7"/>
        <v>37699.065000000002</v>
      </c>
      <c r="P36" s="187"/>
      <c r="Q36" s="187"/>
    </row>
    <row r="37" spans="1:17" s="184" customFormat="1" ht="12.75" x14ac:dyDescent="0.2">
      <c r="A37" s="191" t="s">
        <v>319</v>
      </c>
      <c r="B37" s="188"/>
      <c r="C37" s="198">
        <v>14601</v>
      </c>
      <c r="D37" s="201">
        <v>3.3980000000000001</v>
      </c>
      <c r="E37" s="200">
        <f t="shared" si="4"/>
        <v>49614.198000000004</v>
      </c>
      <c r="F37" s="188"/>
      <c r="G37" s="198">
        <v>14827</v>
      </c>
      <c r="H37" s="201">
        <v>0.80449999999999999</v>
      </c>
      <c r="I37" s="200">
        <f t="shared" si="5"/>
        <v>11928.3215</v>
      </c>
      <c r="J37" s="188"/>
      <c r="K37" s="198">
        <v>14827</v>
      </c>
      <c r="L37" s="201">
        <v>2.0194000000000001</v>
      </c>
      <c r="M37" s="200">
        <f t="shared" si="6"/>
        <v>29941.643800000002</v>
      </c>
      <c r="N37" s="188"/>
      <c r="O37" s="192">
        <f t="shared" si="7"/>
        <v>41869.965300000003</v>
      </c>
      <c r="P37" s="187"/>
      <c r="Q37" s="187"/>
    </row>
    <row r="38" spans="1:17" s="184" customFormat="1" ht="12.75" x14ac:dyDescent="0.2">
      <c r="A38" s="191" t="s">
        <v>320</v>
      </c>
      <c r="B38" s="188"/>
      <c r="C38" s="198">
        <v>15000</v>
      </c>
      <c r="D38" s="201">
        <v>3.3980000000000001</v>
      </c>
      <c r="E38" s="200">
        <f t="shared" si="4"/>
        <v>50970</v>
      </c>
      <c r="F38" s="188"/>
      <c r="G38" s="198">
        <v>15000</v>
      </c>
      <c r="H38" s="201">
        <v>0.80449999999999999</v>
      </c>
      <c r="I38" s="200">
        <f t="shared" si="5"/>
        <v>12067.5</v>
      </c>
      <c r="J38" s="188"/>
      <c r="K38" s="198">
        <v>15000</v>
      </c>
      <c r="L38" s="201">
        <v>2.0194000000000001</v>
      </c>
      <c r="M38" s="200">
        <f t="shared" si="6"/>
        <v>30291</v>
      </c>
      <c r="N38" s="188"/>
      <c r="O38" s="192">
        <f t="shared" si="7"/>
        <v>42358.5</v>
      </c>
      <c r="P38" s="187"/>
      <c r="Q38" s="187"/>
    </row>
    <row r="39" spans="1:17" s="184" customFormat="1" ht="12.75" x14ac:dyDescent="0.2">
      <c r="A39" s="188"/>
      <c r="B39" s="188"/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7"/>
      <c r="Q39" s="187"/>
    </row>
    <row r="40" spans="1:17" s="184" customFormat="1" ht="13.5" thickBot="1" x14ac:dyDescent="0.25">
      <c r="A40" s="190" t="s">
        <v>75</v>
      </c>
      <c r="B40" s="188"/>
      <c r="C40" s="193">
        <f>SUM(C27:C38)</f>
        <v>181217</v>
      </c>
      <c r="D40" s="202">
        <f>D38</f>
        <v>3.3980000000000001</v>
      </c>
      <c r="E40" s="195">
        <f>SUM(E27:E38)</f>
        <v>615775.36599999992</v>
      </c>
      <c r="F40" s="188"/>
      <c r="G40" s="193">
        <f>SUM(G27:G38)</f>
        <v>182925</v>
      </c>
      <c r="H40" s="202">
        <f>H38</f>
        <v>0.80449999999999999</v>
      </c>
      <c r="I40" s="195">
        <f>SUM(I27:I38)</f>
        <v>147163.16250000001</v>
      </c>
      <c r="J40" s="188"/>
      <c r="K40" s="193">
        <f>SUM(K27:K38)</f>
        <v>182925</v>
      </c>
      <c r="L40" s="202">
        <f>L38</f>
        <v>2.0194000000000001</v>
      </c>
      <c r="M40" s="195">
        <f>SUM(M27:M38)</f>
        <v>369398.745</v>
      </c>
      <c r="N40" s="188"/>
      <c r="O40" s="195">
        <f>SUM(O27:O38)</f>
        <v>516561.90749999997</v>
      </c>
      <c r="P40" s="187"/>
      <c r="Q40" s="187"/>
    </row>
    <row r="43" spans="1:17" x14ac:dyDescent="0.25">
      <c r="A43" s="16" t="s">
        <v>348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</row>
    <row r="45" spans="1:17" s="184" customFormat="1" ht="15.75" x14ac:dyDescent="0.25">
      <c r="A45" s="185" t="s">
        <v>300</v>
      </c>
      <c r="B45" s="186"/>
      <c r="C45" s="324" t="s">
        <v>301</v>
      </c>
      <c r="D45" s="324"/>
      <c r="E45" s="324"/>
      <c r="F45" s="186"/>
      <c r="G45" s="324" t="s">
        <v>302</v>
      </c>
      <c r="H45" s="324"/>
      <c r="I45" s="324"/>
      <c r="J45" s="186"/>
      <c r="K45" s="324" t="s">
        <v>303</v>
      </c>
      <c r="L45" s="324"/>
      <c r="M45" s="324"/>
      <c r="N45" s="186"/>
      <c r="O45" s="185" t="s">
        <v>304</v>
      </c>
      <c r="P45" s="189"/>
      <c r="Q45" s="189"/>
    </row>
    <row r="46" spans="1:17" s="184" customFormat="1" ht="30" x14ac:dyDescent="0.3">
      <c r="A46" s="190" t="s">
        <v>305</v>
      </c>
      <c r="B46" s="196"/>
      <c r="C46" s="197" t="s">
        <v>306</v>
      </c>
      <c r="D46" s="197" t="s">
        <v>307</v>
      </c>
      <c r="E46" s="197" t="s">
        <v>308</v>
      </c>
      <c r="F46" s="196"/>
      <c r="G46" s="197" t="s">
        <v>306</v>
      </c>
      <c r="H46" s="197" t="s">
        <v>307</v>
      </c>
      <c r="I46" s="197" t="s">
        <v>308</v>
      </c>
      <c r="J46" s="196"/>
      <c r="K46" s="197" t="s">
        <v>306</v>
      </c>
      <c r="L46" s="197" t="s">
        <v>307</v>
      </c>
      <c r="M46" s="197" t="s">
        <v>308</v>
      </c>
      <c r="N46" s="196"/>
      <c r="O46" s="197" t="s">
        <v>308</v>
      </c>
      <c r="P46" s="187"/>
      <c r="Q46" s="187"/>
    </row>
    <row r="47" spans="1:17" s="184" customFormat="1" ht="12.75" x14ac:dyDescent="0.2">
      <c r="B47" s="188"/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7"/>
      <c r="Q47" s="187"/>
    </row>
    <row r="48" spans="1:17" s="184" customFormat="1" ht="12.75" x14ac:dyDescent="0.2">
      <c r="A48" s="191" t="s">
        <v>309</v>
      </c>
      <c r="B48" s="188"/>
      <c r="C48" s="198">
        <v>53702</v>
      </c>
      <c r="D48" s="199">
        <v>3.92</v>
      </c>
      <c r="E48" s="200">
        <f>C48*D48</f>
        <v>210511.84</v>
      </c>
      <c r="F48" s="188"/>
      <c r="G48" s="198">
        <v>56415</v>
      </c>
      <c r="H48" s="199">
        <v>0.97</v>
      </c>
      <c r="I48" s="200">
        <f>G48*H48</f>
        <v>54722.549999999996</v>
      </c>
      <c r="J48" s="188"/>
      <c r="K48" s="198">
        <v>56415</v>
      </c>
      <c r="L48" s="199">
        <v>2.33</v>
      </c>
      <c r="M48" s="200">
        <f>K48*L48</f>
        <v>131446.95000000001</v>
      </c>
      <c r="N48" s="188"/>
      <c r="O48" s="192">
        <f>I48+M48</f>
        <v>186169.5</v>
      </c>
      <c r="P48" s="187"/>
      <c r="Q48" s="187"/>
    </row>
    <row r="49" spans="1:17" s="184" customFormat="1" ht="12.75" x14ac:dyDescent="0.2">
      <c r="A49" s="191" t="s">
        <v>310</v>
      </c>
      <c r="B49" s="188"/>
      <c r="C49" s="198">
        <v>46222</v>
      </c>
      <c r="D49" s="199">
        <v>3.92</v>
      </c>
      <c r="E49" s="200">
        <f t="shared" ref="E49:E59" si="8">C49*D49</f>
        <v>181190.24</v>
      </c>
      <c r="F49" s="188"/>
      <c r="G49" s="198">
        <v>52118</v>
      </c>
      <c r="H49" s="199">
        <v>0.97</v>
      </c>
      <c r="I49" s="200">
        <f t="shared" ref="I49:I59" si="9">G49*H49</f>
        <v>50554.46</v>
      </c>
      <c r="J49" s="188"/>
      <c r="K49" s="198">
        <v>52118</v>
      </c>
      <c r="L49" s="199">
        <v>2.33</v>
      </c>
      <c r="M49" s="200">
        <f t="shared" ref="M49:M59" si="10">K49*L49</f>
        <v>121434.94</v>
      </c>
      <c r="N49" s="188"/>
      <c r="O49" s="192">
        <f t="shared" ref="O49:O59" si="11">I49+M49</f>
        <v>171989.4</v>
      </c>
      <c r="P49" s="187"/>
      <c r="Q49" s="187"/>
    </row>
    <row r="50" spans="1:17" s="184" customFormat="1" ht="12.75" x14ac:dyDescent="0.2">
      <c r="A50" s="191" t="s">
        <v>311</v>
      </c>
      <c r="B50" s="188"/>
      <c r="C50" s="198">
        <v>46100</v>
      </c>
      <c r="D50" s="199">
        <v>3.92</v>
      </c>
      <c r="E50" s="200">
        <f t="shared" si="8"/>
        <v>180712</v>
      </c>
      <c r="F50" s="188"/>
      <c r="G50" s="198">
        <v>51220</v>
      </c>
      <c r="H50" s="199">
        <v>0.97</v>
      </c>
      <c r="I50" s="200">
        <f t="shared" si="9"/>
        <v>49683.4</v>
      </c>
      <c r="J50" s="188"/>
      <c r="K50" s="198">
        <v>51220</v>
      </c>
      <c r="L50" s="199">
        <v>2.33</v>
      </c>
      <c r="M50" s="200">
        <f t="shared" si="10"/>
        <v>119342.6</v>
      </c>
      <c r="N50" s="188"/>
      <c r="O50" s="192">
        <f t="shared" si="11"/>
        <v>169026</v>
      </c>
      <c r="P50" s="187"/>
      <c r="Q50" s="187"/>
    </row>
    <row r="51" spans="1:17" s="184" customFormat="1" ht="12.75" x14ac:dyDescent="0.2">
      <c r="A51" s="191" t="s">
        <v>312</v>
      </c>
      <c r="B51" s="188"/>
      <c r="C51" s="198">
        <v>32377.746320000002</v>
      </c>
      <c r="D51" s="199">
        <v>3.92</v>
      </c>
      <c r="E51" s="200">
        <f t="shared" si="8"/>
        <v>126920.76557440001</v>
      </c>
      <c r="F51" s="188"/>
      <c r="G51" s="198">
        <v>43854.746320000006</v>
      </c>
      <c r="H51" s="199">
        <v>0.97</v>
      </c>
      <c r="I51" s="200">
        <f t="shared" si="9"/>
        <v>42539.103930400008</v>
      </c>
      <c r="J51" s="188"/>
      <c r="K51" s="198">
        <v>43854.746320000006</v>
      </c>
      <c r="L51" s="199">
        <v>2.33</v>
      </c>
      <c r="M51" s="200">
        <f t="shared" si="10"/>
        <v>102181.55892560001</v>
      </c>
      <c r="N51" s="188"/>
      <c r="O51" s="192">
        <f t="shared" si="11"/>
        <v>144720.66285600001</v>
      </c>
      <c r="P51" s="187"/>
      <c r="Q51" s="187"/>
    </row>
    <row r="52" spans="1:17" s="184" customFormat="1" ht="12.75" x14ac:dyDescent="0.2">
      <c r="A52" s="191" t="s">
        <v>313</v>
      </c>
      <c r="B52" s="188"/>
      <c r="C52" s="198">
        <v>43007.115380000003</v>
      </c>
      <c r="D52" s="199">
        <v>3.92</v>
      </c>
      <c r="E52" s="200">
        <f t="shared" si="8"/>
        <v>168587.89228960001</v>
      </c>
      <c r="F52" s="188"/>
      <c r="G52" s="198">
        <v>50584.115380000003</v>
      </c>
      <c r="H52" s="199">
        <v>0.97</v>
      </c>
      <c r="I52" s="200">
        <f t="shared" si="9"/>
        <v>49066.591918600003</v>
      </c>
      <c r="J52" s="188"/>
      <c r="K52" s="198">
        <v>50584.115380000003</v>
      </c>
      <c r="L52" s="199">
        <v>2.33</v>
      </c>
      <c r="M52" s="200">
        <f t="shared" si="10"/>
        <v>117860.98883540001</v>
      </c>
      <c r="N52" s="188"/>
      <c r="O52" s="192">
        <f t="shared" si="11"/>
        <v>166927.58075400002</v>
      </c>
      <c r="P52" s="187"/>
      <c r="Q52" s="187"/>
    </row>
    <row r="53" spans="1:17" s="184" customFormat="1" ht="12.75" x14ac:dyDescent="0.2">
      <c r="A53" s="191" t="s">
        <v>314</v>
      </c>
      <c r="B53" s="188"/>
      <c r="C53" s="198">
        <v>62536</v>
      </c>
      <c r="D53" s="199">
        <v>3.92</v>
      </c>
      <c r="E53" s="200">
        <f t="shared" si="8"/>
        <v>245141.12</v>
      </c>
      <c r="F53" s="188"/>
      <c r="G53" s="198">
        <v>66823</v>
      </c>
      <c r="H53" s="199">
        <v>0.97</v>
      </c>
      <c r="I53" s="200">
        <f t="shared" si="9"/>
        <v>64818.31</v>
      </c>
      <c r="J53" s="188"/>
      <c r="K53" s="198">
        <v>66823</v>
      </c>
      <c r="L53" s="199">
        <v>2.33</v>
      </c>
      <c r="M53" s="200">
        <f t="shared" si="10"/>
        <v>155697.59</v>
      </c>
      <c r="N53" s="188"/>
      <c r="O53" s="192">
        <f t="shared" si="11"/>
        <v>220515.9</v>
      </c>
      <c r="P53" s="187"/>
      <c r="Q53" s="187"/>
    </row>
    <row r="54" spans="1:17" s="184" customFormat="1" ht="12.75" x14ac:dyDescent="0.2">
      <c r="A54" s="191" t="s">
        <v>315</v>
      </c>
      <c r="B54" s="188"/>
      <c r="C54" s="198">
        <v>67028</v>
      </c>
      <c r="D54" s="199">
        <v>3.92</v>
      </c>
      <c r="E54" s="200">
        <f t="shared" si="8"/>
        <v>262749.76</v>
      </c>
      <c r="F54" s="188"/>
      <c r="G54" s="198">
        <v>70907</v>
      </c>
      <c r="H54" s="199">
        <v>0.97</v>
      </c>
      <c r="I54" s="200">
        <f t="shared" si="9"/>
        <v>68779.789999999994</v>
      </c>
      <c r="J54" s="188"/>
      <c r="K54" s="198">
        <v>70907</v>
      </c>
      <c r="L54" s="199">
        <v>2.33</v>
      </c>
      <c r="M54" s="200">
        <f t="shared" si="10"/>
        <v>165213.31</v>
      </c>
      <c r="N54" s="188"/>
      <c r="O54" s="192">
        <f t="shared" si="11"/>
        <v>233993.09999999998</v>
      </c>
      <c r="P54" s="187"/>
      <c r="Q54" s="187"/>
    </row>
    <row r="55" spans="1:17" s="184" customFormat="1" ht="12.75" x14ac:dyDescent="0.2">
      <c r="A55" s="191" t="s">
        <v>316</v>
      </c>
      <c r="B55" s="188"/>
      <c r="C55" s="198">
        <v>62850</v>
      </c>
      <c r="D55" s="199">
        <v>3.92</v>
      </c>
      <c r="E55" s="200">
        <f t="shared" si="8"/>
        <v>246372</v>
      </c>
      <c r="F55" s="188"/>
      <c r="G55" s="198">
        <v>72338</v>
      </c>
      <c r="H55" s="199">
        <v>0.97</v>
      </c>
      <c r="I55" s="200">
        <f t="shared" si="9"/>
        <v>70167.86</v>
      </c>
      <c r="J55" s="188"/>
      <c r="K55" s="198">
        <v>72338</v>
      </c>
      <c r="L55" s="199">
        <v>2.33</v>
      </c>
      <c r="M55" s="200">
        <f t="shared" si="10"/>
        <v>168547.54</v>
      </c>
      <c r="N55" s="188"/>
      <c r="O55" s="192">
        <f t="shared" si="11"/>
        <v>238715.40000000002</v>
      </c>
      <c r="P55" s="187"/>
      <c r="Q55" s="187"/>
    </row>
    <row r="56" spans="1:17" s="184" customFormat="1" ht="12.75" x14ac:dyDescent="0.2">
      <c r="A56" s="191" t="s">
        <v>317</v>
      </c>
      <c r="B56" s="188"/>
      <c r="C56" s="198">
        <v>59115</v>
      </c>
      <c r="D56" s="199">
        <v>3.92</v>
      </c>
      <c r="E56" s="200">
        <f t="shared" si="8"/>
        <v>231730.8</v>
      </c>
      <c r="F56" s="188"/>
      <c r="G56" s="198">
        <v>64641</v>
      </c>
      <c r="H56" s="199">
        <v>0.97</v>
      </c>
      <c r="I56" s="200">
        <f t="shared" si="9"/>
        <v>62701.77</v>
      </c>
      <c r="J56" s="188"/>
      <c r="K56" s="198">
        <v>64641</v>
      </c>
      <c r="L56" s="199">
        <v>2.33</v>
      </c>
      <c r="M56" s="200">
        <f t="shared" si="10"/>
        <v>150613.53</v>
      </c>
      <c r="N56" s="188"/>
      <c r="O56" s="192">
        <f t="shared" si="11"/>
        <v>213315.3</v>
      </c>
      <c r="P56" s="187"/>
      <c r="Q56" s="187"/>
    </row>
    <row r="57" spans="1:17" s="184" customFormat="1" ht="12.75" x14ac:dyDescent="0.2">
      <c r="A57" s="191" t="s">
        <v>318</v>
      </c>
      <c r="B57" s="188"/>
      <c r="C57" s="198">
        <v>48695</v>
      </c>
      <c r="D57" s="199">
        <v>3.92</v>
      </c>
      <c r="E57" s="200">
        <f t="shared" si="8"/>
        <v>190884.4</v>
      </c>
      <c r="F57" s="188"/>
      <c r="G57" s="198">
        <v>54558</v>
      </c>
      <c r="H57" s="199">
        <v>0.97</v>
      </c>
      <c r="I57" s="200">
        <f t="shared" si="9"/>
        <v>52921.26</v>
      </c>
      <c r="J57" s="188"/>
      <c r="K57" s="198">
        <v>54558</v>
      </c>
      <c r="L57" s="199">
        <v>2.33</v>
      </c>
      <c r="M57" s="200">
        <f t="shared" si="10"/>
        <v>127120.14</v>
      </c>
      <c r="N57" s="188"/>
      <c r="O57" s="192">
        <f t="shared" si="11"/>
        <v>180041.4</v>
      </c>
      <c r="P57" s="187"/>
      <c r="Q57" s="187"/>
    </row>
    <row r="58" spans="1:17" s="184" customFormat="1" ht="12.75" x14ac:dyDescent="0.2">
      <c r="A58" s="191" t="s">
        <v>319</v>
      </c>
      <c r="B58" s="188"/>
      <c r="C58" s="198">
        <v>50656</v>
      </c>
      <c r="D58" s="199">
        <v>3.92</v>
      </c>
      <c r="E58" s="200">
        <f t="shared" si="8"/>
        <v>198571.51999999999</v>
      </c>
      <c r="F58" s="188"/>
      <c r="G58" s="198">
        <v>53066</v>
      </c>
      <c r="H58" s="199">
        <v>0.97</v>
      </c>
      <c r="I58" s="200">
        <f t="shared" si="9"/>
        <v>51474.02</v>
      </c>
      <c r="J58" s="188"/>
      <c r="K58" s="198">
        <v>53066</v>
      </c>
      <c r="L58" s="199">
        <v>2.33</v>
      </c>
      <c r="M58" s="200">
        <f t="shared" si="10"/>
        <v>123643.78</v>
      </c>
      <c r="N58" s="188"/>
      <c r="O58" s="192">
        <f t="shared" si="11"/>
        <v>175117.8</v>
      </c>
      <c r="P58" s="187"/>
      <c r="Q58" s="187"/>
    </row>
    <row r="59" spans="1:17" s="184" customFormat="1" ht="12.75" x14ac:dyDescent="0.2">
      <c r="A59" s="191" t="s">
        <v>320</v>
      </c>
      <c r="B59" s="188"/>
      <c r="C59" s="198">
        <v>50716</v>
      </c>
      <c r="D59" s="199">
        <v>3.92</v>
      </c>
      <c r="E59" s="200">
        <f t="shared" si="8"/>
        <v>198806.72</v>
      </c>
      <c r="F59" s="188"/>
      <c r="G59" s="198">
        <v>55415</v>
      </c>
      <c r="H59" s="199">
        <v>0.97</v>
      </c>
      <c r="I59" s="200">
        <f t="shared" si="9"/>
        <v>53752.549999999996</v>
      </c>
      <c r="J59" s="188"/>
      <c r="K59" s="198">
        <v>55415</v>
      </c>
      <c r="L59" s="199">
        <v>2.33</v>
      </c>
      <c r="M59" s="200">
        <f t="shared" si="10"/>
        <v>129116.95</v>
      </c>
      <c r="N59" s="188"/>
      <c r="O59" s="192">
        <f t="shared" si="11"/>
        <v>182869.5</v>
      </c>
      <c r="P59" s="187"/>
      <c r="Q59" s="187"/>
    </row>
    <row r="60" spans="1:17" s="184" customFormat="1" ht="12.75" x14ac:dyDescent="0.2">
      <c r="A60" s="188"/>
      <c r="B60" s="188"/>
      <c r="C60" s="188"/>
      <c r="D60" s="188"/>
      <c r="E60" s="188"/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187"/>
      <c r="Q60" s="187"/>
    </row>
    <row r="61" spans="1:17" s="184" customFormat="1" ht="13.5" thickBot="1" x14ac:dyDescent="0.25">
      <c r="A61" s="190" t="s">
        <v>75</v>
      </c>
      <c r="B61" s="188"/>
      <c r="C61" s="193">
        <f>SUM(C48:C59)</f>
        <v>623004.86170000001</v>
      </c>
      <c r="D61" s="194">
        <f>D59</f>
        <v>3.92</v>
      </c>
      <c r="E61" s="195">
        <f>SUM(E48:E59)</f>
        <v>2442179.0578640001</v>
      </c>
      <c r="F61" s="188"/>
      <c r="G61" s="193">
        <f>SUM(G48:G59)</f>
        <v>691939.86170000001</v>
      </c>
      <c r="H61" s="194">
        <f>H59</f>
        <v>0.97</v>
      </c>
      <c r="I61" s="195">
        <f>SUM(I48:I59)</f>
        <v>671181.66584899998</v>
      </c>
      <c r="J61" s="188"/>
      <c r="K61" s="193">
        <f>SUM(K48:K59)</f>
        <v>691939.86170000001</v>
      </c>
      <c r="L61" s="194">
        <f>L59</f>
        <v>2.33</v>
      </c>
      <c r="M61" s="195">
        <f>SUM(M48:M59)</f>
        <v>1612219.8777609998</v>
      </c>
      <c r="N61" s="188"/>
      <c r="O61" s="195">
        <f>SUM(O48:O59)</f>
        <v>2283401.5436100001</v>
      </c>
      <c r="P61" s="187"/>
      <c r="Q61" s="187"/>
    </row>
    <row r="62" spans="1:17" s="184" customFormat="1" ht="12.75" x14ac:dyDescent="0.2">
      <c r="A62" s="188"/>
      <c r="B62" s="188"/>
      <c r="C62" s="188"/>
      <c r="D62" s="188"/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7"/>
      <c r="Q62" s="187"/>
    </row>
    <row r="63" spans="1:17" s="184" customFormat="1" ht="12.75" x14ac:dyDescent="0.2">
      <c r="A63" s="185" t="s">
        <v>321</v>
      </c>
      <c r="B63" s="186"/>
      <c r="C63" s="324" t="s">
        <v>301</v>
      </c>
      <c r="D63" s="324"/>
      <c r="E63" s="324"/>
      <c r="F63" s="186"/>
      <c r="G63" s="324" t="s">
        <v>302</v>
      </c>
      <c r="H63" s="324"/>
      <c r="I63" s="324"/>
      <c r="J63" s="186"/>
      <c r="K63" s="324" t="s">
        <v>303</v>
      </c>
      <c r="L63" s="324"/>
      <c r="M63" s="324"/>
      <c r="N63" s="186"/>
      <c r="O63" s="185" t="s">
        <v>304</v>
      </c>
      <c r="P63" s="187"/>
      <c r="Q63" s="187"/>
    </row>
    <row r="64" spans="1:17" s="184" customFormat="1" x14ac:dyDescent="0.3">
      <c r="A64" s="190"/>
      <c r="B64" s="196"/>
      <c r="C64" s="197"/>
      <c r="D64" s="197"/>
      <c r="E64" s="197"/>
      <c r="F64" s="196"/>
      <c r="G64" s="197"/>
      <c r="H64" s="197"/>
      <c r="I64" s="197"/>
      <c r="J64" s="196"/>
      <c r="K64" s="197"/>
      <c r="L64" s="197"/>
      <c r="M64" s="197"/>
      <c r="N64" s="196"/>
      <c r="O64" s="197"/>
      <c r="P64" s="187"/>
      <c r="Q64" s="187"/>
    </row>
    <row r="65" spans="1:17" s="184" customFormat="1" ht="30" x14ac:dyDescent="0.3">
      <c r="A65" s="190" t="s">
        <v>305</v>
      </c>
      <c r="B65" s="196"/>
      <c r="C65" s="197" t="s">
        <v>306</v>
      </c>
      <c r="D65" s="197" t="s">
        <v>307</v>
      </c>
      <c r="E65" s="197" t="s">
        <v>308</v>
      </c>
      <c r="F65" s="196"/>
      <c r="G65" s="197" t="s">
        <v>306</v>
      </c>
      <c r="H65" s="197" t="s">
        <v>307</v>
      </c>
      <c r="I65" s="197" t="s">
        <v>308</v>
      </c>
      <c r="J65" s="196"/>
      <c r="K65" s="197" t="s">
        <v>306</v>
      </c>
      <c r="L65" s="197" t="s">
        <v>307</v>
      </c>
      <c r="M65" s="197" t="s">
        <v>308</v>
      </c>
      <c r="N65" s="196"/>
      <c r="O65" s="197" t="s">
        <v>308</v>
      </c>
      <c r="P65" s="187"/>
      <c r="Q65" s="187"/>
    </row>
    <row r="66" spans="1:17" s="184" customFormat="1" ht="12.75" x14ac:dyDescent="0.2">
      <c r="A66" s="188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  <c r="M66" s="188"/>
      <c r="N66" s="188"/>
      <c r="O66" s="188"/>
      <c r="P66" s="187"/>
      <c r="Q66" s="187"/>
    </row>
    <row r="67" spans="1:17" s="184" customFormat="1" ht="12.75" x14ac:dyDescent="0.2">
      <c r="A67" s="191" t="s">
        <v>309</v>
      </c>
      <c r="B67" s="188"/>
      <c r="C67" s="198">
        <v>18987</v>
      </c>
      <c r="D67" s="201">
        <v>3.3980000000000001</v>
      </c>
      <c r="E67" s="200">
        <f>C67*D67</f>
        <v>64517.826000000001</v>
      </c>
      <c r="F67" s="188"/>
      <c r="G67" s="198">
        <v>19006</v>
      </c>
      <c r="H67" s="201">
        <v>0.80449999999999999</v>
      </c>
      <c r="I67" s="200">
        <f>G67*H67</f>
        <v>15290.326999999999</v>
      </c>
      <c r="J67" s="188"/>
      <c r="K67" s="198">
        <v>19006</v>
      </c>
      <c r="L67" s="201">
        <v>2.0194000000000001</v>
      </c>
      <c r="M67" s="200">
        <f>K67*L67</f>
        <v>38380.716400000005</v>
      </c>
      <c r="N67" s="188"/>
      <c r="O67" s="192">
        <f>I67+M67</f>
        <v>53671.043400000002</v>
      </c>
      <c r="P67" s="187"/>
      <c r="Q67" s="187"/>
    </row>
    <row r="68" spans="1:17" s="184" customFormat="1" ht="12.75" x14ac:dyDescent="0.2">
      <c r="A68" s="191" t="s">
        <v>310</v>
      </c>
      <c r="B68" s="188"/>
      <c r="C68" s="198">
        <v>18216</v>
      </c>
      <c r="D68" s="201">
        <v>3.3980000000000001</v>
      </c>
      <c r="E68" s="200">
        <f t="shared" ref="E68:E78" si="12">C68*D68</f>
        <v>61897.968000000001</v>
      </c>
      <c r="F68" s="188"/>
      <c r="G68" s="198">
        <v>18243</v>
      </c>
      <c r="H68" s="201">
        <v>0.80449999999999999</v>
      </c>
      <c r="I68" s="200">
        <f t="shared" ref="I68:I78" si="13">G68*H68</f>
        <v>14676.4935</v>
      </c>
      <c r="J68" s="188"/>
      <c r="K68" s="198">
        <v>18243</v>
      </c>
      <c r="L68" s="201">
        <v>2.0194000000000001</v>
      </c>
      <c r="M68" s="200">
        <f t="shared" ref="M68:M78" si="14">K68*L68</f>
        <v>36839.914199999999</v>
      </c>
      <c r="N68" s="188"/>
      <c r="O68" s="192">
        <f t="shared" ref="O68:O78" si="15">I68+M68</f>
        <v>51516.407699999996</v>
      </c>
      <c r="P68" s="187"/>
      <c r="Q68" s="187"/>
    </row>
    <row r="69" spans="1:17" s="184" customFormat="1" ht="12.75" x14ac:dyDescent="0.2">
      <c r="A69" s="191" t="s">
        <v>311</v>
      </c>
      <c r="B69" s="188"/>
      <c r="C69" s="198">
        <v>19500</v>
      </c>
      <c r="D69" s="201">
        <v>3.3980000000000001</v>
      </c>
      <c r="E69" s="200">
        <f t="shared" si="12"/>
        <v>66261</v>
      </c>
      <c r="F69" s="188"/>
      <c r="G69" s="198">
        <v>19580</v>
      </c>
      <c r="H69" s="201">
        <v>0.80449999999999999</v>
      </c>
      <c r="I69" s="200">
        <f t="shared" si="13"/>
        <v>15752.11</v>
      </c>
      <c r="J69" s="188"/>
      <c r="K69" s="198">
        <v>19580</v>
      </c>
      <c r="L69" s="201">
        <v>2.0194000000000001</v>
      </c>
      <c r="M69" s="200">
        <f t="shared" si="14"/>
        <v>39539.851999999999</v>
      </c>
      <c r="N69" s="188"/>
      <c r="O69" s="192">
        <f t="shared" si="15"/>
        <v>55291.962</v>
      </c>
      <c r="P69" s="187"/>
      <c r="Q69" s="187"/>
    </row>
    <row r="70" spans="1:17" s="184" customFormat="1" ht="12.75" x14ac:dyDescent="0.2">
      <c r="A70" s="191" t="s">
        <v>312</v>
      </c>
      <c r="B70" s="188"/>
      <c r="C70" s="198">
        <v>23715</v>
      </c>
      <c r="D70" s="201">
        <v>3.3980000000000001</v>
      </c>
      <c r="E70" s="200">
        <f t="shared" si="12"/>
        <v>80583.570000000007</v>
      </c>
      <c r="F70" s="188"/>
      <c r="G70" s="198">
        <v>23906</v>
      </c>
      <c r="H70" s="201">
        <v>0.80449999999999999</v>
      </c>
      <c r="I70" s="200">
        <f t="shared" si="13"/>
        <v>19232.377</v>
      </c>
      <c r="J70" s="188"/>
      <c r="K70" s="198">
        <v>23906</v>
      </c>
      <c r="L70" s="201">
        <v>2.0194000000000001</v>
      </c>
      <c r="M70" s="200">
        <f t="shared" si="14"/>
        <v>48275.776400000002</v>
      </c>
      <c r="N70" s="188"/>
      <c r="O70" s="192">
        <f t="shared" si="15"/>
        <v>67508.15340000001</v>
      </c>
      <c r="P70" s="187"/>
      <c r="Q70" s="187"/>
    </row>
    <row r="71" spans="1:17" s="184" customFormat="1" ht="12.75" x14ac:dyDescent="0.2">
      <c r="A71" s="191" t="s">
        <v>313</v>
      </c>
      <c r="B71" s="188"/>
      <c r="C71" s="198">
        <v>18934</v>
      </c>
      <c r="D71" s="201">
        <v>3.3980000000000001</v>
      </c>
      <c r="E71" s="200">
        <f t="shared" si="12"/>
        <v>64337.732000000004</v>
      </c>
      <c r="F71" s="188"/>
      <c r="G71" s="198">
        <v>18984</v>
      </c>
      <c r="H71" s="201">
        <v>0.80449999999999999</v>
      </c>
      <c r="I71" s="200">
        <f t="shared" si="13"/>
        <v>15272.628000000001</v>
      </c>
      <c r="J71" s="188"/>
      <c r="K71" s="198">
        <v>18984</v>
      </c>
      <c r="L71" s="201">
        <v>2.0194000000000001</v>
      </c>
      <c r="M71" s="200">
        <f t="shared" si="14"/>
        <v>38336.289600000004</v>
      </c>
      <c r="N71" s="188"/>
      <c r="O71" s="192">
        <f t="shared" si="15"/>
        <v>53608.917600000001</v>
      </c>
      <c r="P71" s="187"/>
      <c r="Q71" s="187"/>
    </row>
    <row r="72" spans="1:17" s="184" customFormat="1" ht="12.75" x14ac:dyDescent="0.2">
      <c r="A72" s="191" t="s">
        <v>314</v>
      </c>
      <c r="B72" s="188"/>
      <c r="C72" s="198">
        <v>21205</v>
      </c>
      <c r="D72" s="201">
        <v>3.3980000000000001</v>
      </c>
      <c r="E72" s="200">
        <f t="shared" si="12"/>
        <v>72054.59</v>
      </c>
      <c r="F72" s="188"/>
      <c r="G72" s="198">
        <v>21263</v>
      </c>
      <c r="H72" s="201">
        <v>0.80449999999999999</v>
      </c>
      <c r="I72" s="200">
        <f t="shared" si="13"/>
        <v>17106.083500000001</v>
      </c>
      <c r="J72" s="188"/>
      <c r="K72" s="198">
        <v>21263</v>
      </c>
      <c r="L72" s="201">
        <v>2.0194000000000001</v>
      </c>
      <c r="M72" s="200">
        <f t="shared" si="14"/>
        <v>42938.502200000003</v>
      </c>
      <c r="N72" s="188"/>
      <c r="O72" s="192">
        <f t="shared" si="15"/>
        <v>60044.585700000003</v>
      </c>
      <c r="P72" s="187"/>
      <c r="Q72" s="187"/>
    </row>
    <row r="73" spans="1:17" s="184" customFormat="1" ht="12.75" x14ac:dyDescent="0.2">
      <c r="A73" s="191" t="s">
        <v>315</v>
      </c>
      <c r="B73" s="188"/>
      <c r="C73" s="198">
        <v>26021</v>
      </c>
      <c r="D73" s="201">
        <v>3.3980000000000001</v>
      </c>
      <c r="E73" s="200">
        <f t="shared" si="12"/>
        <v>88419.358000000007</v>
      </c>
      <c r="F73" s="188"/>
      <c r="G73" s="198">
        <v>26121</v>
      </c>
      <c r="H73" s="201">
        <v>0.80449999999999999</v>
      </c>
      <c r="I73" s="200">
        <f t="shared" si="13"/>
        <v>21014.344499999999</v>
      </c>
      <c r="J73" s="188"/>
      <c r="K73" s="198">
        <v>26121</v>
      </c>
      <c r="L73" s="201">
        <v>2.0194000000000001</v>
      </c>
      <c r="M73" s="200">
        <f t="shared" si="14"/>
        <v>52748.7474</v>
      </c>
      <c r="N73" s="188"/>
      <c r="O73" s="192">
        <f t="shared" si="15"/>
        <v>73763.091899999999</v>
      </c>
      <c r="P73" s="187"/>
      <c r="Q73" s="187"/>
    </row>
    <row r="74" spans="1:17" s="184" customFormat="1" ht="12.75" x14ac:dyDescent="0.2">
      <c r="A74" s="191" t="s">
        <v>316</v>
      </c>
      <c r="B74" s="188"/>
      <c r="C74" s="198">
        <v>17979</v>
      </c>
      <c r="D74" s="201">
        <v>3.3980000000000001</v>
      </c>
      <c r="E74" s="200">
        <f t="shared" si="12"/>
        <v>61092.642</v>
      </c>
      <c r="F74" s="188"/>
      <c r="G74" s="198">
        <v>18273</v>
      </c>
      <c r="H74" s="201">
        <v>0.80449999999999999</v>
      </c>
      <c r="I74" s="200">
        <f t="shared" si="13"/>
        <v>14700.628500000001</v>
      </c>
      <c r="J74" s="188"/>
      <c r="K74" s="198">
        <v>18273</v>
      </c>
      <c r="L74" s="201">
        <v>2.0194000000000001</v>
      </c>
      <c r="M74" s="200">
        <f t="shared" si="14"/>
        <v>36900.496200000001</v>
      </c>
      <c r="N74" s="188"/>
      <c r="O74" s="192">
        <f t="shared" si="15"/>
        <v>51601.1247</v>
      </c>
      <c r="P74" s="187"/>
      <c r="Q74" s="187"/>
    </row>
    <row r="75" spans="1:17" s="184" customFormat="1" ht="12.75" x14ac:dyDescent="0.2">
      <c r="A75" s="191" t="s">
        <v>317</v>
      </c>
      <c r="B75" s="188"/>
      <c r="C75" s="198">
        <v>16081</v>
      </c>
      <c r="D75" s="201">
        <v>3.3980000000000001</v>
      </c>
      <c r="E75" s="200">
        <f t="shared" si="12"/>
        <v>54643.238000000005</v>
      </c>
      <c r="F75" s="188"/>
      <c r="G75" s="198">
        <v>17320</v>
      </c>
      <c r="H75" s="201">
        <v>0.80449999999999999</v>
      </c>
      <c r="I75" s="200">
        <f t="shared" si="13"/>
        <v>13933.94</v>
      </c>
      <c r="J75" s="188"/>
      <c r="K75" s="198">
        <v>17320</v>
      </c>
      <c r="L75" s="201">
        <v>2.0194000000000001</v>
      </c>
      <c r="M75" s="200">
        <f t="shared" si="14"/>
        <v>34976.008000000002</v>
      </c>
      <c r="N75" s="188"/>
      <c r="O75" s="192">
        <f t="shared" si="15"/>
        <v>48909.948000000004</v>
      </c>
      <c r="P75" s="187"/>
      <c r="Q75" s="187"/>
    </row>
    <row r="76" spans="1:17" s="184" customFormat="1" ht="12.75" x14ac:dyDescent="0.2">
      <c r="A76" s="191" t="s">
        <v>318</v>
      </c>
      <c r="B76" s="188"/>
      <c r="C76" s="198">
        <v>23959</v>
      </c>
      <c r="D76" s="201">
        <v>3.3980000000000001</v>
      </c>
      <c r="E76" s="200">
        <f t="shared" si="12"/>
        <v>81412.682000000001</v>
      </c>
      <c r="F76" s="188"/>
      <c r="G76" s="198">
        <v>24071</v>
      </c>
      <c r="H76" s="201">
        <v>0.80449999999999999</v>
      </c>
      <c r="I76" s="200">
        <f t="shared" si="13"/>
        <v>19365.119500000001</v>
      </c>
      <c r="J76" s="188"/>
      <c r="K76" s="198">
        <v>24071</v>
      </c>
      <c r="L76" s="201">
        <v>2.0194000000000001</v>
      </c>
      <c r="M76" s="200">
        <f t="shared" si="14"/>
        <v>48608.977400000003</v>
      </c>
      <c r="N76" s="188"/>
      <c r="O76" s="192">
        <f t="shared" si="15"/>
        <v>67974.096900000004</v>
      </c>
      <c r="P76" s="187"/>
      <c r="Q76" s="187"/>
    </row>
    <row r="77" spans="1:17" s="184" customFormat="1" ht="12.75" x14ac:dyDescent="0.2">
      <c r="A77" s="191" t="s">
        <v>319</v>
      </c>
      <c r="B77" s="188"/>
      <c r="C77" s="198">
        <v>20533</v>
      </c>
      <c r="D77" s="201">
        <v>3.3980000000000001</v>
      </c>
      <c r="E77" s="200">
        <f t="shared" si="12"/>
        <v>69771.134000000005</v>
      </c>
      <c r="F77" s="188"/>
      <c r="G77" s="198">
        <v>20589</v>
      </c>
      <c r="H77" s="201">
        <v>0.80449999999999999</v>
      </c>
      <c r="I77" s="200">
        <f t="shared" si="13"/>
        <v>16563.8505</v>
      </c>
      <c r="J77" s="188"/>
      <c r="K77" s="198">
        <v>20589</v>
      </c>
      <c r="L77" s="201">
        <v>2.0194000000000001</v>
      </c>
      <c r="M77" s="200">
        <f t="shared" si="14"/>
        <v>41577.426599999999</v>
      </c>
      <c r="N77" s="188"/>
      <c r="O77" s="192">
        <f t="shared" si="15"/>
        <v>58141.277099999999</v>
      </c>
      <c r="P77" s="187"/>
      <c r="Q77" s="187"/>
    </row>
    <row r="78" spans="1:17" s="184" customFormat="1" ht="12.75" x14ac:dyDescent="0.2">
      <c r="A78" s="191" t="s">
        <v>320</v>
      </c>
      <c r="B78" s="188"/>
      <c r="C78" s="198">
        <v>23289</v>
      </c>
      <c r="D78" s="201">
        <v>3.3980000000000001</v>
      </c>
      <c r="E78" s="200">
        <f t="shared" si="12"/>
        <v>79136.021999999997</v>
      </c>
      <c r="F78" s="188"/>
      <c r="G78" s="198">
        <v>23291</v>
      </c>
      <c r="H78" s="201">
        <v>0.80449999999999999</v>
      </c>
      <c r="I78" s="200">
        <f t="shared" si="13"/>
        <v>18737.609499999999</v>
      </c>
      <c r="J78" s="188"/>
      <c r="K78" s="198">
        <v>23291</v>
      </c>
      <c r="L78" s="201">
        <v>2.0194000000000001</v>
      </c>
      <c r="M78" s="200">
        <f t="shared" si="14"/>
        <v>47033.845399999998</v>
      </c>
      <c r="N78" s="188"/>
      <c r="O78" s="192">
        <f t="shared" si="15"/>
        <v>65771.454899999997</v>
      </c>
      <c r="P78" s="187"/>
      <c r="Q78" s="187"/>
    </row>
    <row r="79" spans="1:17" s="184" customFormat="1" ht="12.75" x14ac:dyDescent="0.2">
      <c r="A79" s="188"/>
      <c r="B79" s="188"/>
      <c r="C79" s="188"/>
      <c r="D79" s="188"/>
      <c r="E79" s="188"/>
      <c r="F79" s="188"/>
      <c r="G79" s="188"/>
      <c r="H79" s="188"/>
      <c r="I79" s="188"/>
      <c r="J79" s="188"/>
      <c r="K79" s="188"/>
      <c r="L79" s="188"/>
      <c r="M79" s="188"/>
      <c r="N79" s="188"/>
      <c r="O79" s="188"/>
      <c r="P79" s="187"/>
      <c r="Q79" s="187"/>
    </row>
    <row r="80" spans="1:17" s="184" customFormat="1" ht="13.5" thickBot="1" x14ac:dyDescent="0.25">
      <c r="A80" s="190" t="s">
        <v>75</v>
      </c>
      <c r="B80" s="188"/>
      <c r="C80" s="193">
        <f>SUM(C67:C78)</f>
        <v>248419</v>
      </c>
      <c r="D80" s="202">
        <f>D78</f>
        <v>3.3980000000000001</v>
      </c>
      <c r="E80" s="195">
        <f>SUM(E67:E78)</f>
        <v>844127.76199999999</v>
      </c>
      <c r="F80" s="188"/>
      <c r="G80" s="193">
        <f>SUM(G67:G78)</f>
        <v>250647</v>
      </c>
      <c r="H80" s="202">
        <f>H78</f>
        <v>0.80449999999999999</v>
      </c>
      <c r="I80" s="195">
        <f>SUM(I67:I78)</f>
        <v>201645.51149999999</v>
      </c>
      <c r="J80" s="188"/>
      <c r="K80" s="193">
        <f>SUM(K67:K78)</f>
        <v>250647</v>
      </c>
      <c r="L80" s="202">
        <f>L78</f>
        <v>2.0194000000000001</v>
      </c>
      <c r="M80" s="195">
        <f>SUM(M67:M78)</f>
        <v>506156.55180000002</v>
      </c>
      <c r="N80" s="188"/>
      <c r="O80" s="195">
        <f>SUM(O67:O78)</f>
        <v>707802.06329999992</v>
      </c>
      <c r="P80" s="187"/>
      <c r="Q80" s="187"/>
    </row>
  </sheetData>
  <mergeCells count="12">
    <mergeCell ref="C5:E5"/>
    <mergeCell ref="G5:I5"/>
    <mergeCell ref="K5:M5"/>
    <mergeCell ref="C23:E23"/>
    <mergeCell ref="G23:I23"/>
    <mergeCell ref="K23:M23"/>
    <mergeCell ref="C45:E45"/>
    <mergeCell ref="G45:I45"/>
    <mergeCell ref="K45:M45"/>
    <mergeCell ref="C63:E63"/>
    <mergeCell ref="G63:I63"/>
    <mergeCell ref="K63:M63"/>
  </mergeCells>
  <pageMargins left="0.7" right="0.7" top="0.75" bottom="0.75" header="0.3" footer="0.3"/>
  <ignoredErrors>
    <ignoredError sqref="E8:E19 M8:M19 I8:I19 E48:M59 E27:M38 E67:M78" unlockedFormula="1"/>
    <ignoredError sqref="D21:L21 D40:M40 D61:M61 D80:M80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6"/>
  <sheetViews>
    <sheetView zoomScaleNormal="100" workbookViewId="0"/>
  </sheetViews>
  <sheetFormatPr defaultColWidth="9.140625" defaultRowHeight="12.75" x14ac:dyDescent="0.2"/>
  <cols>
    <col min="1" max="1" width="9.140625" style="67" bestFit="1" customWidth="1"/>
    <col min="2" max="2" width="22.140625" style="67" customWidth="1"/>
    <col min="3" max="3" width="15.5703125" style="67" bestFit="1" customWidth="1"/>
    <col min="4" max="7" width="14.5703125" style="67" bestFit="1" customWidth="1"/>
    <col min="8" max="8" width="15.5703125" style="67" bestFit="1" customWidth="1"/>
    <col min="9" max="9" width="14.5703125" style="67" bestFit="1" customWidth="1"/>
    <col min="10" max="10" width="15.5703125" style="67" bestFit="1" customWidth="1"/>
    <col min="11" max="13" width="14.5703125" style="67" bestFit="1" customWidth="1"/>
    <col min="14" max="14" width="15.5703125" style="67" bestFit="1" customWidth="1"/>
    <col min="15" max="16" width="14.5703125" style="67" bestFit="1" customWidth="1"/>
    <col min="17" max="17" width="15.5703125" style="67" bestFit="1" customWidth="1"/>
    <col min="18" max="18" width="11.85546875" style="67" bestFit="1" customWidth="1"/>
    <col min="19" max="19" width="12.42578125" style="67" bestFit="1" customWidth="1"/>
    <col min="20" max="20" width="12.85546875" style="67" bestFit="1" customWidth="1"/>
    <col min="21" max="21" width="12.42578125" style="67" bestFit="1" customWidth="1"/>
    <col min="22" max="22" width="12.85546875" style="112" bestFit="1" customWidth="1"/>
    <col min="23" max="16384" width="9.140625" style="74"/>
  </cols>
  <sheetData>
    <row r="1" spans="1:22" x14ac:dyDescent="0.2">
      <c r="A1" s="375" t="s">
        <v>129</v>
      </c>
    </row>
    <row r="2" spans="1:22" x14ac:dyDescent="0.2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</row>
    <row r="4" spans="1:22" ht="26.25" thickBot="1" x14ac:dyDescent="0.25">
      <c r="C4" s="376" t="s">
        <v>125</v>
      </c>
      <c r="D4" s="65" t="s">
        <v>241</v>
      </c>
      <c r="E4" s="65" t="s">
        <v>242</v>
      </c>
      <c r="F4" s="65" t="s">
        <v>243</v>
      </c>
      <c r="G4" s="65" t="s">
        <v>244</v>
      </c>
      <c r="H4" s="65" t="s">
        <v>245</v>
      </c>
      <c r="I4" s="65" t="s">
        <v>246</v>
      </c>
      <c r="J4" s="65" t="s">
        <v>247</v>
      </c>
      <c r="K4" s="65" t="s">
        <v>248</v>
      </c>
      <c r="L4" s="65" t="s">
        <v>249</v>
      </c>
      <c r="M4" s="65" t="s">
        <v>250</v>
      </c>
      <c r="N4" s="65" t="s">
        <v>251</v>
      </c>
      <c r="O4" s="65" t="s">
        <v>252</v>
      </c>
      <c r="P4" s="65" t="s">
        <v>274</v>
      </c>
      <c r="Q4" s="65" t="s">
        <v>275</v>
      </c>
      <c r="R4" s="65" t="s">
        <v>276</v>
      </c>
      <c r="S4" s="65" t="s">
        <v>277</v>
      </c>
      <c r="T4" s="65" t="s">
        <v>278</v>
      </c>
      <c r="U4" s="65" t="s">
        <v>279</v>
      </c>
      <c r="V4" s="233"/>
    </row>
    <row r="5" spans="1:22" x14ac:dyDescent="0.2">
      <c r="A5" s="72" t="s">
        <v>121</v>
      </c>
      <c r="B5" s="66" t="s">
        <v>122</v>
      </c>
      <c r="C5" s="73">
        <v>8402561434.8775311</v>
      </c>
      <c r="D5" s="73">
        <v>413383493.16490662</v>
      </c>
      <c r="E5" s="73">
        <v>1618632871.759892</v>
      </c>
      <c r="F5" s="73">
        <v>3396076501.6104417</v>
      </c>
      <c r="G5" s="73">
        <v>885888618.64357328</v>
      </c>
      <c r="H5" s="73">
        <v>901633672.53869963</v>
      </c>
      <c r="I5" s="73">
        <v>125021457.70618927</v>
      </c>
      <c r="J5" s="73">
        <v>164631278.16188455</v>
      </c>
      <c r="K5" s="73">
        <v>47518746.255065158</v>
      </c>
      <c r="L5" s="73">
        <v>18182823.134000327</v>
      </c>
      <c r="M5" s="73">
        <v>13010676.076715339</v>
      </c>
      <c r="N5" s="73">
        <v>11823953.020641305</v>
      </c>
      <c r="O5" s="73">
        <v>404608048.86357135</v>
      </c>
      <c r="P5" s="73">
        <v>61746476.486300439</v>
      </c>
      <c r="Q5" s="73">
        <v>18915657.474739008</v>
      </c>
      <c r="R5" s="73">
        <v>35451973.063723698</v>
      </c>
      <c r="S5" s="73">
        <v>164080773.41416389</v>
      </c>
      <c r="T5" s="73">
        <v>51043520.027145177</v>
      </c>
      <c r="U5" s="73">
        <v>70910893.475877702</v>
      </c>
      <c r="V5" s="234"/>
    </row>
    <row r="6" spans="1:22" ht="38.25" x14ac:dyDescent="0.2">
      <c r="A6" s="72" t="s">
        <v>123</v>
      </c>
      <c r="B6" s="66" t="s">
        <v>124</v>
      </c>
      <c r="C6" s="73">
        <v>9293733828.7375374</v>
      </c>
      <c r="D6" s="73">
        <v>455513903.6353687</v>
      </c>
      <c r="E6" s="73">
        <v>1791254710.3620224</v>
      </c>
      <c r="F6" s="73">
        <v>3766395144.9248066</v>
      </c>
      <c r="G6" s="73">
        <v>976788633.56276667</v>
      </c>
      <c r="H6" s="73">
        <v>994872261.17866218</v>
      </c>
      <c r="I6" s="73">
        <v>137253505.33268559</v>
      </c>
      <c r="J6" s="73">
        <v>181445088.74225473</v>
      </c>
      <c r="K6" s="73">
        <v>52731595.861253321</v>
      </c>
      <c r="L6" s="73">
        <v>20279924.332837656</v>
      </c>
      <c r="M6" s="73">
        <v>14477390.05287898</v>
      </c>
      <c r="N6" s="73">
        <v>12343201.034272682</v>
      </c>
      <c r="O6" s="73">
        <v>445864088.66557229</v>
      </c>
      <c r="P6" s="73">
        <v>68270005.980149969</v>
      </c>
      <c r="Q6" s="73">
        <v>20856855.156774711</v>
      </c>
      <c r="R6" s="73">
        <v>39062077.18207451</v>
      </c>
      <c r="S6" s="73">
        <v>181809939.25339997</v>
      </c>
      <c r="T6" s="73">
        <v>56336193.870795742</v>
      </c>
      <c r="U6" s="73">
        <v>78179309.608956873</v>
      </c>
      <c r="V6" s="234"/>
    </row>
    <row r="7" spans="1:22" x14ac:dyDescent="0.2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</row>
    <row r="8" spans="1:22" ht="51" x14ac:dyDescent="0.2">
      <c r="A8" s="66" t="s">
        <v>127</v>
      </c>
      <c r="B8" s="66" t="s">
        <v>126</v>
      </c>
      <c r="C8" s="73">
        <v>14036315731.560179</v>
      </c>
      <c r="D8" s="73">
        <v>713562108.36906791</v>
      </c>
      <c r="E8" s="73">
        <v>2754055258.1004629</v>
      </c>
      <c r="F8" s="73">
        <v>5676132623.6294918</v>
      </c>
      <c r="G8" s="73">
        <v>1445217257.9860804</v>
      </c>
      <c r="H8" s="73">
        <v>1495781663.9040761</v>
      </c>
      <c r="I8" s="73">
        <v>205969444.14574873</v>
      </c>
      <c r="J8" s="73">
        <v>273142539.51286304</v>
      </c>
      <c r="K8" s="73">
        <v>77456817.904978648</v>
      </c>
      <c r="L8" s="73">
        <v>29826549.204555169</v>
      </c>
      <c r="M8" s="73">
        <v>21182866.524350293</v>
      </c>
      <c r="N8" s="73">
        <v>20441064.660972796</v>
      </c>
      <c r="O8" s="73">
        <v>655338203.90868843</v>
      </c>
      <c r="P8" s="73">
        <v>102771602.91597641</v>
      </c>
      <c r="Q8" s="73">
        <v>31019551.083206262</v>
      </c>
      <c r="R8" s="73">
        <v>58600971.144214459</v>
      </c>
      <c r="S8" s="73">
        <v>274787090.30368519</v>
      </c>
      <c r="T8" s="73">
        <v>83488986.788413376</v>
      </c>
      <c r="U8" s="73">
        <v>117541131.47334833</v>
      </c>
      <c r="V8" s="234"/>
    </row>
    <row r="9" spans="1:22" x14ac:dyDescent="0.2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</row>
    <row r="10" spans="1:22" x14ac:dyDescent="0.2">
      <c r="A10" s="74"/>
      <c r="B10" s="66" t="s">
        <v>128</v>
      </c>
      <c r="C10" s="377">
        <f>C5/C8</f>
        <v>0.59863012456927411</v>
      </c>
      <c r="D10" s="377">
        <f t="shared" ref="D10:U10" si="0">D5/D8</f>
        <v>0.57932377338497465</v>
      </c>
      <c r="E10" s="377">
        <f t="shared" si="0"/>
        <v>0.58772708608479463</v>
      </c>
      <c r="F10" s="377">
        <f t="shared" si="0"/>
        <v>0.59830816628080952</v>
      </c>
      <c r="G10" s="377">
        <f t="shared" si="0"/>
        <v>0.61297954598055715</v>
      </c>
      <c r="H10" s="377">
        <f t="shared" si="0"/>
        <v>0.60278427948192914</v>
      </c>
      <c r="I10" s="377">
        <f t="shared" si="0"/>
        <v>0.60699031462997588</v>
      </c>
      <c r="J10" s="377">
        <f t="shared" si="0"/>
        <v>0.6027302757582057</v>
      </c>
      <c r="K10" s="377">
        <f t="shared" si="0"/>
        <v>0.61348694072818122</v>
      </c>
      <c r="L10" s="377">
        <f t="shared" si="0"/>
        <v>0.60961873293821767</v>
      </c>
      <c r="M10" s="377">
        <f t="shared" si="0"/>
        <v>0.61420752766200015</v>
      </c>
      <c r="N10" s="377">
        <f t="shared" si="0"/>
        <v>0.57844115346967451</v>
      </c>
      <c r="O10" s="377">
        <f t="shared" si="0"/>
        <v>0.61740342078385446</v>
      </c>
      <c r="P10" s="377">
        <f t="shared" si="0"/>
        <v>0.60081262463895668</v>
      </c>
      <c r="Q10" s="377">
        <f t="shared" si="0"/>
        <v>0.60979791177506093</v>
      </c>
      <c r="R10" s="377">
        <f t="shared" si="0"/>
        <v>0.60497244962848695</v>
      </c>
      <c r="S10" s="377">
        <f t="shared" si="0"/>
        <v>0.59711965810630874</v>
      </c>
      <c r="T10" s="377">
        <f t="shared" si="0"/>
        <v>0.61138027889241331</v>
      </c>
      <c r="U10" s="377">
        <f t="shared" si="0"/>
        <v>0.60328578249186138</v>
      </c>
      <c r="V10" s="235"/>
    </row>
    <row r="11" spans="1:22" x14ac:dyDescent="0.2">
      <c r="A11" s="74"/>
      <c r="B11" s="74" t="s">
        <v>130</v>
      </c>
      <c r="C11" s="377">
        <f>C6/C8</f>
        <v>0.66212060247696569</v>
      </c>
      <c r="D11" s="377">
        <f t="shared" ref="D11:U11" si="1">D6/D8</f>
        <v>0.6383661608328679</v>
      </c>
      <c r="E11" s="377">
        <f t="shared" si="1"/>
        <v>0.65040623462199276</v>
      </c>
      <c r="F11" s="377">
        <f t="shared" si="1"/>
        <v>0.66354953181422649</v>
      </c>
      <c r="G11" s="377">
        <f t="shared" si="1"/>
        <v>0.67587667401919072</v>
      </c>
      <c r="H11" s="377">
        <f t="shared" si="1"/>
        <v>0.66511863675477101</v>
      </c>
      <c r="I11" s="377">
        <f t="shared" si="1"/>
        <v>0.66637799554171662</v>
      </c>
      <c r="J11" s="377">
        <f t="shared" si="1"/>
        <v>0.664287185239815</v>
      </c>
      <c r="K11" s="377">
        <f t="shared" si="1"/>
        <v>0.68078701510747086</v>
      </c>
      <c r="L11" s="377">
        <f t="shared" si="1"/>
        <v>0.67992861640663638</v>
      </c>
      <c r="M11" s="377">
        <f t="shared" si="1"/>
        <v>0.68344810822637336</v>
      </c>
      <c r="N11" s="377">
        <f t="shared" si="1"/>
        <v>0.60384335351372376</v>
      </c>
      <c r="O11" s="377">
        <f t="shared" si="1"/>
        <v>0.68035723540344184</v>
      </c>
      <c r="P11" s="377">
        <f t="shared" si="1"/>
        <v>0.66428861711893206</v>
      </c>
      <c r="Q11" s="377">
        <f t="shared" si="1"/>
        <v>0.67237772399828333</v>
      </c>
      <c r="R11" s="377">
        <f t="shared" si="1"/>
        <v>0.66657730101339829</v>
      </c>
      <c r="S11" s="377">
        <f t="shared" si="1"/>
        <v>0.66163930427906903</v>
      </c>
      <c r="T11" s="377">
        <f t="shared" si="1"/>
        <v>0.67477395567835652</v>
      </c>
      <c r="U11" s="377">
        <f t="shared" si="1"/>
        <v>0.6651229967671658</v>
      </c>
      <c r="V11" s="235"/>
    </row>
    <row r="12" spans="1:22" ht="13.5" thickBot="1" x14ac:dyDescent="0.25"/>
    <row r="13" spans="1:22" ht="15" x14ac:dyDescent="0.25">
      <c r="C13" s="253"/>
      <c r="D13" s="254" t="s">
        <v>120</v>
      </c>
      <c r="E13" s="255"/>
      <c r="F13" s="255"/>
      <c r="G13" s="255"/>
      <c r="H13" s="255"/>
      <c r="I13" s="255"/>
      <c r="J13" s="256"/>
      <c r="K13" s="254" t="s">
        <v>118</v>
      </c>
      <c r="L13" s="255"/>
      <c r="M13" s="255"/>
      <c r="N13" s="255"/>
      <c r="O13" s="255"/>
      <c r="P13" s="255"/>
      <c r="Q13" s="256"/>
    </row>
    <row r="14" spans="1:22" ht="13.5" thickBot="1" x14ac:dyDescent="0.25">
      <c r="C14" s="257" t="s">
        <v>76</v>
      </c>
      <c r="D14" s="250" t="s">
        <v>274</v>
      </c>
      <c r="E14" s="251" t="s">
        <v>275</v>
      </c>
      <c r="F14" s="251" t="s">
        <v>276</v>
      </c>
      <c r="G14" s="251" t="s">
        <v>277</v>
      </c>
      <c r="H14" s="251" t="s">
        <v>278</v>
      </c>
      <c r="I14" s="251" t="s">
        <v>279</v>
      </c>
      <c r="J14" s="252" t="s">
        <v>119</v>
      </c>
      <c r="K14" s="250" t="s">
        <v>274</v>
      </c>
      <c r="L14" s="251" t="s">
        <v>275</v>
      </c>
      <c r="M14" s="251" t="s">
        <v>276</v>
      </c>
      <c r="N14" s="251" t="s">
        <v>277</v>
      </c>
      <c r="O14" s="251" t="s">
        <v>278</v>
      </c>
      <c r="P14" s="251" t="s">
        <v>279</v>
      </c>
      <c r="Q14" s="252" t="s">
        <v>119</v>
      </c>
    </row>
    <row r="15" spans="1:22" ht="15" x14ac:dyDescent="0.25">
      <c r="C15" s="246">
        <v>1815</v>
      </c>
      <c r="D15" s="247">
        <f>'5. Determine Alloc for Acq'!N8</f>
        <v>30099.367996126071</v>
      </c>
      <c r="E15" s="247">
        <f>'5. Determine Alloc for Acq'!O8</f>
        <v>10630.895798274127</v>
      </c>
      <c r="F15" s="247">
        <f>'5. Determine Alloc for Acq'!P8</f>
        <v>21045.543644659032</v>
      </c>
      <c r="G15" s="247">
        <f>'5. Determine Alloc for Acq'!Q8</f>
        <v>4115837.6452525915</v>
      </c>
      <c r="H15" s="247">
        <f>'5. Determine Alloc for Acq'!R8</f>
        <v>1453686.3742429984</v>
      </c>
      <c r="I15" s="247">
        <f>'5. Determine Alloc for Acq'!S8</f>
        <v>2877802.6438509431</v>
      </c>
      <c r="J15" s="248">
        <f>'5. Determine Alloc for Acq'!T8</f>
        <v>8509102.4707855918</v>
      </c>
      <c r="K15" s="249">
        <f>'5. Determine Alloc for Acq'!U8</f>
        <v>1416875.4701258347</v>
      </c>
      <c r="L15" s="247">
        <f>'5. Determine Alloc for Acq'!V8</f>
        <v>379646.56589653634</v>
      </c>
      <c r="M15" s="247">
        <f>'5. Determine Alloc for Acq'!W8</f>
        <v>1018397.437917535</v>
      </c>
      <c r="N15" s="247">
        <f>'5. Determine Alloc for Acq'!X8</f>
        <v>3991982.459451972</v>
      </c>
      <c r="O15" s="247">
        <f>'5. Determine Alloc for Acq'!Y8</f>
        <v>1108852.1576665516</v>
      </c>
      <c r="P15" s="247">
        <f>'5. Determine Alloc for Acq'!Z8</f>
        <v>1807275.0879622975</v>
      </c>
      <c r="Q15" s="248">
        <f>'5. Determine Alloc for Acq'!AA8</f>
        <v>9723029.1790207271</v>
      </c>
    </row>
    <row r="16" spans="1:22" ht="15" x14ac:dyDescent="0.25">
      <c r="C16" s="68">
        <v>1820</v>
      </c>
      <c r="D16" s="70">
        <f>'5. Determine Alloc for Acq'!N9</f>
        <v>267544.05372826295</v>
      </c>
      <c r="E16" s="70">
        <f>'5. Determine Alloc for Acq'!O9</f>
        <v>151434.69818689683</v>
      </c>
      <c r="F16" s="70">
        <f>'5. Determine Alloc for Acq'!P9</f>
        <v>252653.9380965007</v>
      </c>
      <c r="G16" s="70">
        <f>'5. Determine Alloc for Acq'!Q9</f>
        <v>1741328.830003208</v>
      </c>
      <c r="H16" s="70">
        <f>'5. Determine Alloc for Acq'!R9</f>
        <v>921123.91050917399</v>
      </c>
      <c r="I16" s="70">
        <f>'5. Determine Alloc for Acq'!S9</f>
        <v>1439563.4086148667</v>
      </c>
      <c r="J16" s="236">
        <f>'5. Determine Alloc for Acq'!T9</f>
        <v>4773648.8391389092</v>
      </c>
      <c r="K16" s="243">
        <f>'5. Determine Alloc for Acq'!U9</f>
        <v>5207997.6114100171</v>
      </c>
      <c r="L16" s="70">
        <f>'5. Determine Alloc for Acq'!V9</f>
        <v>2711198.1904006926</v>
      </c>
      <c r="M16" s="70">
        <f>'5. Determine Alloc for Acq'!W9</f>
        <v>8028171.1501045004</v>
      </c>
      <c r="N16" s="70">
        <f>'5. Determine Alloc for Acq'!X9</f>
        <v>14624122.65575246</v>
      </c>
      <c r="O16" s="70">
        <f>'5. Determine Alloc for Acq'!Y9</f>
        <v>7317830.1701212479</v>
      </c>
      <c r="P16" s="70">
        <f>'5. Determine Alloc for Acq'!Z9</f>
        <v>15445880.934518985</v>
      </c>
      <c r="Q16" s="236">
        <f>'5. Determine Alloc for Acq'!AA9</f>
        <v>53335200.7123079</v>
      </c>
    </row>
    <row r="17" spans="3:17" ht="15" x14ac:dyDescent="0.25">
      <c r="C17" s="68">
        <v>1830</v>
      </c>
      <c r="D17" s="70">
        <f>'5. Determine Alloc for Acq'!N10</f>
        <v>9940642.6127909943</v>
      </c>
      <c r="E17" s="70">
        <f>'5. Determine Alloc for Acq'!O10</f>
        <v>1898617.379803203</v>
      </c>
      <c r="F17" s="70">
        <f>'5. Determine Alloc for Acq'!P10</f>
        <v>2594846.3058318798</v>
      </c>
      <c r="G17" s="70">
        <f>'5. Determine Alloc for Acq'!Q10</f>
        <v>45645909.364630856</v>
      </c>
      <c r="H17" s="70">
        <f>'5. Determine Alloc for Acq'!R10</f>
        <v>10858480.658180607</v>
      </c>
      <c r="I17" s="70">
        <f>'5. Determine Alloc for Acq'!S10</f>
        <v>11548929.645993337</v>
      </c>
      <c r="J17" s="236">
        <f>'5. Determine Alloc for Acq'!T10</f>
        <v>82487425.967230871</v>
      </c>
      <c r="K17" s="243">
        <f>'5. Determine Alloc for Acq'!U10</f>
        <v>38247010.439533375</v>
      </c>
      <c r="L17" s="70">
        <f>'5. Determine Alloc for Acq'!V10</f>
        <v>10345364.145561006</v>
      </c>
      <c r="M17" s="70">
        <f>'5. Determine Alloc for Acq'!W10</f>
        <v>17319131.568617553</v>
      </c>
      <c r="N17" s="70">
        <f>'5. Determine Alloc for Acq'!X10</f>
        <v>103067576.25804369</v>
      </c>
      <c r="O17" s="70">
        <f>'5. Determine Alloc for Acq'!Y10</f>
        <v>29095231.497349925</v>
      </c>
      <c r="P17" s="70">
        <f>'5. Determine Alloc for Acq'!Z10</f>
        <v>31908057.270024672</v>
      </c>
      <c r="Q17" s="236">
        <f>'5. Determine Alloc for Acq'!AA10</f>
        <v>229982371.1791302</v>
      </c>
    </row>
    <row r="18" spans="3:17" ht="15" x14ac:dyDescent="0.25">
      <c r="C18" s="68">
        <v>1835</v>
      </c>
      <c r="D18" s="70">
        <f>'5. Determine Alloc for Acq'!N11</f>
        <v>6029525.2050200254</v>
      </c>
      <c r="E18" s="70">
        <f>'5. Determine Alloc for Acq'!O11</f>
        <v>815805.38115260191</v>
      </c>
      <c r="F18" s="70">
        <f>'5. Determine Alloc for Acq'!P11</f>
        <v>1114963.2165074677</v>
      </c>
      <c r="G18" s="70">
        <f>'5. Determine Alloc for Acq'!Q11</f>
        <v>26473354.469575081</v>
      </c>
      <c r="H18" s="70">
        <f>'5. Determine Alloc for Acq'!R11</f>
        <v>6249291.4988191556</v>
      </c>
      <c r="I18" s="70">
        <f>'5. Determine Alloc for Acq'!S11</f>
        <v>6546390.6630542427</v>
      </c>
      <c r="J18" s="236">
        <f>'5. Determine Alloc for Acq'!T11</f>
        <v>47229330.434128575</v>
      </c>
      <c r="K18" s="243">
        <f>'5. Determine Alloc for Acq'!U11</f>
        <v>19338197.371444806</v>
      </c>
      <c r="L18" s="70">
        <f>'5. Determine Alloc for Acq'!V11</f>
        <v>4880307.3934718613</v>
      </c>
      <c r="M18" s="70">
        <f>'5. Determine Alloc for Acq'!W11</f>
        <v>10477617.355774766</v>
      </c>
      <c r="N18" s="70">
        <f>'5. Determine Alloc for Acq'!X11</f>
        <v>51724898.137227476</v>
      </c>
      <c r="O18" s="70">
        <f>'5. Determine Alloc for Acq'!Y11</f>
        <v>13756797.372468608</v>
      </c>
      <c r="P18" s="70">
        <f>'5. Determine Alloc for Acq'!Z11</f>
        <v>19514085.729879986</v>
      </c>
      <c r="Q18" s="236">
        <f>'5. Determine Alloc for Acq'!AA11</f>
        <v>119691903.36026751</v>
      </c>
    </row>
    <row r="19" spans="3:17" ht="15" x14ac:dyDescent="0.25">
      <c r="C19" s="68">
        <v>1840</v>
      </c>
      <c r="D19" s="70">
        <f>'5. Determine Alloc for Acq'!N12</f>
        <v>3530180.765196322</v>
      </c>
      <c r="E19" s="70">
        <f>'5. Determine Alloc for Acq'!O12</f>
        <v>410314.94996005093</v>
      </c>
      <c r="F19" s="70">
        <f>'5. Determine Alloc for Acq'!P12</f>
        <v>560779.44622621615</v>
      </c>
      <c r="G19" s="70">
        <f>'5. Determine Alloc for Acq'!Q12</f>
        <v>4648727.9443708472</v>
      </c>
      <c r="H19" s="70">
        <f>'5. Determine Alloc for Acq'!R12</f>
        <v>1169433.7358442612</v>
      </c>
      <c r="I19" s="70">
        <f>'5. Determine Alloc for Acq'!S12</f>
        <v>1254502.8683668259</v>
      </c>
      <c r="J19" s="236">
        <f>'5. Determine Alloc for Acq'!T12</f>
        <v>11573939.709964525</v>
      </c>
      <c r="K19" s="243">
        <f>'5. Determine Alloc for Acq'!U12</f>
        <v>280044.64146990725</v>
      </c>
      <c r="L19" s="70">
        <f>'5. Determine Alloc for Acq'!V12</f>
        <v>68647.808099746326</v>
      </c>
      <c r="M19" s="70">
        <f>'5. Determine Alloc for Acq'!W12</f>
        <v>160957.31292933662</v>
      </c>
      <c r="N19" s="70">
        <f>'5. Determine Alloc for Acq'!X12</f>
        <v>740851.53636873967</v>
      </c>
      <c r="O19" s="70">
        <f>'5. Determine Alloc for Acq'!Y12</f>
        <v>192333.75680344331</v>
      </c>
      <c r="P19" s="70">
        <f>'5. Determine Alloc for Acq'!Z12</f>
        <v>304023.10564350116</v>
      </c>
      <c r="Q19" s="236">
        <f>'5. Determine Alloc for Acq'!AA12</f>
        <v>1746858.1613146742</v>
      </c>
    </row>
    <row r="20" spans="3:17" ht="15" x14ac:dyDescent="0.25">
      <c r="C20" s="68">
        <v>1845</v>
      </c>
      <c r="D20" s="70">
        <f>'5. Determine Alloc for Acq'!N13</f>
        <v>6569185.217552254</v>
      </c>
      <c r="E20" s="70">
        <f>'5. Determine Alloc for Acq'!O13</f>
        <v>763540.70076308411</v>
      </c>
      <c r="F20" s="70">
        <f>'5. Determine Alloc for Acq'!P13</f>
        <v>1043534.8232559344</v>
      </c>
      <c r="G20" s="70">
        <f>'5. Determine Alloc for Acq'!Q13</f>
        <v>12334025.803099545</v>
      </c>
      <c r="H20" s="70">
        <f>'5. Determine Alloc for Acq'!R13</f>
        <v>2846520.788768678</v>
      </c>
      <c r="I20" s="70">
        <f>'5. Determine Alloc for Acq'!S13</f>
        <v>2873242.6707428992</v>
      </c>
      <c r="J20" s="236">
        <f>'5. Determine Alloc for Acq'!T13</f>
        <v>26430050.004182395</v>
      </c>
      <c r="K20" s="243">
        <f>'5. Determine Alloc for Acq'!U13</f>
        <v>4417738.2330507329</v>
      </c>
      <c r="L20" s="70">
        <f>'5. Determine Alloc for Acq'!V13</f>
        <v>1082927.5106482171</v>
      </c>
      <c r="M20" s="70">
        <f>'5. Determine Alloc for Acq'!W13</f>
        <v>2539121.1611290569</v>
      </c>
      <c r="N20" s="70">
        <f>'5. Determine Alloc for Acq'!X13</f>
        <v>11687022.969094202</v>
      </c>
      <c r="O20" s="70">
        <f>'5. Determine Alloc for Acq'!Y13</f>
        <v>3034088.3741857172</v>
      </c>
      <c r="P20" s="70">
        <f>'5. Determine Alloc for Acq'!Z13</f>
        <v>4796001.4177826783</v>
      </c>
      <c r="Q20" s="236">
        <f>'5. Determine Alloc for Acq'!AA13</f>
        <v>27556899.665890604</v>
      </c>
    </row>
    <row r="21" spans="3:17" ht="15" x14ac:dyDescent="0.25">
      <c r="C21" s="68">
        <v>1850</v>
      </c>
      <c r="D21" s="70">
        <f>'5. Determine Alloc for Acq'!N14</f>
        <v>7058540.7440145174</v>
      </c>
      <c r="E21" s="70">
        <f>'5. Determine Alloc for Acq'!O14</f>
        <v>2151247.287447453</v>
      </c>
      <c r="F21" s="70">
        <f>'5. Determine Alloc for Acq'!P14</f>
        <v>2312437.4937261967</v>
      </c>
      <c r="G21" s="70">
        <f>'5. Determine Alloc for Acq'!Q14</f>
        <v>30473555.503058713</v>
      </c>
      <c r="H21" s="70">
        <f>'5. Determine Alloc for Acq'!R14</f>
        <v>7273199.9151607705</v>
      </c>
      <c r="I21" s="70">
        <f>'5. Determine Alloc for Acq'!S14</f>
        <v>6614670.8376210639</v>
      </c>
      <c r="J21" s="236">
        <f>'5. Determine Alloc for Acq'!T14</f>
        <v>55883651.78102871</v>
      </c>
      <c r="K21" s="243">
        <f>'5. Determine Alloc for Acq'!U14</f>
        <v>18472330.205654748</v>
      </c>
      <c r="L21" s="70">
        <f>'5. Determine Alloc for Acq'!V14</f>
        <v>9250971.0096245278</v>
      </c>
      <c r="M21" s="70">
        <f>'5. Determine Alloc for Acq'!W14</f>
        <v>16643318.187467895</v>
      </c>
      <c r="N21" s="70">
        <f>'5. Determine Alloc for Acq'!X14</f>
        <v>46539428.883548468</v>
      </c>
      <c r="O21" s="70">
        <f>'5. Determine Alloc for Acq'!Y14</f>
        <v>23782635.45640894</v>
      </c>
      <c r="P21" s="70">
        <f>'5. Determine Alloc for Acq'!Z14</f>
        <v>39352701.429399796</v>
      </c>
      <c r="Q21" s="236">
        <f>'5. Determine Alloc for Acq'!AA14</f>
        <v>154041385.17210436</v>
      </c>
    </row>
    <row r="22" spans="3:17" ht="15" x14ac:dyDescent="0.25">
      <c r="C22" s="68">
        <v>1855</v>
      </c>
      <c r="D22" s="70">
        <f>'5. Determine Alloc for Acq'!N15</f>
        <v>0</v>
      </c>
      <c r="E22" s="70">
        <f>'5. Determine Alloc for Acq'!O15</f>
        <v>0</v>
      </c>
      <c r="F22" s="70">
        <f>'5. Determine Alloc for Acq'!P15</f>
        <v>0</v>
      </c>
      <c r="G22" s="70">
        <f>'5. Determine Alloc for Acq'!Q15</f>
        <v>4951861.9631531136</v>
      </c>
      <c r="H22" s="70">
        <f>'5. Determine Alloc for Acq'!R15</f>
        <v>935442.5838092909</v>
      </c>
      <c r="I22" s="70">
        <f>'5. Determine Alloc for Acq'!S15</f>
        <v>164415.59283624208</v>
      </c>
      <c r="J22" s="236">
        <f>'5. Determine Alloc for Acq'!T15</f>
        <v>6051720.1397986468</v>
      </c>
      <c r="K22" s="243">
        <f>'5. Determine Alloc for Acq'!U15</f>
        <v>5532892.0865150951</v>
      </c>
      <c r="L22" s="70">
        <f>'5. Determine Alloc for Acq'!V15</f>
        <v>0</v>
      </c>
      <c r="M22" s="70">
        <f>'5. Determine Alloc for Acq'!W15</f>
        <v>0</v>
      </c>
      <c r="N22" s="70">
        <f>'5. Determine Alloc for Acq'!X15</f>
        <v>20909460.385936491</v>
      </c>
      <c r="O22" s="70">
        <f>'5. Determine Alloc for Acq'!Y15</f>
        <v>0</v>
      </c>
      <c r="P22" s="70">
        <f>'5. Determine Alloc for Acq'!Z15</f>
        <v>0</v>
      </c>
      <c r="Q22" s="236">
        <f>'5. Determine Alloc for Acq'!AA15</f>
        <v>26442352.472451586</v>
      </c>
    </row>
    <row r="23" spans="3:17" ht="15.75" thickBot="1" x14ac:dyDescent="0.3">
      <c r="C23" s="237">
        <v>1860</v>
      </c>
      <c r="D23" s="238">
        <f>'5. Determine Alloc for Acq'!N16</f>
        <v>2586853.0392361153</v>
      </c>
      <c r="E23" s="238">
        <f>'5. Determine Alloc for Acq'!O16</f>
        <v>3502876.0781355216</v>
      </c>
      <c r="F23" s="238">
        <f>'5. Determine Alloc for Acq'!P16</f>
        <v>1824550.5624628493</v>
      </c>
      <c r="G23" s="238">
        <f>'5. Determine Alloc for Acq'!Q16</f>
        <v>11630218.687017834</v>
      </c>
      <c r="H23" s="238">
        <f>'5. Determine Alloc for Acq'!R16</f>
        <v>2776020.4408816341</v>
      </c>
      <c r="I23" s="238">
        <f>'5. Determine Alloc for Acq'!S16</f>
        <v>1128785.4401122753</v>
      </c>
      <c r="J23" s="239">
        <f>'5. Determine Alloc for Acq'!T16</f>
        <v>23449304.247846227</v>
      </c>
      <c r="K23" s="244">
        <f>'5. Determine Alloc for Acq'!U16</f>
        <v>7090725.0516909054</v>
      </c>
      <c r="L23" s="238">
        <f>'5. Determine Alloc for Acq'!V16</f>
        <v>1558868.8351465357</v>
      </c>
      <c r="M23" s="238">
        <f>'5. Determine Alloc for Acq'!W16</f>
        <v>424715.07666496927</v>
      </c>
      <c r="N23" s="238">
        <f>'5. Determine Alloc for Acq'!X16</f>
        <v>13694687.930010043</v>
      </c>
      <c r="O23" s="238">
        <f>'5. Determine Alloc for Acq'!Y16</f>
        <v>3032652.7847565091</v>
      </c>
      <c r="P23" s="238">
        <f>'5. Determine Alloc for Acq'!Z16</f>
        <v>878775.16022634774</v>
      </c>
      <c r="Q23" s="239">
        <f>'5. Determine Alloc for Acq'!AA16</f>
        <v>26680424.83849531</v>
      </c>
    </row>
    <row r="24" spans="3:17" ht="13.5" thickBot="1" x14ac:dyDescent="0.25">
      <c r="C24" s="242" t="s">
        <v>18</v>
      </c>
      <c r="D24" s="240">
        <f>SUM(D15:D23)</f>
        <v>36012571.005534612</v>
      </c>
      <c r="E24" s="240">
        <f t="shared" ref="E24:J24" si="2">SUM(E15:E23)</f>
        <v>9704467.3712470867</v>
      </c>
      <c r="F24" s="240">
        <f t="shared" si="2"/>
        <v>9724811.3297517039</v>
      </c>
      <c r="G24" s="240">
        <f t="shared" si="2"/>
        <v>142014820.21016181</v>
      </c>
      <c r="H24" s="240">
        <f t="shared" si="2"/>
        <v>34483199.906216569</v>
      </c>
      <c r="I24" s="240">
        <f t="shared" si="2"/>
        <v>34448303.7711927</v>
      </c>
      <c r="J24" s="241">
        <f t="shared" si="2"/>
        <v>266388173.59410444</v>
      </c>
      <c r="K24" s="245">
        <f>SUM(K15:K23)</f>
        <v>100003811.11089543</v>
      </c>
      <c r="L24" s="240">
        <f t="shared" ref="L24:Q24" si="3">SUM(L15:L23)</f>
        <v>30277931.458849121</v>
      </c>
      <c r="M24" s="240">
        <f t="shared" si="3"/>
        <v>56611429.250605613</v>
      </c>
      <c r="N24" s="240">
        <f t="shared" si="3"/>
        <v>266980031.21543354</v>
      </c>
      <c r="O24" s="240">
        <f t="shared" si="3"/>
        <v>81320421.569760948</v>
      </c>
      <c r="P24" s="240">
        <f t="shared" si="3"/>
        <v>114006800.13543826</v>
      </c>
      <c r="Q24" s="241">
        <f t="shared" si="3"/>
        <v>649200424.74098277</v>
      </c>
    </row>
    <row r="27" spans="3:17" ht="13.5" thickBot="1" x14ac:dyDescent="0.25"/>
    <row r="28" spans="3:17" ht="15" x14ac:dyDescent="0.25">
      <c r="C28" s="258"/>
      <c r="D28" s="254" t="s">
        <v>131</v>
      </c>
      <c r="E28" s="255"/>
      <c r="F28" s="255"/>
      <c r="G28" s="255"/>
      <c r="H28" s="255"/>
      <c r="I28" s="255"/>
      <c r="J28" s="256"/>
      <c r="K28" s="254" t="s">
        <v>132</v>
      </c>
      <c r="L28" s="255"/>
      <c r="M28" s="255"/>
      <c r="N28" s="255"/>
      <c r="O28" s="255"/>
      <c r="P28" s="255"/>
      <c r="Q28" s="256"/>
    </row>
    <row r="29" spans="3:17" ht="13.5" thickBot="1" x14ac:dyDescent="0.25">
      <c r="C29" s="257" t="s">
        <v>76</v>
      </c>
      <c r="D29" s="75" t="s">
        <v>274</v>
      </c>
      <c r="E29" s="76" t="s">
        <v>275</v>
      </c>
      <c r="F29" s="76" t="s">
        <v>276</v>
      </c>
      <c r="G29" s="76" t="s">
        <v>277</v>
      </c>
      <c r="H29" s="76" t="s">
        <v>278</v>
      </c>
      <c r="I29" s="76" t="s">
        <v>279</v>
      </c>
      <c r="J29" s="77" t="s">
        <v>119</v>
      </c>
      <c r="K29" s="75" t="s">
        <v>274</v>
      </c>
      <c r="L29" s="76" t="s">
        <v>275</v>
      </c>
      <c r="M29" s="76" t="s">
        <v>276</v>
      </c>
      <c r="N29" s="76" t="s">
        <v>277</v>
      </c>
      <c r="O29" s="76" t="s">
        <v>278</v>
      </c>
      <c r="P29" s="76" t="s">
        <v>279</v>
      </c>
      <c r="Q29" s="252" t="s">
        <v>119</v>
      </c>
    </row>
    <row r="30" spans="3:17" ht="15" x14ac:dyDescent="0.25">
      <c r="C30" s="246">
        <v>1815</v>
      </c>
      <c r="D30" s="260">
        <f>D15*IF(ISERROR(HLOOKUP(D$29,$D$4:$U$11,7,0)),0,(HLOOKUP(D$29,$D$4:$U$11,7,0)))</f>
        <v>18084.080285726319</v>
      </c>
      <c r="E30" s="260">
        <f t="shared" ref="E30:I30" si="4">E15*IF(ISERROR(HLOOKUP(E$29,$D$4:$U$11,7,0)),0,(HLOOKUP(E$29,$D$4:$U$11,7,0)))</f>
        <v>6482.6980580858317</v>
      </c>
      <c r="F30" s="260">
        <f t="shared" si="4"/>
        <v>12731.97409247261</v>
      </c>
      <c r="G30" s="260">
        <f t="shared" si="4"/>
        <v>2457647.567554302</v>
      </c>
      <c r="H30" s="260">
        <f t="shared" si="4"/>
        <v>888755.18090678554</v>
      </c>
      <c r="I30" s="260">
        <f t="shared" si="4"/>
        <v>1736137.4198527636</v>
      </c>
      <c r="J30" s="271">
        <f t="shared" ref="J30:J31" si="5">SUM(D30:I30)</f>
        <v>5119838.9207501365</v>
      </c>
      <c r="K30" s="265">
        <f>K15*IF(ISERROR(HLOOKUP(K$29,$D$4:U$11,7,0)),0,(HLOOKUP(K$29,$D$4:$U$11,7,0)))</f>
        <v>851276.66999285843</v>
      </c>
      <c r="L30" s="266">
        <f>L15*IF(ISERROR(HLOOKUP(L$29,$D$4:V$11,7,0)),0,(HLOOKUP(L$29,$D$4:$U$11,7,0)))</f>
        <v>231507.68309628093</v>
      </c>
      <c r="M30" s="266">
        <f>M15*IF(ISERROR(HLOOKUP(M$29,$D$4:W$11,7,0)),0,(HLOOKUP(M$29,$D$4:$U$11,7,0)))</f>
        <v>616102.39271234605</v>
      </c>
      <c r="N30" s="266">
        <f>N15*IF(ISERROR(HLOOKUP(N$29,$D$4:X$11,7,0)),0,(HLOOKUP(N$29,$D$4:$U$11,7,0)))</f>
        <v>2383691.201354343</v>
      </c>
      <c r="O30" s="266">
        <f>O15*IF(ISERROR(HLOOKUP(O$29,$D$4:Y$11,7,0)),0,(HLOOKUP(O$29,$D$4:$U$11,7,0)))</f>
        <v>677930.34140463057</v>
      </c>
      <c r="P30" s="267">
        <f>P15*IF(ISERROR(HLOOKUP(P$29,$D$4:Z$11,7,0)),0,(HLOOKUP(P$29,$D$4:$U$11,7,0)))</f>
        <v>1090303.3656193824</v>
      </c>
      <c r="Q30" s="274">
        <f t="shared" ref="Q30:Q31" si="6">SUM(K30:P30)</f>
        <v>5850811.6541798413</v>
      </c>
    </row>
    <row r="31" spans="3:17" ht="15" x14ac:dyDescent="0.25">
      <c r="C31" s="68">
        <v>1820</v>
      </c>
      <c r="D31" s="260">
        <f t="shared" ref="D31:I31" si="7">D16*IF(ISERROR(HLOOKUP(D$29,$D$4:$U$11,7,0)),0,(HLOOKUP(D$29,$D$4:$U$11,7,0)))</f>
        <v>160743.8451270237</v>
      </c>
      <c r="E31" s="260">
        <f t="shared" si="7"/>
        <v>92344.562724656294</v>
      </c>
      <c r="F31" s="260">
        <f t="shared" si="7"/>
        <v>152848.67183852414</v>
      </c>
      <c r="G31" s="260">
        <f t="shared" si="7"/>
        <v>1039781.6756221742</v>
      </c>
      <c r="H31" s="260">
        <f t="shared" si="7"/>
        <v>563156.99330156913</v>
      </c>
      <c r="I31" s="260">
        <f t="shared" si="7"/>
        <v>868468.137412871</v>
      </c>
      <c r="J31" s="272">
        <f t="shared" si="5"/>
        <v>2877343.8860268183</v>
      </c>
      <c r="K31" s="259">
        <f>K16*IF(ISERROR(HLOOKUP(K$29,$D$4:U$11,7,0)),0,(HLOOKUP(K$29,$D$4:$U$11,7,0)))</f>
        <v>3129030.7140246695</v>
      </c>
      <c r="L31" s="260">
        <f>L16*IF(ISERROR(HLOOKUP(L$29,$D$4:V$11,7,0)),0,(HLOOKUP(L$29,$D$4:$U$11,7,0)))</f>
        <v>1653282.9949146665</v>
      </c>
      <c r="M31" s="260">
        <f>M16*IF(ISERROR(HLOOKUP(M$29,$D$4:W$11,7,0)),0,(HLOOKUP(M$29,$D$4:$U$11,7,0)))</f>
        <v>4856822.3667154666</v>
      </c>
      <c r="N31" s="260">
        <f>N16*IF(ISERROR(HLOOKUP(N$29,$D$4:X$11,7,0)),0,(HLOOKUP(N$29,$D$4:$U$11,7,0)))</f>
        <v>8732351.1203076318</v>
      </c>
      <c r="O31" s="260">
        <f>O16*IF(ISERROR(HLOOKUP(O$29,$D$4:Y$11,7,0)),0,(HLOOKUP(O$29,$D$4:$U$11,7,0)))</f>
        <v>4473977.0502960449</v>
      </c>
      <c r="P31" s="261">
        <f>P16*IF(ISERROR(HLOOKUP(P$29,$D$4:Z$11,7,0)),0,(HLOOKUP(P$29,$D$4:$U$11,7,0)))</f>
        <v>9318280.3658574093</v>
      </c>
      <c r="Q31" s="275">
        <f t="shared" si="6"/>
        <v>32163744.61211589</v>
      </c>
    </row>
    <row r="32" spans="3:17" ht="15" x14ac:dyDescent="0.25">
      <c r="C32" s="68">
        <v>1830</v>
      </c>
      <c r="D32" s="260">
        <f t="shared" ref="D32:I32" si="8">D17*IF(ISERROR(HLOOKUP(D$29,$D$4:$U$11,7,0)),0,(HLOOKUP(D$29,$D$4:$U$11,7,0)))</f>
        <v>5972463.5787888132</v>
      </c>
      <c r="E32" s="260">
        <f t="shared" si="8"/>
        <v>1157772.9134638309</v>
      </c>
      <c r="F32" s="260">
        <f t="shared" si="8"/>
        <v>1569810.5260485425</v>
      </c>
      <c r="G32" s="260">
        <f t="shared" si="8"/>
        <v>27256069.793759935</v>
      </c>
      <c r="H32" s="260">
        <f t="shared" si="8"/>
        <v>6638660.9331463352</v>
      </c>
      <c r="I32" s="260">
        <f t="shared" si="8"/>
        <v>6967305.0584265459</v>
      </c>
      <c r="J32" s="272">
        <f>SUM(D32:I32)</f>
        <v>49562082.803634003</v>
      </c>
      <c r="K32" s="259">
        <f>K17*IF(ISERROR(HLOOKUP(K$29,$D$4:U$11,7,0)),0,(HLOOKUP(K$29,$D$4:$U$11,7,0)))</f>
        <v>22979286.726769622</v>
      </c>
      <c r="L32" s="260">
        <f>L17*IF(ISERROR(HLOOKUP(L$29,$D$4:V$11,7,0)),0,(HLOOKUP(L$29,$D$4:$U$11,7,0)))</f>
        <v>6308581.4525156887</v>
      </c>
      <c r="M32" s="260">
        <f>M17*IF(ISERROR(HLOOKUP(M$29,$D$4:W$11,7,0)),0,(HLOOKUP(M$29,$D$4:$U$11,7,0)))</f>
        <v>10477597.45050462</v>
      </c>
      <c r="N32" s="260">
        <f>N17*IF(ISERROR(HLOOKUP(N$29,$D$4:X$11,7,0)),0,(HLOOKUP(N$29,$D$4:$U$11,7,0)))</f>
        <v>61543675.89704895</v>
      </c>
      <c r="O32" s="260">
        <f>O17*IF(ISERROR(HLOOKUP(O$29,$D$4:Y$11,7,0)),0,(HLOOKUP(O$29,$D$4:$U$11,7,0)))</f>
        <v>17788250.747289125</v>
      </c>
      <c r="P32" s="261">
        <f>P17*IF(ISERROR(HLOOKUP(P$29,$D$4:Z$11,7,0)),0,(HLOOKUP(P$29,$D$4:$U$11,7,0)))</f>
        <v>19249677.29794196</v>
      </c>
      <c r="Q32" s="275">
        <f>SUM(K32:P32)</f>
        <v>138347069.57206997</v>
      </c>
    </row>
    <row r="33" spans="1:21" ht="15" x14ac:dyDescent="0.25">
      <c r="C33" s="68">
        <v>1835</v>
      </c>
      <c r="D33" s="260">
        <f t="shared" ref="D33:I33" si="9">D18*IF(ISERROR(HLOOKUP(D$29,$D$4:$U$11,7,0)),0,(HLOOKUP(D$29,$D$4:$U$11,7,0)))</f>
        <v>3622614.8637548247</v>
      </c>
      <c r="E33" s="260">
        <f t="shared" si="9"/>
        <v>497476.41784171428</v>
      </c>
      <c r="F33" s="260">
        <f t="shared" si="9"/>
        <v>674522.02833617979</v>
      </c>
      <c r="G33" s="260">
        <f t="shared" si="9"/>
        <v>15807760.369799793</v>
      </c>
      <c r="H33" s="260">
        <f t="shared" si="9"/>
        <v>3820693.5794280428</v>
      </c>
      <c r="I33" s="260">
        <f t="shared" si="9"/>
        <v>3949344.4136580941</v>
      </c>
      <c r="J33" s="272">
        <f t="shared" ref="J33:J38" si="10">SUM(D33:I33)</f>
        <v>28372411.67281865</v>
      </c>
      <c r="K33" s="259">
        <f>K18*IF(ISERROR(HLOOKUP(K$29,$D$4:U$11,7,0)),0,(HLOOKUP(K$29,$D$4:$U$11,7,0)))</f>
        <v>11618633.118523927</v>
      </c>
      <c r="L33" s="260">
        <f>L18*IF(ISERROR(HLOOKUP(L$29,$D$4:V$11,7,0)),0,(HLOOKUP(L$29,$D$4:$U$11,7,0)))</f>
        <v>2976001.2573595317</v>
      </c>
      <c r="M33" s="260">
        <f>M18*IF(ISERROR(HLOOKUP(M$29,$D$4:W$11,7,0)),0,(HLOOKUP(M$29,$D$4:$U$11,7,0)))</f>
        <v>6338669.8379930099</v>
      </c>
      <c r="N33" s="260">
        <f>N18*IF(ISERROR(HLOOKUP(N$29,$D$4:X$11,7,0)),0,(HLOOKUP(N$29,$D$4:$U$11,7,0)))</f>
        <v>30885953.491284914</v>
      </c>
      <c r="O33" s="260">
        <f>O18*IF(ISERROR(HLOOKUP(O$29,$D$4:Y$11,7,0)),0,(HLOOKUP(O$29,$D$4:$U$11,7,0)))</f>
        <v>8410634.6142462753</v>
      </c>
      <c r="P33" s="261">
        <f>P18*IF(ISERROR(HLOOKUP(P$29,$D$4:Z$11,7,0)),0,(HLOOKUP(P$29,$D$4:$U$11,7,0)))</f>
        <v>11772570.479163913</v>
      </c>
      <c r="Q33" s="275">
        <f t="shared" ref="Q33:Q38" si="11">SUM(K33:P33)</f>
        <v>72002462.798571572</v>
      </c>
    </row>
    <row r="34" spans="1:21" ht="15" x14ac:dyDescent="0.25">
      <c r="C34" s="68">
        <v>1840</v>
      </c>
      <c r="D34" s="260">
        <f t="shared" ref="D34:I34" si="12">D19*IF(ISERROR(HLOOKUP(D$29,$D$4:$U$11,7,0)),0,(HLOOKUP(D$29,$D$4:$U$11,7,0)))</f>
        <v>2120977.1709875627</v>
      </c>
      <c r="E34" s="260">
        <f t="shared" si="12"/>
        <v>250209.19965572769</v>
      </c>
      <c r="F34" s="260">
        <f t="shared" si="12"/>
        <v>339256.11528478033</v>
      </c>
      <c r="G34" s="260">
        <f t="shared" si="12"/>
        <v>2775846.8407719638</v>
      </c>
      <c r="H34" s="260">
        <f t="shared" si="12"/>
        <v>714968.72356666124</v>
      </c>
      <c r="I34" s="260">
        <f t="shared" si="12"/>
        <v>756823.74458096514</v>
      </c>
      <c r="J34" s="272">
        <f t="shared" si="10"/>
        <v>6958081.7948476616</v>
      </c>
      <c r="K34" s="259">
        <f>K19*IF(ISERROR(HLOOKUP(K$29,$D$4:U$11,7,0)),0,(HLOOKUP(K$29,$D$4:$U$11,7,0)))</f>
        <v>168254.3560576106</v>
      </c>
      <c r="L34" s="260">
        <f>L19*IF(ISERROR(HLOOKUP(L$29,$D$4:V$11,7,0)),0,(HLOOKUP(L$29,$D$4:$U$11,7,0)))</f>
        <v>41861.290027160423</v>
      </c>
      <c r="M34" s="260">
        <f>M19*IF(ISERROR(HLOOKUP(M$29,$D$4:W$11,7,0)),0,(HLOOKUP(M$29,$D$4:$U$11,7,0)))</f>
        <v>97374.739888479715</v>
      </c>
      <c r="N34" s="260">
        <f>N19*IF(ISERROR(HLOOKUP(N$29,$D$4:X$11,7,0)),0,(HLOOKUP(N$29,$D$4:$U$11,7,0)))</f>
        <v>442377.01610403537</v>
      </c>
      <c r="O34" s="260">
        <f>O19*IF(ISERROR(HLOOKUP(O$29,$D$4:Y$11,7,0)),0,(HLOOKUP(O$29,$D$4:$U$11,7,0)))</f>
        <v>117589.06587491477</v>
      </c>
      <c r="P34" s="261">
        <f>P19*IF(ISERROR(HLOOKUP(P$29,$D$4:Z$11,7,0)),0,(HLOOKUP(P$29,$D$4:$U$11,7,0)))</f>
        <v>183412.81718374544</v>
      </c>
      <c r="Q34" s="275">
        <f t="shared" si="11"/>
        <v>1050869.2851359462</v>
      </c>
    </row>
    <row r="35" spans="1:21" ht="15" x14ac:dyDescent="0.25">
      <c r="C35" s="68">
        <v>1845</v>
      </c>
      <c r="D35" s="260">
        <f t="shared" ref="D35:I35" si="13">D20*IF(ISERROR(HLOOKUP(D$29,$D$4:$U$11,7,0)),0,(HLOOKUP(D$29,$D$4:$U$11,7,0)))</f>
        <v>3946849.4122970053</v>
      </c>
      <c r="E35" s="260">
        <f t="shared" si="13"/>
        <v>465605.52488059539</v>
      </c>
      <c r="F35" s="260">
        <f t="shared" si="13"/>
        <v>631309.81829777278</v>
      </c>
      <c r="G35" s="260">
        <f t="shared" si="13"/>
        <v>7364889.2706211898</v>
      </c>
      <c r="H35" s="260">
        <f t="shared" si="13"/>
        <v>1740306.6737104466</v>
      </c>
      <c r="I35" s="260">
        <f t="shared" si="13"/>
        <v>1733386.4529081355</v>
      </c>
      <c r="J35" s="272">
        <f t="shared" si="10"/>
        <v>15882347.152715147</v>
      </c>
      <c r="K35" s="259">
        <f>K20*IF(ISERROR(HLOOKUP(K$29,$D$4:U$11,7,0)),0,(HLOOKUP(K$29,$D$4:$U$11,7,0)))</f>
        <v>2654232.9027670776</v>
      </c>
      <c r="L35" s="260">
        <f>L20*IF(ISERROR(HLOOKUP(L$29,$D$4:V$11,7,0)),0,(HLOOKUP(L$29,$D$4:$U$11,7,0)))</f>
        <v>660366.93459704786</v>
      </c>
      <c r="M35" s="260">
        <f>M20*IF(ISERROR(HLOOKUP(M$29,$D$4:W$11,7,0)),0,(HLOOKUP(M$29,$D$4:$U$11,7,0)))</f>
        <v>1536098.3487517736</v>
      </c>
      <c r="N35" s="260">
        <f>N20*IF(ISERROR(HLOOKUP(N$29,$D$4:X$11,7,0)),0,(HLOOKUP(N$29,$D$4:$U$11,7,0)))</f>
        <v>6978551.1595861074</v>
      </c>
      <c r="O35" s="260">
        <f>O20*IF(ISERROR(HLOOKUP(O$29,$D$4:Y$11,7,0)),0,(HLOOKUP(O$29,$D$4:$U$11,7,0)))</f>
        <v>1854981.7963938927</v>
      </c>
      <c r="P35" s="261">
        <f>P20*IF(ISERROR(HLOOKUP(P$29,$D$4:Z$11,7,0)),0,(HLOOKUP(P$29,$D$4:$U$11,7,0)))</f>
        <v>2893359.4681590996</v>
      </c>
      <c r="Q35" s="275">
        <f t="shared" si="11"/>
        <v>16577590.610255001</v>
      </c>
    </row>
    <row r="36" spans="1:21" ht="15" x14ac:dyDescent="0.25">
      <c r="C36" s="68">
        <v>1850</v>
      </c>
      <c r="D36" s="260">
        <f t="shared" ref="D36:I36" si="14">D21*IF(ISERROR(HLOOKUP(D$29,$D$4:$U$11,7,0)),0,(HLOOKUP(D$29,$D$4:$U$11,7,0)))</f>
        <v>4240860.3905323762</v>
      </c>
      <c r="E36" s="260">
        <f t="shared" si="14"/>
        <v>1311826.1035972212</v>
      </c>
      <c r="F36" s="260">
        <f t="shared" si="14"/>
        <v>1398960.9751922961</v>
      </c>
      <c r="G36" s="260">
        <f t="shared" si="14"/>
        <v>18196359.04327004</v>
      </c>
      <c r="H36" s="260">
        <f t="shared" si="14"/>
        <v>4446690.9925712692</v>
      </c>
      <c r="I36" s="260">
        <f t="shared" si="14"/>
        <v>3990536.8722003195</v>
      </c>
      <c r="J36" s="272">
        <f t="shared" si="10"/>
        <v>33585234.377363525</v>
      </c>
      <c r="K36" s="259">
        <f>K21*IF(ISERROR(HLOOKUP(K$29,$D$4:U$11,7,0)),0,(HLOOKUP(K$29,$D$4:$U$11,7,0)))</f>
        <v>11098409.194056908</v>
      </c>
      <c r="L36" s="260">
        <f>L21*IF(ISERROR(HLOOKUP(L$29,$D$4:V$11,7,0)),0,(HLOOKUP(L$29,$D$4:$U$11,7,0)))</f>
        <v>5641222.8035606639</v>
      </c>
      <c r="M36" s="260">
        <f>M21*IF(ISERROR(HLOOKUP(M$29,$D$4:W$11,7,0)),0,(HLOOKUP(M$29,$D$4:$U$11,7,0)))</f>
        <v>10068748.973818801</v>
      </c>
      <c r="N36" s="260">
        <f>N21*IF(ISERROR(HLOOKUP(N$29,$D$4:X$11,7,0)),0,(HLOOKUP(N$29,$D$4:$U$11,7,0)))</f>
        <v>27789607.863407332</v>
      </c>
      <c r="O36" s="260">
        <f>O21*IF(ISERROR(HLOOKUP(O$29,$D$4:Y$11,7,0)),0,(HLOOKUP(O$29,$D$4:$U$11,7,0)))</f>
        <v>14540234.298135895</v>
      </c>
      <c r="P36" s="261">
        <f>P21*IF(ISERROR(HLOOKUP(P$29,$D$4:Z$11,7,0)),0,(HLOOKUP(P$29,$D$4:$U$11,7,0)))</f>
        <v>23740925.275004048</v>
      </c>
      <c r="Q36" s="275">
        <f t="shared" si="11"/>
        <v>92879148.407983646</v>
      </c>
    </row>
    <row r="37" spans="1:21" ht="15" x14ac:dyDescent="0.25">
      <c r="C37" s="68">
        <v>1855</v>
      </c>
      <c r="D37" s="260">
        <f t="shared" ref="D37:I37" si="15">D22*IF(ISERROR(HLOOKUP(D$29,$D$4:$U$11,7,0)),0,(HLOOKUP(D$29,$D$4:$U$11,7,0)))</f>
        <v>0</v>
      </c>
      <c r="E37" s="260">
        <f t="shared" si="15"/>
        <v>0</v>
      </c>
      <c r="F37" s="260">
        <f t="shared" si="15"/>
        <v>0</v>
      </c>
      <c r="G37" s="260">
        <f t="shared" si="15"/>
        <v>2956854.1224276219</v>
      </c>
      <c r="H37" s="260">
        <f t="shared" si="15"/>
        <v>571911.14777716401</v>
      </c>
      <c r="I37" s="260">
        <f t="shared" si="15"/>
        <v>99189.589578075582</v>
      </c>
      <c r="J37" s="272">
        <f t="shared" si="10"/>
        <v>3627954.8597828615</v>
      </c>
      <c r="K37" s="259">
        <f>K22*IF(ISERROR(HLOOKUP(K$29,$D$4:U$11,7,0)),0,(HLOOKUP(K$29,$D$4:$U$11,7,0)))</f>
        <v>3324231.4163432475</v>
      </c>
      <c r="L37" s="260">
        <f>L22*IF(ISERROR(HLOOKUP(L$29,$D$4:V$11,7,0)),0,(HLOOKUP(L$29,$D$4:$U$11,7,0)))</f>
        <v>0</v>
      </c>
      <c r="M37" s="260">
        <f>M22*IF(ISERROR(HLOOKUP(M$29,$D$4:W$11,7,0)),0,(HLOOKUP(M$29,$D$4:$U$11,7,0)))</f>
        <v>0</v>
      </c>
      <c r="N37" s="260">
        <f>N22*IF(ISERROR(HLOOKUP(N$29,$D$4:X$11,7,0)),0,(HLOOKUP(N$29,$D$4:$U$11,7,0)))</f>
        <v>12485449.836837804</v>
      </c>
      <c r="O37" s="260">
        <f>O22*IF(ISERROR(HLOOKUP(O$29,$D$4:Y$11,7,0)),0,(HLOOKUP(O$29,$D$4:$U$11,7,0)))</f>
        <v>0</v>
      </c>
      <c r="P37" s="261">
        <f>P22*IF(ISERROR(HLOOKUP(P$29,$D$4:Z$11,7,0)),0,(HLOOKUP(P$29,$D$4:$U$11,7,0)))</f>
        <v>0</v>
      </c>
      <c r="Q37" s="275">
        <f t="shared" si="11"/>
        <v>15809681.253181051</v>
      </c>
    </row>
    <row r="38" spans="1:21" ht="15.75" thickBot="1" x14ac:dyDescent="0.3">
      <c r="C38" s="69">
        <v>1860</v>
      </c>
      <c r="D38" s="260">
        <f t="shared" ref="D38:I38" si="16">D23*IF(ISERROR(HLOOKUP(D$29,$D$4:$U$11,7,0)),0,(HLOOKUP(D$29,$D$4:$U$11,7,0)))</f>
        <v>1554213.9640587124</v>
      </c>
      <c r="E38" s="260">
        <f t="shared" si="16"/>
        <v>2136046.5176538564</v>
      </c>
      <c r="F38" s="260">
        <f t="shared" si="16"/>
        <v>1103802.8232441836</v>
      </c>
      <c r="G38" s="260">
        <f t="shared" si="16"/>
        <v>6944632.2060936922</v>
      </c>
      <c r="H38" s="260">
        <f t="shared" si="16"/>
        <v>1697204.1513572535</v>
      </c>
      <c r="I38" s="260">
        <f t="shared" si="16"/>
        <v>680980.20750355418</v>
      </c>
      <c r="J38" s="273">
        <f t="shared" si="10"/>
        <v>14116879.869911252</v>
      </c>
      <c r="K38" s="262">
        <f>K23*IF(ISERROR(HLOOKUP(K$29,$D$4:U$11,7,0)),0,(HLOOKUP(K$29,$D$4:$U$11,7,0)))</f>
        <v>4260197.1288996143</v>
      </c>
      <c r="L38" s="263">
        <f>L23*IF(ISERROR(HLOOKUP(L$29,$D$4:V$11,7,0)),0,(HLOOKUP(L$29,$D$4:$U$11,7,0)))</f>
        <v>950594.96040357917</v>
      </c>
      <c r="M38" s="263">
        <f>M23*IF(ISERROR(HLOOKUP(M$29,$D$4:W$11,7,0)),0,(HLOOKUP(M$29,$D$4:$U$11,7,0)))</f>
        <v>256940.92032415711</v>
      </c>
      <c r="N38" s="263">
        <f>N23*IF(ISERROR(HLOOKUP(N$29,$D$4:X$11,7,0)),0,(HLOOKUP(N$29,$D$4:$U$11,7,0)))</f>
        <v>8177367.37464019</v>
      </c>
      <c r="O38" s="263">
        <f>O23*IF(ISERROR(HLOOKUP(O$29,$D$4:Y$11,7,0)),0,(HLOOKUP(O$29,$D$4:$U$11,7,0)))</f>
        <v>1854104.1053282884</v>
      </c>
      <c r="P38" s="264">
        <f>P23*IF(ISERROR(HLOOKUP(P$29,$D$4:Z$11,7,0)),0,(HLOOKUP(P$29,$D$4:$U$11,7,0)))</f>
        <v>530152.56017156306</v>
      </c>
      <c r="Q38" s="276">
        <f t="shared" si="11"/>
        <v>16029357.049767392</v>
      </c>
    </row>
    <row r="39" spans="1:21" ht="13.5" thickBot="1" x14ac:dyDescent="0.25">
      <c r="C39" s="270" t="s">
        <v>18</v>
      </c>
      <c r="D39" s="268">
        <f>SUM(D30:D38)</f>
        <v>21636807.305832043</v>
      </c>
      <c r="E39" s="269">
        <f t="shared" ref="E39:I39" si="17">SUM(E30:E38)</f>
        <v>5917763.9378756881</v>
      </c>
      <c r="F39" s="269">
        <f t="shared" si="17"/>
        <v>5883242.9323347518</v>
      </c>
      <c r="G39" s="269">
        <f t="shared" si="17"/>
        <v>84799840.889920726</v>
      </c>
      <c r="H39" s="269">
        <f t="shared" si="17"/>
        <v>21082348.375765525</v>
      </c>
      <c r="I39" s="269">
        <f t="shared" si="17"/>
        <v>20782171.896121327</v>
      </c>
      <c r="J39" s="279">
        <f>SUM(J30:J38)</f>
        <v>160102175.33785006</v>
      </c>
      <c r="K39" s="269">
        <f>SUM(K30:K38)</f>
        <v>60083552.227435537</v>
      </c>
      <c r="L39" s="269">
        <f t="shared" ref="L39:Q39" si="18">SUM(L30:L38)</f>
        <v>18463419.376474619</v>
      </c>
      <c r="M39" s="269">
        <f t="shared" si="18"/>
        <v>34248355.030708648</v>
      </c>
      <c r="N39" s="269">
        <f t="shared" si="18"/>
        <v>159419024.96057132</v>
      </c>
      <c r="O39" s="269">
        <f t="shared" si="18"/>
        <v>49717702.018969074</v>
      </c>
      <c r="P39" s="269">
        <f t="shared" si="18"/>
        <v>68778681.629101127</v>
      </c>
      <c r="Q39" s="279">
        <f t="shared" si="18"/>
        <v>390710735.24326026</v>
      </c>
    </row>
    <row r="40" spans="1:21" x14ac:dyDescent="0.2"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</row>
    <row r="41" spans="1:21" x14ac:dyDescent="0.2">
      <c r="D41" s="71"/>
      <c r="E41" s="71"/>
      <c r="F41" s="71"/>
      <c r="G41" s="71"/>
      <c r="H41" s="71"/>
      <c r="I41" s="71"/>
      <c r="J41" s="101" t="s">
        <v>334</v>
      </c>
      <c r="K41" s="139">
        <v>61746476.486300439</v>
      </c>
      <c r="L41" s="139">
        <v>18915657.474739008</v>
      </c>
      <c r="M41" s="139">
        <v>35451973.063723698</v>
      </c>
      <c r="N41" s="139">
        <v>164080773.41416389</v>
      </c>
      <c r="O41" s="139">
        <v>51043520.027145177</v>
      </c>
      <c r="P41" s="139">
        <v>70910893.475877702</v>
      </c>
      <c r="Q41" s="71"/>
    </row>
    <row r="42" spans="1:21" x14ac:dyDescent="0.2">
      <c r="D42" s="71"/>
      <c r="E42" s="71"/>
      <c r="F42" s="71"/>
      <c r="G42" s="71"/>
      <c r="H42" s="71"/>
      <c r="I42" s="71"/>
      <c r="J42" s="133" t="s">
        <v>297</v>
      </c>
      <c r="K42" s="139">
        <f>K41-K39</f>
        <v>1662924.258864902</v>
      </c>
      <c r="L42" s="139">
        <f t="shared" ref="L42:P42" si="19">L41-L39</f>
        <v>452238.09826438874</v>
      </c>
      <c r="M42" s="139">
        <f t="shared" si="19"/>
        <v>1203618.03301505</v>
      </c>
      <c r="N42" s="139">
        <f t="shared" si="19"/>
        <v>4661748.4535925686</v>
      </c>
      <c r="O42" s="139">
        <f t="shared" si="19"/>
        <v>1325818.0081761032</v>
      </c>
      <c r="P42" s="139">
        <f t="shared" si="19"/>
        <v>2132211.8467765749</v>
      </c>
      <c r="Q42" s="71"/>
    </row>
    <row r="43" spans="1:21" x14ac:dyDescent="0.2">
      <c r="D43" s="71"/>
      <c r="E43" s="71"/>
      <c r="F43" s="71"/>
      <c r="G43" s="71"/>
      <c r="H43" s="71"/>
      <c r="I43" s="71"/>
      <c r="J43" s="133" t="s">
        <v>298</v>
      </c>
      <c r="K43" s="139">
        <f>D39</f>
        <v>21636807.305832043</v>
      </c>
      <c r="L43" s="139">
        <f t="shared" ref="L43:P43" si="20">E39</f>
        <v>5917763.9378756881</v>
      </c>
      <c r="M43" s="139">
        <f t="shared" si="20"/>
        <v>5883242.9323347518</v>
      </c>
      <c r="N43" s="139">
        <f t="shared" si="20"/>
        <v>84799840.889920726</v>
      </c>
      <c r="O43" s="139">
        <f t="shared" si="20"/>
        <v>21082348.375765525</v>
      </c>
      <c r="P43" s="139">
        <f t="shared" si="20"/>
        <v>20782171.896121327</v>
      </c>
      <c r="Q43" s="71"/>
    </row>
    <row r="44" spans="1:21" x14ac:dyDescent="0.2">
      <c r="D44" s="71"/>
      <c r="E44" s="71"/>
      <c r="F44" s="71"/>
      <c r="G44" s="71"/>
      <c r="H44" s="71"/>
      <c r="I44" s="71"/>
      <c r="J44" s="67" t="s">
        <v>75</v>
      </c>
      <c r="K44" s="139">
        <f>SUM(K42:K43)</f>
        <v>23299731.564696945</v>
      </c>
      <c r="L44" s="139">
        <f t="shared" ref="L44:P44" si="21">SUM(L42:L43)</f>
        <v>6370002.0361400768</v>
      </c>
      <c r="M44" s="139">
        <f t="shared" si="21"/>
        <v>7086860.9653498018</v>
      </c>
      <c r="N44" s="139">
        <f t="shared" si="21"/>
        <v>89461589.343513295</v>
      </c>
      <c r="O44" s="139">
        <f t="shared" si="21"/>
        <v>22408166.383941628</v>
      </c>
      <c r="P44" s="139">
        <f t="shared" si="21"/>
        <v>22914383.742897902</v>
      </c>
      <c r="Q44" s="71"/>
    </row>
    <row r="45" spans="1:21" ht="15" x14ac:dyDescent="0.25">
      <c r="I45" s="228"/>
      <c r="J45" s="229" t="s">
        <v>349</v>
      </c>
      <c r="K45" s="378">
        <f>K44/K41</f>
        <v>0.37734511976349627</v>
      </c>
      <c r="L45" s="378">
        <f t="shared" ref="L45:P45" si="22">L44/L41</f>
        <v>0.33675816157312649</v>
      </c>
      <c r="M45" s="378">
        <f>M44/M41</f>
        <v>0.19990032579037037</v>
      </c>
      <c r="N45" s="378">
        <f t="shared" si="22"/>
        <v>0.54522895938391969</v>
      </c>
      <c r="O45" s="378">
        <f t="shared" si="22"/>
        <v>0.43900119686151862</v>
      </c>
      <c r="P45" s="378">
        <f t="shared" si="22"/>
        <v>0.32314335103805825</v>
      </c>
    </row>
    <row r="46" spans="1:21" ht="13.5" thickBot="1" x14ac:dyDescent="0.25">
      <c r="A46" s="74"/>
      <c r="B46" s="74"/>
      <c r="C46" s="74" t="s">
        <v>186</v>
      </c>
      <c r="D46" s="74"/>
      <c r="E46" s="74"/>
      <c r="F46" s="74"/>
      <c r="G46" s="74"/>
      <c r="H46" s="74"/>
      <c r="I46" s="74"/>
      <c r="J46" s="102"/>
      <c r="K46" s="73"/>
      <c r="L46" s="74"/>
      <c r="M46" s="74"/>
      <c r="N46" s="74"/>
      <c r="O46" s="74"/>
      <c r="P46" s="74"/>
      <c r="Q46" s="74"/>
      <c r="R46" s="74"/>
      <c r="S46" s="74"/>
      <c r="T46" s="74"/>
      <c r="U46" s="74"/>
    </row>
    <row r="47" spans="1:21" ht="15.75" thickBot="1" x14ac:dyDescent="0.3">
      <c r="C47" s="156"/>
      <c r="D47" s="254" t="s">
        <v>133</v>
      </c>
      <c r="E47" s="255"/>
      <c r="F47" s="255"/>
      <c r="G47" s="255"/>
      <c r="H47" s="255"/>
      <c r="I47" s="255"/>
      <c r="J47" s="256"/>
      <c r="K47" s="254" t="s">
        <v>134</v>
      </c>
      <c r="L47" s="255"/>
      <c r="M47" s="255"/>
      <c r="N47" s="255"/>
      <c r="O47" s="255"/>
      <c r="P47" s="255"/>
      <c r="Q47" s="54"/>
    </row>
    <row r="48" spans="1:21" ht="15.75" thickBot="1" x14ac:dyDescent="0.3">
      <c r="C48" s="280" t="s">
        <v>76</v>
      </c>
      <c r="D48" s="75" t="s">
        <v>274</v>
      </c>
      <c r="E48" s="76" t="s">
        <v>275</v>
      </c>
      <c r="F48" s="76" t="s">
        <v>276</v>
      </c>
      <c r="G48" s="76" t="s">
        <v>277</v>
      </c>
      <c r="H48" s="76" t="s">
        <v>278</v>
      </c>
      <c r="I48" s="76" t="s">
        <v>279</v>
      </c>
      <c r="J48" s="77" t="s">
        <v>119</v>
      </c>
      <c r="K48" s="75" t="s">
        <v>274</v>
      </c>
      <c r="L48" s="76" t="s">
        <v>275</v>
      </c>
      <c r="M48" s="76" t="s">
        <v>276</v>
      </c>
      <c r="N48" s="76" t="s">
        <v>277</v>
      </c>
      <c r="O48" s="76" t="s">
        <v>278</v>
      </c>
      <c r="P48" s="76" t="s">
        <v>279</v>
      </c>
      <c r="Q48" s="252" t="s">
        <v>119</v>
      </c>
    </row>
    <row r="49" spans="3:18" ht="15" x14ac:dyDescent="0.25">
      <c r="C49" s="68">
        <v>1815</v>
      </c>
      <c r="D49" s="265">
        <f>D15*IF(ISERROR(HLOOKUP(D$29,$D$4:$U$11,8,0)),0,(HLOOKUP(D$29,$D$4:$U$11,8,0)))</f>
        <v>19994.667542300431</v>
      </c>
      <c r="E49" s="266">
        <f t="shared" ref="E49:I49" si="23">E15*IF(ISERROR(HLOOKUP(E$29,$D$4:$U$11,8,0)),0,(HLOOKUP(E$29,$D$4:$U$11,8,0)))</f>
        <v>7147.977520906471</v>
      </c>
      <c r="F49" s="266">
        <f t="shared" si="23"/>
        <v>14028.481681016496</v>
      </c>
      <c r="G49" s="266">
        <f t="shared" si="23"/>
        <v>2723199.9561305265</v>
      </c>
      <c r="H49" s="266">
        <f t="shared" si="23"/>
        <v>980909.70506367576</v>
      </c>
      <c r="I49" s="267">
        <f t="shared" si="23"/>
        <v>1914092.718582612</v>
      </c>
      <c r="J49" s="283">
        <f t="shared" ref="J49:J50" si="24">SUM(D49:I49)</f>
        <v>5659373.5065210368</v>
      </c>
      <c r="K49" s="265">
        <f>K15*IF(ISERROR(HLOOKUP(K$29,$D$4:$U$11,8,0)),0,(HLOOKUP(K$29,$D$4:$U$11,8,0)))</f>
        <v>941214.24667962745</v>
      </c>
      <c r="L49" s="266">
        <f t="shared" ref="L49:P49" si="25">L15*IF(ISERROR(HLOOKUP(L$29,$D$4:$U$11,8,0)),0,(HLOOKUP(L$29,$D$4:$U$11,8,0)))</f>
        <v>255265.89390127739</v>
      </c>
      <c r="M49" s="266">
        <f t="shared" si="25"/>
        <v>678840.61552603031</v>
      </c>
      <c r="N49" s="266">
        <f t="shared" si="25"/>
        <v>2641252.4971660497</v>
      </c>
      <c r="O49" s="266">
        <f t="shared" si="25"/>
        <v>748224.5566911397</v>
      </c>
      <c r="P49" s="267">
        <f t="shared" si="25"/>
        <v>1202060.2224881265</v>
      </c>
      <c r="Q49" s="282">
        <f t="shared" ref="Q49:Q50" si="26">SUM(K49:P49)</f>
        <v>6466858.0324522518</v>
      </c>
    </row>
    <row r="50" spans="3:18" ht="15" x14ac:dyDescent="0.25">
      <c r="C50" s="68">
        <v>1820</v>
      </c>
      <c r="D50" s="259">
        <f t="shared" ref="D50:I50" si="27">D16*IF(ISERROR(HLOOKUP(D$29,$D$4:$U$11,8,0)),0,(HLOOKUP(D$29,$D$4:$U$11,8,0)))</f>
        <v>177726.46946954104</v>
      </c>
      <c r="E50" s="260">
        <f t="shared" si="27"/>
        <v>101821.31770127265</v>
      </c>
      <c r="F50" s="260">
        <f t="shared" si="27"/>
        <v>168413.38014677164</v>
      </c>
      <c r="G50" s="260">
        <f t="shared" si="27"/>
        <v>1152131.5956044078</v>
      </c>
      <c r="H50" s="260">
        <f t="shared" si="27"/>
        <v>621550.42476419185</v>
      </c>
      <c r="I50" s="261">
        <f t="shared" si="27"/>
        <v>957486.72837427619</v>
      </c>
      <c r="J50" s="284">
        <f t="shared" si="24"/>
        <v>3179129.9160604612</v>
      </c>
      <c r="K50" s="259">
        <f t="shared" ref="K50:P50" si="28">K16*IF(ISERROR(HLOOKUP(K$29,$D$4:$U$11,8,0)),0,(HLOOKUP(K$29,$D$4:$U$11,8,0)))</f>
        <v>3459613.5312422616</v>
      </c>
      <c r="L50" s="260">
        <f t="shared" si="28"/>
        <v>1822949.268569882</v>
      </c>
      <c r="M50" s="260">
        <f t="shared" si="28"/>
        <v>5351396.6573102875</v>
      </c>
      <c r="N50" s="260">
        <f t="shared" si="28"/>
        <v>9675894.3396438286</v>
      </c>
      <c r="O50" s="260">
        <f t="shared" si="28"/>
        <v>4937881.2108751349</v>
      </c>
      <c r="P50" s="261">
        <f t="shared" si="28"/>
        <v>10273410.614876099</v>
      </c>
      <c r="Q50" s="275">
        <f t="shared" si="26"/>
        <v>35521145.622517496</v>
      </c>
    </row>
    <row r="51" spans="3:18" ht="15" x14ac:dyDescent="0.25">
      <c r="C51" s="68">
        <v>1830</v>
      </c>
      <c r="D51" s="259">
        <f t="shared" ref="D51:I51" si="29">D17*IF(ISERROR(HLOOKUP(D$29,$D$4:$U$11,8,0)),0,(HLOOKUP(D$29,$D$4:$U$11,8,0)))</f>
        <v>6603455.7345244568</v>
      </c>
      <c r="E51" s="260">
        <f t="shared" si="29"/>
        <v>1276588.032575662</v>
      </c>
      <c r="F51" s="260">
        <f t="shared" si="29"/>
        <v>1729665.6470860015</v>
      </c>
      <c r="G51" s="260">
        <f t="shared" si="29"/>
        <v>30201127.715199802</v>
      </c>
      <c r="H51" s="260">
        <f t="shared" si="29"/>
        <v>7327019.9463774525</v>
      </c>
      <c r="I51" s="261">
        <f t="shared" si="29"/>
        <v>7681458.6955962516</v>
      </c>
      <c r="J51" s="284">
        <f>SUM(D51:I51)</f>
        <v>54819315.771359622</v>
      </c>
      <c r="K51" s="259">
        <f t="shared" ref="K51:P51" si="30">K17*IF(ISERROR(HLOOKUP(K$29,$D$4:$U$11,8,0)),0,(HLOOKUP(K$29,$D$4:$U$11,8,0)))</f>
        <v>25407053.673810985</v>
      </c>
      <c r="L51" s="260">
        <f t="shared" si="30"/>
        <v>6955992.3981257547</v>
      </c>
      <c r="M51" s="260">
        <f t="shared" si="30"/>
        <v>11544539.976905031</v>
      </c>
      <c r="N51" s="260">
        <f t="shared" si="30"/>
        <v>68193559.449101925</v>
      </c>
      <c r="O51" s="260">
        <f t="shared" si="30"/>
        <v>19632704.448844321</v>
      </c>
      <c r="P51" s="261">
        <f t="shared" si="30"/>
        <v>21222782.672457162</v>
      </c>
      <c r="Q51" s="275">
        <f>SUM(K51:P51)</f>
        <v>152956632.61924517</v>
      </c>
    </row>
    <row r="52" spans="3:18" ht="15" x14ac:dyDescent="0.25">
      <c r="C52" s="68">
        <v>1835</v>
      </c>
      <c r="D52" s="259">
        <f t="shared" ref="D52:I52" si="31">D18*IF(ISERROR(HLOOKUP(D$29,$D$4:$U$11,8,0)),0,(HLOOKUP(D$29,$D$4:$U$11,8,0)))</f>
        <v>4005344.9603264979</v>
      </c>
      <c r="E52" s="260">
        <f t="shared" si="31"/>
        <v>548529.36540493846</v>
      </c>
      <c r="F52" s="260">
        <f t="shared" si="31"/>
        <v>743209.17158876511</v>
      </c>
      <c r="G52" s="260">
        <f t="shared" si="31"/>
        <v>17515811.833182838</v>
      </c>
      <c r="H52" s="260">
        <f t="shared" si="31"/>
        <v>4216859.1448453274</v>
      </c>
      <c r="I52" s="261">
        <f t="shared" si="31"/>
        <v>4354154.975819231</v>
      </c>
      <c r="J52" s="284">
        <f t="shared" ref="J52:J57" si="32">SUM(D52:I52)</f>
        <v>31383909.451167598</v>
      </c>
      <c r="K52" s="259">
        <f t="shared" ref="K52:P52" si="33">K18*IF(ISERROR(HLOOKUP(K$29,$D$4:$U$11,8,0)),0,(HLOOKUP(K$29,$D$4:$U$11,8,0)))</f>
        <v>12846144.389450038</v>
      </c>
      <c r="L52" s="260">
        <f t="shared" si="33"/>
        <v>3281409.9776346046</v>
      </c>
      <c r="M52" s="260">
        <f t="shared" si="33"/>
        <v>6984141.8980634827</v>
      </c>
      <c r="N52" s="260">
        <f t="shared" si="33"/>
        <v>34223225.617420897</v>
      </c>
      <c r="O52" s="260">
        <f t="shared" si="33"/>
        <v>9282728.5804862641</v>
      </c>
      <c r="P52" s="261">
        <f t="shared" si="33"/>
        <v>12979267.179829162</v>
      </c>
      <c r="Q52" s="275">
        <f t="shared" ref="Q52:Q57" si="34">SUM(K52:P52)</f>
        <v>79596917.642884448</v>
      </c>
    </row>
    <row r="53" spans="3:18" ht="15" x14ac:dyDescent="0.25">
      <c r="C53" s="68">
        <v>1840</v>
      </c>
      <c r="D53" s="259">
        <f t="shared" ref="D53:I53" si="35">D19*IF(ISERROR(HLOOKUP(D$29,$D$4:$U$11,8,0)),0,(HLOOKUP(D$29,$D$4:$U$11,8,0)))</f>
        <v>2345058.898692118</v>
      </c>
      <c r="E53" s="260">
        <f t="shared" si="35"/>
        <v>275886.63217660855</v>
      </c>
      <c r="F53" s="260">
        <f t="shared" si="35"/>
        <v>373802.84972925927</v>
      </c>
      <c r="G53" s="260">
        <f t="shared" si="35"/>
        <v>3075781.122896194</v>
      </c>
      <c r="H53" s="260">
        <f t="shared" si="35"/>
        <v>789103.42783935042</v>
      </c>
      <c r="I53" s="261">
        <f t="shared" si="35"/>
        <v>834398.70726114849</v>
      </c>
      <c r="J53" s="284">
        <f t="shared" si="32"/>
        <v>7694031.6385946795</v>
      </c>
      <c r="K53" s="259">
        <f t="shared" ref="K53:P53" si="36">K19*IF(ISERROR(HLOOKUP(K$29,$D$4:$U$11,8,0)),0,(HLOOKUP(K$29,$D$4:$U$11,8,0)))</f>
        <v>186030.46761361181</v>
      </c>
      <c r="L53" s="260">
        <f t="shared" si="36"/>
        <v>46157.256967578352</v>
      </c>
      <c r="M53" s="260">
        <f t="shared" si="36"/>
        <v>107290.49123080616</v>
      </c>
      <c r="N53" s="260">
        <f t="shared" si="36"/>
        <v>490176.49509709235</v>
      </c>
      <c r="O53" s="260">
        <f t="shared" si="36"/>
        <v>129781.80988873845</v>
      </c>
      <c r="P53" s="261">
        <f t="shared" si="36"/>
        <v>202212.75911206612</v>
      </c>
      <c r="Q53" s="275">
        <f t="shared" si="34"/>
        <v>1161649.2799098932</v>
      </c>
    </row>
    <row r="54" spans="3:18" ht="15" x14ac:dyDescent="0.25">
      <c r="C54" s="68">
        <v>1845</v>
      </c>
      <c r="D54" s="259">
        <f t="shared" ref="D54:I54" si="37">D20*IF(ISERROR(HLOOKUP(D$29,$D$4:$U$11,8,0)),0,(HLOOKUP(D$29,$D$4:$U$11,8,0)))</f>
        <v>4363834.9637659173</v>
      </c>
      <c r="E54" s="260">
        <f t="shared" si="37"/>
        <v>513387.75855913683</v>
      </c>
      <c r="F54" s="260">
        <f t="shared" si="37"/>
        <v>695596.62599943439</v>
      </c>
      <c r="G54" s="260">
        <f t="shared" si="37"/>
        <v>8160676.2513228683</v>
      </c>
      <c r="H54" s="260">
        <f t="shared" si="37"/>
        <v>1920758.0925581164</v>
      </c>
      <c r="I54" s="261">
        <f t="shared" si="37"/>
        <v>1911059.7756038122</v>
      </c>
      <c r="J54" s="284">
        <f t="shared" si="32"/>
        <v>17565313.467809286</v>
      </c>
      <c r="K54" s="259">
        <f t="shared" ref="K54:P54" si="38">K20*IF(ISERROR(HLOOKUP(K$29,$D$4:$U$11,8,0)),0,(HLOOKUP(K$29,$D$4:$U$11,8,0)))</f>
        <v>2934653.221626706</v>
      </c>
      <c r="L54" s="260">
        <f t="shared" si="38"/>
        <v>728136.33486477495</v>
      </c>
      <c r="M54" s="260">
        <f t="shared" si="38"/>
        <v>1692520.5305314127</v>
      </c>
      <c r="N54" s="260">
        <f t="shared" si="38"/>
        <v>7732593.7463649875</v>
      </c>
      <c r="O54" s="260">
        <f t="shared" si="38"/>
        <v>2047323.8141270098</v>
      </c>
      <c r="P54" s="261">
        <f t="shared" si="38"/>
        <v>3189930.8354951907</v>
      </c>
      <c r="Q54" s="275">
        <f t="shared" si="34"/>
        <v>18325158.483010083</v>
      </c>
    </row>
    <row r="55" spans="3:18" ht="15" x14ac:dyDescent="0.25">
      <c r="C55" s="68">
        <v>1850</v>
      </c>
      <c r="D55" s="259">
        <f t="shared" ref="D55:I55" si="39">D21*IF(ISERROR(HLOOKUP(D$29,$D$4:$U$11,8,0)),0,(HLOOKUP(D$29,$D$4:$U$11,8,0)))</f>
        <v>4688908.2697190419</v>
      </c>
      <c r="E55" s="260">
        <f t="shared" si="39"/>
        <v>1446450.7548913993</v>
      </c>
      <c r="F55" s="260">
        <f t="shared" si="39"/>
        <v>1541418.3433301954</v>
      </c>
      <c r="G55" s="260">
        <f t="shared" si="39"/>
        <v>20162502.061953362</v>
      </c>
      <c r="H55" s="260">
        <f t="shared" si="39"/>
        <v>4907765.8771925205</v>
      </c>
      <c r="I55" s="261">
        <f t="shared" si="39"/>
        <v>4399569.6901469007</v>
      </c>
      <c r="J55" s="284">
        <f t="shared" si="32"/>
        <v>37146614.997233421</v>
      </c>
      <c r="K55" s="259">
        <f t="shared" ref="K55:P55" si="40">K21*IF(ISERROR(HLOOKUP(K$29,$D$4:$U$11,8,0)),0,(HLOOKUP(K$29,$D$4:$U$11,8,0)))</f>
        <v>12270958.687278669</v>
      </c>
      <c r="L55" s="260">
        <f t="shared" si="40"/>
        <v>6220146.832225441</v>
      </c>
      <c r="M55" s="260">
        <f t="shared" si="40"/>
        <v>11094058.117309554</v>
      </c>
      <c r="N55" s="260">
        <f t="shared" si="40"/>
        <v>30792315.34805622</v>
      </c>
      <c r="O55" s="260">
        <f t="shared" si="40"/>
        <v>16047903.003377397</v>
      </c>
      <c r="P55" s="261">
        <f t="shared" si="40"/>
        <v>26174386.70560592</v>
      </c>
      <c r="Q55" s="275">
        <f t="shared" si="34"/>
        <v>102599768.6938532</v>
      </c>
    </row>
    <row r="56" spans="3:18" ht="15" x14ac:dyDescent="0.25">
      <c r="C56" s="68">
        <v>1855</v>
      </c>
      <c r="D56" s="259">
        <f t="shared" ref="D56:I56" si="41">D22*IF(ISERROR(HLOOKUP(D$29,$D$4:$U$11,8,0)),0,(HLOOKUP(D$29,$D$4:$U$11,8,0)))</f>
        <v>0</v>
      </c>
      <c r="E56" s="260">
        <f t="shared" si="41"/>
        <v>0</v>
      </c>
      <c r="F56" s="260">
        <f t="shared" si="41"/>
        <v>0</v>
      </c>
      <c r="G56" s="260">
        <f t="shared" si="41"/>
        <v>3276346.5041866112</v>
      </c>
      <c r="H56" s="260">
        <f t="shared" si="41"/>
        <v>631212.29258697771</v>
      </c>
      <c r="I56" s="261">
        <f t="shared" si="41"/>
        <v>109356.59182249149</v>
      </c>
      <c r="J56" s="284">
        <f t="shared" si="32"/>
        <v>4016915.3885960802</v>
      </c>
      <c r="K56" s="259">
        <f t="shared" ref="K56:P56" si="42">K22*IF(ISERROR(HLOOKUP(K$29,$D$4:$U$11,8,0)),0,(HLOOKUP(K$29,$D$4:$U$11,8,0)))</f>
        <v>3675437.2328193951</v>
      </c>
      <c r="L56" s="260">
        <f t="shared" si="42"/>
        <v>0</v>
      </c>
      <c r="M56" s="260">
        <f t="shared" si="42"/>
        <v>0</v>
      </c>
      <c r="N56" s="260">
        <f t="shared" si="42"/>
        <v>13834520.822601775</v>
      </c>
      <c r="O56" s="260">
        <f t="shared" si="42"/>
        <v>0</v>
      </c>
      <c r="P56" s="261">
        <f t="shared" si="42"/>
        <v>0</v>
      </c>
      <c r="Q56" s="275">
        <f t="shared" si="34"/>
        <v>17509958.05542117</v>
      </c>
    </row>
    <row r="57" spans="3:18" ht="15.75" thickBot="1" x14ac:dyDescent="0.3">
      <c r="C57" s="237">
        <v>1860</v>
      </c>
      <c r="D57" s="262">
        <f t="shared" ref="D57:I57" si="43">D23*IF(ISERROR(HLOOKUP(D$29,$D$4:$U$11,8,0)),0,(HLOOKUP(D$29,$D$4:$U$11,8,0)))</f>
        <v>1718417.0281240656</v>
      </c>
      <c r="E57" s="263">
        <f t="shared" si="43"/>
        <v>2355255.844864795</v>
      </c>
      <c r="F57" s="263">
        <f t="shared" si="43"/>
        <v>1216203.989488964</v>
      </c>
      <c r="G57" s="263">
        <f t="shared" si="43"/>
        <v>7695009.8006919073</v>
      </c>
      <c r="H57" s="263">
        <f t="shared" si="43"/>
        <v>1873186.2939376754</v>
      </c>
      <c r="I57" s="264">
        <f t="shared" si="43"/>
        <v>750781.15463462076</v>
      </c>
      <c r="J57" s="285">
        <f t="shared" si="32"/>
        <v>15608854.111742027</v>
      </c>
      <c r="K57" s="262">
        <f t="shared" ref="K57:P57" si="44">K23*IF(ISERROR(HLOOKUP(K$29,$D$4:$U$11,8,0)),0,(HLOOKUP(K$29,$D$4:$U$11,8,0)))</f>
        <v>4710287.9389583198</v>
      </c>
      <c r="L57" s="263">
        <f t="shared" si="44"/>
        <v>1048148.6793876828</v>
      </c>
      <c r="M57" s="263">
        <f t="shared" si="44"/>
        <v>283105.42950303375</v>
      </c>
      <c r="N57" s="263">
        <f t="shared" si="44"/>
        <v>9060943.7943308093</v>
      </c>
      <c r="O57" s="263">
        <f t="shared" si="44"/>
        <v>2046355.1157691332</v>
      </c>
      <c r="P57" s="264">
        <f t="shared" si="44"/>
        <v>584493.56805429468</v>
      </c>
      <c r="Q57" s="281">
        <f t="shared" si="34"/>
        <v>17733334.526003275</v>
      </c>
    </row>
    <row r="58" spans="3:18" ht="15.75" thickBot="1" x14ac:dyDescent="0.3">
      <c r="C58" s="278" t="s">
        <v>18</v>
      </c>
      <c r="D58" s="268">
        <f>SUM(D49:D57)</f>
        <v>23922740.992163938</v>
      </c>
      <c r="E58" s="268">
        <f t="shared" ref="E58:J58" si="45">SUM(E49:E57)</f>
        <v>6525067.6836947193</v>
      </c>
      <c r="F58" s="268">
        <f t="shared" si="45"/>
        <v>6482338.4890504079</v>
      </c>
      <c r="G58" s="268">
        <f t="shared" si="45"/>
        <v>93962586.841168523</v>
      </c>
      <c r="H58" s="268">
        <f t="shared" si="45"/>
        <v>23268365.205165289</v>
      </c>
      <c r="I58" s="268">
        <f>SUM(I49:I57)</f>
        <v>22912359.037841342</v>
      </c>
      <c r="J58" s="268">
        <f t="shared" si="45"/>
        <v>177073458.2490842</v>
      </c>
      <c r="K58" s="268">
        <f>SUM(K49:K57)</f>
        <v>66431393.389479607</v>
      </c>
      <c r="L58" s="268">
        <f t="shared" ref="L58:Q58" si="46">SUM(L49:L57)</f>
        <v>20358206.641676992</v>
      </c>
      <c r="M58" s="268">
        <f t="shared" si="46"/>
        <v>37735893.716379635</v>
      </c>
      <c r="N58" s="268">
        <f t="shared" si="46"/>
        <v>176644482.10978356</v>
      </c>
      <c r="O58" s="268">
        <f t="shared" si="46"/>
        <v>54872902.540059134</v>
      </c>
      <c r="P58" s="268">
        <f t="shared" si="46"/>
        <v>75828544.557918012</v>
      </c>
      <c r="Q58" s="277">
        <f t="shared" si="46"/>
        <v>431871422.95529705</v>
      </c>
      <c r="R58" s="71"/>
    </row>
    <row r="59" spans="3:18" x14ac:dyDescent="0.2"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</row>
    <row r="60" spans="3:18" x14ac:dyDescent="0.2">
      <c r="D60" s="71"/>
      <c r="E60" s="71"/>
      <c r="F60" s="71"/>
      <c r="G60" s="71"/>
      <c r="H60" s="71"/>
      <c r="I60" s="71"/>
      <c r="J60" s="101" t="s">
        <v>335</v>
      </c>
      <c r="K60" s="100">
        <v>68270005.980149969</v>
      </c>
      <c r="L60" s="100">
        <v>20856855.156774711</v>
      </c>
      <c r="M60" s="100">
        <v>39062077.18207451</v>
      </c>
      <c r="N60" s="100">
        <v>181809939.25339997</v>
      </c>
      <c r="O60" s="100">
        <v>56336193.870795742</v>
      </c>
      <c r="P60" s="100">
        <v>78179309.608956873</v>
      </c>
      <c r="Q60" s="71"/>
    </row>
    <row r="61" spans="3:18" x14ac:dyDescent="0.2">
      <c r="J61" s="133" t="s">
        <v>297</v>
      </c>
      <c r="K61" s="100">
        <f>K60-K58</f>
        <v>1838612.5906703621</v>
      </c>
      <c r="L61" s="100">
        <f t="shared" ref="L61:P61" si="47">L60-L58</f>
        <v>498648.51509771869</v>
      </c>
      <c r="M61" s="100">
        <f t="shared" si="47"/>
        <v>1326183.4656948745</v>
      </c>
      <c r="N61" s="100">
        <f t="shared" si="47"/>
        <v>5165457.1436164081</v>
      </c>
      <c r="O61" s="100">
        <f t="shared" si="47"/>
        <v>1463291.3307366073</v>
      </c>
      <c r="P61" s="100">
        <f t="shared" si="47"/>
        <v>2350765.0510388613</v>
      </c>
    </row>
    <row r="62" spans="3:18" x14ac:dyDescent="0.2">
      <c r="J62" s="133" t="s">
        <v>298</v>
      </c>
      <c r="K62" s="78">
        <f>D58</f>
        <v>23922740.992163938</v>
      </c>
      <c r="L62" s="78">
        <f t="shared" ref="L62:P62" si="48">E58</f>
        <v>6525067.6836947193</v>
      </c>
      <c r="M62" s="78">
        <f t="shared" si="48"/>
        <v>6482338.4890504079</v>
      </c>
      <c r="N62" s="78">
        <f t="shared" si="48"/>
        <v>93962586.841168523</v>
      </c>
      <c r="O62" s="78">
        <f t="shared" si="48"/>
        <v>23268365.205165289</v>
      </c>
      <c r="P62" s="78">
        <f t="shared" si="48"/>
        <v>22912359.037841342</v>
      </c>
    </row>
    <row r="63" spans="3:18" x14ac:dyDescent="0.2">
      <c r="J63" s="67" t="s">
        <v>75</v>
      </c>
      <c r="K63" s="100">
        <f>SUM(K61:K62)</f>
        <v>25761353.5828343</v>
      </c>
      <c r="L63" s="100">
        <f t="shared" ref="L63:P63" si="49">SUM(L61:L62)</f>
        <v>7023716.198792438</v>
      </c>
      <c r="M63" s="100">
        <f t="shared" si="49"/>
        <v>7808521.9547452824</v>
      </c>
      <c r="N63" s="100">
        <f t="shared" si="49"/>
        <v>99128043.984784931</v>
      </c>
      <c r="O63" s="100">
        <f t="shared" si="49"/>
        <v>24731656.535901897</v>
      </c>
      <c r="P63" s="100">
        <f t="shared" si="49"/>
        <v>25263124.088880204</v>
      </c>
    </row>
    <row r="64" spans="3:18" ht="15" x14ac:dyDescent="0.25">
      <c r="H64" s="74"/>
      <c r="I64" s="379"/>
      <c r="J64" s="229" t="s">
        <v>350</v>
      </c>
      <c r="K64" s="378">
        <f>K63/K60</f>
        <v>0.37734511976349633</v>
      </c>
      <c r="L64" s="378">
        <f t="shared" ref="L64:P64" si="50">L63/L60</f>
        <v>0.33675816157312666</v>
      </c>
      <c r="M64" s="378">
        <f t="shared" si="50"/>
        <v>0.19990032579037026</v>
      </c>
      <c r="N64" s="378">
        <f t="shared" si="50"/>
        <v>0.5452289593839198</v>
      </c>
      <c r="O64" s="378">
        <f t="shared" si="50"/>
        <v>0.43900119686151889</v>
      </c>
      <c r="P64" s="378">
        <f t="shared" si="50"/>
        <v>0.32314335103805841</v>
      </c>
    </row>
    <row r="66" spans="11:11" x14ac:dyDescent="0.2">
      <c r="K66" s="134"/>
    </row>
  </sheetData>
  <pageMargins left="0.7" right="0.7" top="0.75" bottom="0.75" header="0.3" footer="0.3"/>
  <ignoredErrors>
    <ignoredError sqref="J49:J57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3"/>
  <sheetViews>
    <sheetView zoomScaleNormal="100" workbookViewId="0">
      <selection activeCell="D78" sqref="D78"/>
    </sheetView>
  </sheetViews>
  <sheetFormatPr defaultRowHeight="15" x14ac:dyDescent="0.25"/>
  <cols>
    <col min="2" max="2" width="54.42578125" customWidth="1"/>
    <col min="3" max="3" width="12.5703125" customWidth="1"/>
    <col min="4" max="4" width="19.5703125" customWidth="1"/>
    <col min="5" max="5" width="14" bestFit="1" customWidth="1"/>
    <col min="6" max="6" width="14.42578125" bestFit="1" customWidth="1"/>
    <col min="7" max="7" width="15.5703125" customWidth="1"/>
    <col min="8" max="8" width="23.5703125" customWidth="1"/>
    <col min="9" max="9" width="12.42578125" bestFit="1" customWidth="1"/>
    <col min="10" max="10" width="12.85546875" customWidth="1"/>
    <col min="11" max="12" width="12.140625" bestFit="1" customWidth="1"/>
    <col min="13" max="13" width="11.140625" bestFit="1" customWidth="1"/>
    <col min="14" max="14" width="12.140625" bestFit="1" customWidth="1"/>
  </cols>
  <sheetData>
    <row r="1" spans="1:11" x14ac:dyDescent="0.25">
      <c r="A1" s="37" t="s">
        <v>135</v>
      </c>
    </row>
    <row r="3" spans="1:11" ht="15.75" thickBot="1" x14ac:dyDescent="0.3">
      <c r="A3" t="s">
        <v>136</v>
      </c>
      <c r="G3" s="99"/>
      <c r="H3" s="99"/>
      <c r="I3" s="99"/>
    </row>
    <row r="4" spans="1:11" ht="15.75" thickBot="1" x14ac:dyDescent="0.3">
      <c r="I4" s="113" t="s">
        <v>216</v>
      </c>
      <c r="J4" s="114"/>
      <c r="K4" s="115"/>
    </row>
    <row r="5" spans="1:11" x14ac:dyDescent="0.25">
      <c r="A5" t="s">
        <v>240</v>
      </c>
      <c r="I5" s="103" t="s">
        <v>214</v>
      </c>
      <c r="J5" s="104"/>
      <c r="K5" s="105" t="s">
        <v>215</v>
      </c>
    </row>
    <row r="6" spans="1:11" x14ac:dyDescent="0.25">
      <c r="B6" t="s">
        <v>12</v>
      </c>
      <c r="D6" s="4">
        <v>1139301.2521073744</v>
      </c>
      <c r="I6" s="108" t="s">
        <v>189</v>
      </c>
      <c r="J6" s="109" t="s">
        <v>190</v>
      </c>
      <c r="K6" s="106" t="s">
        <v>187</v>
      </c>
    </row>
    <row r="7" spans="1:11" x14ac:dyDescent="0.25">
      <c r="B7" t="s">
        <v>13</v>
      </c>
      <c r="D7" s="4">
        <v>3398391.1822902402</v>
      </c>
      <c r="I7" s="108" t="s">
        <v>191</v>
      </c>
      <c r="J7" s="109" t="s">
        <v>192</v>
      </c>
      <c r="K7" s="106" t="s">
        <v>187</v>
      </c>
    </row>
    <row r="8" spans="1:11" x14ac:dyDescent="0.25">
      <c r="D8" s="4"/>
      <c r="I8" s="108" t="s">
        <v>193</v>
      </c>
      <c r="J8" s="109" t="s">
        <v>194</v>
      </c>
      <c r="K8" s="106" t="s">
        <v>187</v>
      </c>
    </row>
    <row r="9" spans="1:11" x14ac:dyDescent="0.25">
      <c r="B9" s="79" t="s">
        <v>137</v>
      </c>
      <c r="D9" s="30">
        <f>SUM(D6:D7)</f>
        <v>4537692.4343976146</v>
      </c>
      <c r="I9" s="108" t="s">
        <v>195</v>
      </c>
      <c r="J9" s="109" t="s">
        <v>196</v>
      </c>
      <c r="K9" s="106" t="s">
        <v>188</v>
      </c>
    </row>
    <row r="10" spans="1:11" x14ac:dyDescent="0.25">
      <c r="B10" s="79" t="s">
        <v>104</v>
      </c>
      <c r="D10" s="30">
        <v>777353.17570649902</v>
      </c>
      <c r="I10" s="108" t="s">
        <v>197</v>
      </c>
      <c r="J10" s="109" t="s">
        <v>198</v>
      </c>
      <c r="K10" s="106" t="s">
        <v>187</v>
      </c>
    </row>
    <row r="11" spans="1:11" x14ac:dyDescent="0.25">
      <c r="B11" s="79"/>
      <c r="D11" s="92">
        <f>SUM(D9:D10)</f>
        <v>5315045.6101041138</v>
      </c>
      <c r="I11" s="108" t="s">
        <v>199</v>
      </c>
      <c r="J11" s="109" t="s">
        <v>200</v>
      </c>
      <c r="K11" s="106" t="s">
        <v>187</v>
      </c>
    </row>
    <row r="12" spans="1:11" x14ac:dyDescent="0.25">
      <c r="I12" s="108" t="s">
        <v>201</v>
      </c>
      <c r="J12" s="109" t="s">
        <v>202</v>
      </c>
      <c r="K12" s="106" t="s">
        <v>188</v>
      </c>
    </row>
    <row r="13" spans="1:11" x14ac:dyDescent="0.25">
      <c r="I13" s="108" t="s">
        <v>203</v>
      </c>
      <c r="J13" s="109" t="s">
        <v>204</v>
      </c>
      <c r="K13" s="106" t="s">
        <v>188</v>
      </c>
    </row>
    <row r="14" spans="1:11" x14ac:dyDescent="0.25">
      <c r="I14" s="108" t="s">
        <v>205</v>
      </c>
      <c r="J14" s="109" t="s">
        <v>206</v>
      </c>
      <c r="K14" s="106" t="s">
        <v>188</v>
      </c>
    </row>
    <row r="15" spans="1:11" x14ac:dyDescent="0.25">
      <c r="B15" s="16"/>
      <c r="C15" s="16"/>
      <c r="D15" s="16"/>
      <c r="I15" s="108" t="s">
        <v>207</v>
      </c>
      <c r="J15" s="109" t="s">
        <v>208</v>
      </c>
      <c r="K15" s="106" t="s">
        <v>188</v>
      </c>
    </row>
    <row r="16" spans="1:11" x14ac:dyDescent="0.25">
      <c r="B16" s="16"/>
      <c r="C16" s="16"/>
      <c r="D16" s="135"/>
      <c r="I16" s="108" t="s">
        <v>209</v>
      </c>
      <c r="J16" s="109" t="s">
        <v>210</v>
      </c>
      <c r="K16" s="106" t="s">
        <v>188</v>
      </c>
    </row>
    <row r="17" spans="1:11" x14ac:dyDescent="0.25">
      <c r="B17" s="16"/>
      <c r="C17" s="16"/>
      <c r="D17" s="135">
        <v>10935.920481433976</v>
      </c>
      <c r="E17" s="29"/>
      <c r="I17" s="108" t="s">
        <v>211</v>
      </c>
      <c r="J17" s="109" t="s">
        <v>212</v>
      </c>
      <c r="K17" s="106" t="s">
        <v>188</v>
      </c>
    </row>
    <row r="18" spans="1:11" ht="15.75" thickBot="1" x14ac:dyDescent="0.3">
      <c r="B18" s="16"/>
      <c r="C18" s="16"/>
      <c r="D18" s="135">
        <v>128111.20238806115</v>
      </c>
      <c r="I18" s="110" t="s">
        <v>213</v>
      </c>
      <c r="J18" s="111"/>
      <c r="K18" s="107" t="s">
        <v>188</v>
      </c>
    </row>
    <row r="19" spans="1:11" x14ac:dyDescent="0.25">
      <c r="B19" s="16"/>
      <c r="C19" s="16"/>
      <c r="D19" s="16"/>
      <c r="H19" s="109"/>
      <c r="I19" s="109"/>
      <c r="J19" s="112"/>
    </row>
    <row r="20" spans="1:11" x14ac:dyDescent="0.25">
      <c r="A20" t="s">
        <v>230</v>
      </c>
      <c r="B20" s="16"/>
      <c r="C20" s="16"/>
      <c r="D20" s="16"/>
      <c r="K20" s="50"/>
    </row>
    <row r="21" spans="1:11" x14ac:dyDescent="0.25">
      <c r="A21" t="s">
        <v>228</v>
      </c>
      <c r="B21" s="16"/>
      <c r="C21" s="16"/>
      <c r="D21" s="16"/>
      <c r="E21" s="136" t="s">
        <v>253</v>
      </c>
      <c r="F21" s="136"/>
      <c r="G21" s="136"/>
      <c r="H21" s="137"/>
      <c r="I21" s="137"/>
      <c r="J21" s="138"/>
      <c r="K21" s="50"/>
    </row>
    <row r="22" spans="1:11" ht="33.75" x14ac:dyDescent="0.25">
      <c r="B22" s="80" t="s">
        <v>20</v>
      </c>
      <c r="C22" s="80" t="s">
        <v>19</v>
      </c>
      <c r="D22" s="82" t="s">
        <v>217</v>
      </c>
      <c r="E22" s="86" t="s">
        <v>275</v>
      </c>
      <c r="F22" s="86" t="s">
        <v>276</v>
      </c>
      <c r="G22" s="86" t="s">
        <v>277</v>
      </c>
      <c r="H22" s="86" t="s">
        <v>278</v>
      </c>
      <c r="I22" s="86" t="s">
        <v>279</v>
      </c>
      <c r="J22" s="86">
        <v>0</v>
      </c>
    </row>
    <row r="23" spans="1:11" x14ac:dyDescent="0.25">
      <c r="B23" s="87" t="s">
        <v>155</v>
      </c>
      <c r="C23" s="81">
        <v>5020</v>
      </c>
      <c r="D23" s="30">
        <v>5700469.6978466753</v>
      </c>
      <c r="E23" s="4">
        <v>139047.12286949513</v>
      </c>
      <c r="F23" s="4">
        <v>36983.178711882741</v>
      </c>
      <c r="G23" s="4">
        <v>78866.571870812695</v>
      </c>
      <c r="H23" s="4">
        <v>30331.061826331665</v>
      </c>
      <c r="I23" s="4">
        <v>42821.502606501701</v>
      </c>
      <c r="J23" s="4">
        <v>3962373.1001539044</v>
      </c>
    </row>
    <row r="24" spans="1:11" x14ac:dyDescent="0.25">
      <c r="B24" s="87" t="s">
        <v>156</v>
      </c>
      <c r="C24" s="81">
        <v>5025</v>
      </c>
      <c r="D24" s="30">
        <v>277167.17579583888</v>
      </c>
      <c r="E24" s="4">
        <v>6760.7233072097515</v>
      </c>
      <c r="F24" s="4">
        <v>1798.189226301371</v>
      </c>
      <c r="G24" s="4">
        <v>3834.6357666614581</v>
      </c>
      <c r="H24" s="4">
        <v>1474.7512382126934</v>
      </c>
      <c r="I24" s="4">
        <v>2082.0591231739331</v>
      </c>
      <c r="J24" s="4">
        <v>192657.76678611492</v>
      </c>
    </row>
    <row r="25" spans="1:11" x14ac:dyDescent="0.25">
      <c r="B25" s="87" t="s">
        <v>157</v>
      </c>
      <c r="C25" s="81">
        <v>5040</v>
      </c>
      <c r="D25" s="30">
        <v>985467.51784685673</v>
      </c>
      <c r="E25" s="4">
        <v>23930.222358786927</v>
      </c>
      <c r="F25" s="4">
        <v>7593.0213883778742</v>
      </c>
      <c r="G25" s="4">
        <v>11384.623765869759</v>
      </c>
      <c r="H25" s="4">
        <v>4880.2157307941743</v>
      </c>
      <c r="I25" s="4">
        <v>9841.1728469447353</v>
      </c>
      <c r="J25" s="4">
        <v>684955.5511391192</v>
      </c>
    </row>
    <row r="26" spans="1:11" x14ac:dyDescent="0.25">
      <c r="B26" s="87" t="s">
        <v>158</v>
      </c>
      <c r="C26" s="81">
        <v>5045</v>
      </c>
      <c r="D26" s="30">
        <v>92387.579798142862</v>
      </c>
      <c r="E26" s="4">
        <v>2243.4583461362745</v>
      </c>
      <c r="F26" s="4">
        <v>711.84575516042571</v>
      </c>
      <c r="G26" s="4">
        <v>1067.30847805029</v>
      </c>
      <c r="H26" s="4">
        <v>457.52022476195384</v>
      </c>
      <c r="I26" s="4">
        <v>922.60995440106888</v>
      </c>
      <c r="J26" s="4">
        <v>64214.582919292428</v>
      </c>
    </row>
    <row r="27" spans="1:11" x14ac:dyDescent="0.25">
      <c r="B27" s="87" t="s">
        <v>159</v>
      </c>
      <c r="C27" s="81">
        <v>5065</v>
      </c>
      <c r="D27" s="30">
        <v>3949499.5420183069</v>
      </c>
      <c r="E27" s="4">
        <v>230114.08986454413</v>
      </c>
      <c r="F27" s="4">
        <v>50958.162683660921</v>
      </c>
      <c r="G27" s="4">
        <v>14766.203306314164</v>
      </c>
      <c r="H27" s="4">
        <v>0</v>
      </c>
      <c r="I27" s="4">
        <v>0</v>
      </c>
      <c r="J27" s="4">
        <v>8831360.2225079406</v>
      </c>
    </row>
    <row r="28" spans="1:11" x14ac:dyDescent="0.25">
      <c r="B28" s="87" t="s">
        <v>160</v>
      </c>
      <c r="C28" s="81">
        <v>5070</v>
      </c>
      <c r="D28" s="30">
        <v>8788598.8380259555</v>
      </c>
      <c r="E28" s="4">
        <v>628784.7268577019</v>
      </c>
      <c r="F28" s="4">
        <v>68099.614492406967</v>
      </c>
      <c r="G28" s="4">
        <v>4888.9323697728196</v>
      </c>
      <c r="H28" s="4">
        <v>0</v>
      </c>
      <c r="I28" s="4">
        <v>0</v>
      </c>
      <c r="J28" s="4">
        <v>19447789.428606298</v>
      </c>
    </row>
    <row r="29" spans="1:11" x14ac:dyDescent="0.25">
      <c r="B29" s="87" t="s">
        <v>161</v>
      </c>
      <c r="C29" s="81">
        <v>5075</v>
      </c>
      <c r="D29" s="30">
        <v>1414102.0255928389</v>
      </c>
      <c r="E29" s="4">
        <v>101172.64108860331</v>
      </c>
      <c r="F29" s="4">
        <v>10957.355611583978</v>
      </c>
      <c r="G29" s="4">
        <v>786.63838166892606</v>
      </c>
      <c r="H29" s="4">
        <v>0</v>
      </c>
      <c r="I29" s="4">
        <v>0</v>
      </c>
      <c r="J29" s="4">
        <v>3129185.770239607</v>
      </c>
    </row>
    <row r="30" spans="1:11" x14ac:dyDescent="0.25">
      <c r="B30" s="87" t="s">
        <v>138</v>
      </c>
      <c r="C30" s="81">
        <v>5120</v>
      </c>
      <c r="D30" s="30">
        <v>12803386.851447262</v>
      </c>
      <c r="E30" s="4">
        <v>285110.44211566058</v>
      </c>
      <c r="F30" s="4">
        <v>77019.883174846822</v>
      </c>
      <c r="G30" s="4">
        <v>184187.47816669921</v>
      </c>
      <c r="H30" s="4">
        <v>70807.81871629988</v>
      </c>
      <c r="I30" s="4">
        <v>90228.521832142345</v>
      </c>
      <c r="J30" s="4">
        <v>8028928.4439221891</v>
      </c>
    </row>
    <row r="31" spans="1:11" x14ac:dyDescent="0.25">
      <c r="B31" s="87" t="s">
        <v>139</v>
      </c>
      <c r="C31" s="81">
        <v>5125</v>
      </c>
      <c r="D31" s="30">
        <v>21553999.687254265</v>
      </c>
      <c r="E31" s="4">
        <v>524591.64284731774</v>
      </c>
      <c r="F31" s="4">
        <v>155268.15864370426</v>
      </c>
      <c r="G31" s="4">
        <v>289944.45326025039</v>
      </c>
      <c r="H31" s="4">
        <v>111893.61533495174</v>
      </c>
      <c r="I31" s="4">
        <v>191929.24588081075</v>
      </c>
      <c r="J31" s="4">
        <v>14976287.193233738</v>
      </c>
    </row>
    <row r="32" spans="1:11" x14ac:dyDescent="0.25">
      <c r="B32" s="87" t="s">
        <v>140</v>
      </c>
      <c r="C32" s="81">
        <v>5130</v>
      </c>
      <c r="D32" s="30">
        <v>2731971.5369551661</v>
      </c>
      <c r="E32" s="4">
        <v>195460.27851616192</v>
      </c>
      <c r="F32" s="4">
        <v>0</v>
      </c>
      <c r="G32" s="4">
        <v>0</v>
      </c>
      <c r="H32" s="4">
        <v>0</v>
      </c>
      <c r="I32" s="4">
        <v>0</v>
      </c>
      <c r="J32" s="4">
        <v>7711953.3609225638</v>
      </c>
    </row>
    <row r="33" spans="1:11" x14ac:dyDescent="0.25">
      <c r="B33" s="87" t="s">
        <v>141</v>
      </c>
      <c r="C33" s="81">
        <v>5135</v>
      </c>
      <c r="D33" s="30">
        <v>83211445.314475089</v>
      </c>
      <c r="E33" s="4">
        <v>2029712.0542822503</v>
      </c>
      <c r="F33" s="4">
        <v>539854.41833008453</v>
      </c>
      <c r="G33" s="4">
        <v>1151238.7189510439</v>
      </c>
      <c r="H33" s="4">
        <v>442751.49702929705</v>
      </c>
      <c r="I33" s="4">
        <v>625078.16220311902</v>
      </c>
      <c r="J33" s="4">
        <v>57839934.253760166</v>
      </c>
    </row>
    <row r="34" spans="1:11" x14ac:dyDescent="0.25">
      <c r="B34" s="87" t="s">
        <v>142</v>
      </c>
      <c r="C34" s="81">
        <v>5145</v>
      </c>
      <c r="D34" s="30">
        <v>153124.40900570538</v>
      </c>
      <c r="E34" s="4">
        <v>355.43025539950651</v>
      </c>
      <c r="F34" s="4">
        <v>1034.755735131256</v>
      </c>
      <c r="G34" s="4">
        <v>2233.5252733271459</v>
      </c>
      <c r="H34" s="4">
        <v>972.14259874369759</v>
      </c>
      <c r="I34" s="4">
        <v>1960.3689414274913</v>
      </c>
      <c r="J34" s="4">
        <v>0</v>
      </c>
    </row>
    <row r="35" spans="1:11" x14ac:dyDescent="0.25">
      <c r="B35" s="87" t="s">
        <v>143</v>
      </c>
      <c r="C35" s="81">
        <v>5150</v>
      </c>
      <c r="D35" s="30">
        <v>832276.08286203991</v>
      </c>
      <c r="E35" s="4">
        <v>20210.25692485975</v>
      </c>
      <c r="F35" s="4">
        <v>6412.6822891273468</v>
      </c>
      <c r="G35" s="4">
        <v>9614.8781173613716</v>
      </c>
      <c r="H35" s="4">
        <v>4121.5836731193767</v>
      </c>
      <c r="I35" s="4">
        <v>8311.3574415105813</v>
      </c>
      <c r="J35" s="4">
        <v>578478.85669760429</v>
      </c>
    </row>
    <row r="36" spans="1:11" x14ac:dyDescent="0.25">
      <c r="B36" s="87" t="s">
        <v>144</v>
      </c>
      <c r="C36" s="81">
        <v>5155</v>
      </c>
      <c r="D36" s="30">
        <v>2322175.8064118917</v>
      </c>
      <c r="E36" s="4">
        <v>166141.23673873764</v>
      </c>
      <c r="F36" s="4">
        <v>0</v>
      </c>
      <c r="G36" s="4">
        <v>0</v>
      </c>
      <c r="H36" s="4">
        <v>0</v>
      </c>
      <c r="I36" s="4">
        <v>0</v>
      </c>
      <c r="J36" s="4">
        <v>6555160.3567841798</v>
      </c>
    </row>
    <row r="37" spans="1:11" x14ac:dyDescent="0.25">
      <c r="B37" s="87" t="s">
        <v>145</v>
      </c>
      <c r="C37" s="81">
        <v>5160</v>
      </c>
      <c r="D37" s="30">
        <v>1627183.5750413178</v>
      </c>
      <c r="E37" s="4">
        <v>59047.035584151032</v>
      </c>
      <c r="F37" s="4">
        <v>23437.383731488488</v>
      </c>
      <c r="G37" s="4">
        <v>322.64377194479329</v>
      </c>
      <c r="H37" s="4">
        <v>20439.797097741164</v>
      </c>
      <c r="I37" s="4">
        <v>42594.360162214311</v>
      </c>
      <c r="J37" s="4">
        <v>1569799.3835815201</v>
      </c>
    </row>
    <row r="38" spans="1:11" x14ac:dyDescent="0.25">
      <c r="B38" s="87" t="s">
        <v>146</v>
      </c>
      <c r="C38" s="81">
        <v>5175</v>
      </c>
      <c r="D38" s="30">
        <v>2576862.1960577969</v>
      </c>
      <c r="E38" s="4">
        <v>150138.59164778245</v>
      </c>
      <c r="F38" s="4">
        <v>33247.798006575962</v>
      </c>
      <c r="G38" s="4">
        <v>9634.251295519769</v>
      </c>
      <c r="H38" s="4">
        <v>0</v>
      </c>
      <c r="I38" s="4">
        <v>0</v>
      </c>
      <c r="J38" s="4">
        <v>5762046.0655933404</v>
      </c>
    </row>
    <row r="39" spans="1:11" x14ac:dyDescent="0.25">
      <c r="B39" s="16"/>
      <c r="C39" s="16"/>
      <c r="D39" s="83">
        <f>SUM(D23:D38)</f>
        <v>149020117.83643517</v>
      </c>
      <c r="E39" s="116">
        <f>SUM(E23:E38)</f>
        <v>4562819.9536047978</v>
      </c>
      <c r="F39" s="116">
        <f t="shared" ref="F39" si="0">SUM(F23:F38)</f>
        <v>1013376.447780333</v>
      </c>
      <c r="G39" s="116">
        <f t="shared" ref="G39" si="1">SUM(G23:G38)</f>
        <v>1762770.8627752967</v>
      </c>
      <c r="H39" s="116">
        <f t="shared" ref="H39" si="2">SUM(H23:H38)</f>
        <v>688130.00347025343</v>
      </c>
      <c r="I39" s="116">
        <f t="shared" ref="I39" si="3">SUM(I23:I38)</f>
        <v>1015769.3609922457</v>
      </c>
      <c r="J39" s="116">
        <f t="shared" ref="J39" si="4">SUM(J23:J38)</f>
        <v>139335124.33684757</v>
      </c>
    </row>
    <row r="41" spans="1:11" ht="30" x14ac:dyDescent="0.25">
      <c r="B41" s="5" t="s">
        <v>237</v>
      </c>
      <c r="D41" s="29">
        <v>418180354.752518</v>
      </c>
      <c r="E41" s="29">
        <v>651044.84420312382</v>
      </c>
      <c r="F41" s="29">
        <v>968087.56928190996</v>
      </c>
      <c r="G41" s="29">
        <v>9342514.178455241</v>
      </c>
      <c r="H41" s="29">
        <v>1803808.986863696</v>
      </c>
      <c r="I41" s="29">
        <v>1837634.2576592269</v>
      </c>
      <c r="J41" s="29">
        <v>418180354.752518</v>
      </c>
    </row>
    <row r="42" spans="1:11" x14ac:dyDescent="0.25">
      <c r="B42" t="s">
        <v>224</v>
      </c>
      <c r="D42" s="89">
        <f>D39/D41</f>
        <v>0.35635370275733375</v>
      </c>
      <c r="E42" s="89">
        <f t="shared" ref="E42:J42" si="5">E39/E41</f>
        <v>7.0084572425877525</v>
      </c>
      <c r="F42" s="89">
        <f t="shared" si="5"/>
        <v>1.0467817994316533</v>
      </c>
      <c r="G42" s="89">
        <f t="shared" si="5"/>
        <v>0.18868270672153969</v>
      </c>
      <c r="H42" s="89">
        <f t="shared" si="5"/>
        <v>0.38148717989631109</v>
      </c>
      <c r="I42" s="89">
        <f t="shared" si="5"/>
        <v>0.55275926466789416</v>
      </c>
      <c r="J42" s="89">
        <f t="shared" si="5"/>
        <v>0.33319385464510176</v>
      </c>
    </row>
    <row r="44" spans="1:11" x14ac:dyDescent="0.25">
      <c r="A44" t="s">
        <v>227</v>
      </c>
      <c r="B44" s="16"/>
      <c r="C44" s="16"/>
      <c r="D44" s="16"/>
      <c r="H44" s="109"/>
      <c r="I44" s="109"/>
      <c r="J44" s="112"/>
      <c r="K44" s="50"/>
    </row>
    <row r="45" spans="1:11" ht="33.75" x14ac:dyDescent="0.25">
      <c r="B45" s="80" t="s">
        <v>20</v>
      </c>
      <c r="C45" s="80" t="s">
        <v>19</v>
      </c>
      <c r="D45" s="82" t="s">
        <v>217</v>
      </c>
      <c r="E45" s="86" t="s">
        <v>275</v>
      </c>
      <c r="F45" s="86" t="s">
        <v>276</v>
      </c>
      <c r="G45" s="86" t="s">
        <v>277</v>
      </c>
      <c r="H45" s="86" t="s">
        <v>278</v>
      </c>
      <c r="I45" s="86" t="s">
        <v>279</v>
      </c>
      <c r="J45" s="86">
        <v>0</v>
      </c>
    </row>
    <row r="46" spans="1:11" x14ac:dyDescent="0.25">
      <c r="B46" s="87" t="s">
        <v>155</v>
      </c>
      <c r="C46" s="81">
        <v>5020</v>
      </c>
      <c r="D46" s="30">
        <v>9085542.8893007282</v>
      </c>
      <c r="E46" s="4">
        <v>15470.471250810999</v>
      </c>
      <c r="F46" s="4">
        <v>23574.675262958073</v>
      </c>
      <c r="G46" s="4">
        <v>206295.70396231758</v>
      </c>
      <c r="H46" s="4">
        <v>44205.959103790607</v>
      </c>
      <c r="I46" s="4">
        <v>43503.572903057975</v>
      </c>
      <c r="J46" s="4">
        <v>9085542.8893007301</v>
      </c>
    </row>
    <row r="47" spans="1:11" x14ac:dyDescent="0.25">
      <c r="B47" s="87" t="s">
        <v>156</v>
      </c>
      <c r="C47" s="81">
        <v>5025</v>
      </c>
      <c r="D47" s="30">
        <v>441755.5739574742</v>
      </c>
      <c r="E47" s="4">
        <v>752.20237140068252</v>
      </c>
      <c r="F47" s="4">
        <v>1146.2434692717243</v>
      </c>
      <c r="G47" s="4">
        <v>10030.471290400657</v>
      </c>
      <c r="H47" s="4">
        <v>2149.3739090959975</v>
      </c>
      <c r="I47" s="4">
        <v>2115.2226180807029</v>
      </c>
      <c r="J47" s="4">
        <v>441755.5739574742</v>
      </c>
    </row>
    <row r="48" spans="1:11" x14ac:dyDescent="0.25">
      <c r="B48" s="87" t="s">
        <v>157</v>
      </c>
      <c r="C48" s="81">
        <v>5040</v>
      </c>
      <c r="D48" s="30">
        <v>1570686.4851821307</v>
      </c>
      <c r="E48" s="4">
        <v>2568.1468101428536</v>
      </c>
      <c r="F48" s="4">
        <v>5312.2791055973785</v>
      </c>
      <c r="G48" s="4">
        <v>33358.375041594205</v>
      </c>
      <c r="H48" s="4">
        <v>7278.6995866712041</v>
      </c>
      <c r="I48" s="4">
        <v>10013.362152989665</v>
      </c>
      <c r="J48" s="4">
        <v>1570686.4851821312</v>
      </c>
    </row>
    <row r="49" spans="2:10" x14ac:dyDescent="0.25">
      <c r="B49" s="87" t="s">
        <v>158</v>
      </c>
      <c r="C49" s="81">
        <v>5045</v>
      </c>
      <c r="D49" s="30">
        <v>147251.85798582475</v>
      </c>
      <c r="E49" s="4">
        <v>240.7637634508925</v>
      </c>
      <c r="F49" s="4">
        <v>498.0261661497542</v>
      </c>
      <c r="G49" s="4">
        <v>3127.3476601494567</v>
      </c>
      <c r="H49" s="4">
        <v>682.37808625042533</v>
      </c>
      <c r="I49" s="4">
        <v>938.75270184278099</v>
      </c>
      <c r="J49" s="4">
        <v>147251.85798582478</v>
      </c>
    </row>
    <row r="50" spans="2:10" x14ac:dyDescent="0.25">
      <c r="B50" s="87" t="s">
        <v>159</v>
      </c>
      <c r="C50" s="81">
        <v>5065</v>
      </c>
      <c r="D50" s="30">
        <v>11562101.457821086</v>
      </c>
      <c r="E50" s="4">
        <v>26193.928992851765</v>
      </c>
      <c r="F50" s="4">
        <v>7136.5571685895156</v>
      </c>
      <c r="G50" s="4">
        <v>230114.08986454413</v>
      </c>
      <c r="H50" s="4">
        <v>50958.162683660921</v>
      </c>
      <c r="I50" s="4">
        <v>14766.203306314164</v>
      </c>
      <c r="J50" s="4">
        <v>11562101.457821086</v>
      </c>
    </row>
    <row r="51" spans="2:10" x14ac:dyDescent="0.25">
      <c r="B51" s="87" t="s">
        <v>160</v>
      </c>
      <c r="C51" s="81">
        <v>5070</v>
      </c>
      <c r="D51" s="30">
        <v>22889214.34559821</v>
      </c>
      <c r="E51" s="4">
        <v>22256.104179776434</v>
      </c>
      <c r="F51" s="4">
        <v>3343.0100927952853</v>
      </c>
      <c r="G51" s="4">
        <v>628784.7268577019</v>
      </c>
      <c r="H51" s="4">
        <v>68099.614492406967</v>
      </c>
      <c r="I51" s="4">
        <v>4888.9323697728196</v>
      </c>
      <c r="J51" s="4">
        <v>22889214.345598221</v>
      </c>
    </row>
    <row r="52" spans="2:10" x14ac:dyDescent="0.25">
      <c r="B52" s="87" t="s">
        <v>161</v>
      </c>
      <c r="C52" s="81">
        <v>5075</v>
      </c>
      <c r="D52" s="30">
        <v>3682917.489679087</v>
      </c>
      <c r="E52" s="4">
        <v>3581.0488773539523</v>
      </c>
      <c r="F52" s="4">
        <v>537.89658976640112</v>
      </c>
      <c r="G52" s="4">
        <v>101172.64108860331</v>
      </c>
      <c r="H52" s="4">
        <v>10957.355611583978</v>
      </c>
      <c r="I52" s="4">
        <v>786.63838166892606</v>
      </c>
      <c r="J52" s="4">
        <v>3682917.4896790884</v>
      </c>
    </row>
    <row r="53" spans="2:10" x14ac:dyDescent="0.25">
      <c r="B53" s="87" t="s">
        <v>138</v>
      </c>
      <c r="C53" s="81">
        <v>5120</v>
      </c>
      <c r="D53" s="30">
        <v>19659780.496066768</v>
      </c>
      <c r="E53" s="4">
        <v>34707.951459902215</v>
      </c>
      <c r="F53" s="4">
        <v>49696.868764655526</v>
      </c>
      <c r="G53" s="4">
        <v>442620.64659419912</v>
      </c>
      <c r="H53" s="4">
        <v>98922.424431536972</v>
      </c>
      <c r="I53" s="4">
        <v>91386.172047799686</v>
      </c>
      <c r="J53" s="4">
        <v>19659780.496066768</v>
      </c>
    </row>
    <row r="54" spans="2:10" x14ac:dyDescent="0.25">
      <c r="B54" s="87" t="s">
        <v>139</v>
      </c>
      <c r="C54" s="81">
        <v>5125</v>
      </c>
      <c r="D54" s="30">
        <v>34357029.290226847</v>
      </c>
      <c r="E54" s="4">
        <v>57518.154753094044</v>
      </c>
      <c r="F54" s="4">
        <v>105074.56177127373</v>
      </c>
      <c r="G54" s="4">
        <v>770868.82376424433</v>
      </c>
      <c r="H54" s="4">
        <v>164335.53363784225</v>
      </c>
      <c r="I54" s="4">
        <v>195217.26808652258</v>
      </c>
      <c r="J54" s="4">
        <v>34357029.290226847</v>
      </c>
    </row>
    <row r="55" spans="2:10" x14ac:dyDescent="0.25">
      <c r="B55" s="87" t="s">
        <v>140</v>
      </c>
      <c r="C55" s="81">
        <v>5130</v>
      </c>
      <c r="D55" s="30">
        <v>7959134.7555397181</v>
      </c>
      <c r="E55" s="4">
        <v>0</v>
      </c>
      <c r="F55" s="4">
        <v>0</v>
      </c>
      <c r="G55" s="4">
        <v>195460.27851616192</v>
      </c>
      <c r="H55" s="4">
        <v>0</v>
      </c>
      <c r="I55" s="4">
        <v>0</v>
      </c>
      <c r="J55" s="4">
        <v>7959134.7555397181</v>
      </c>
    </row>
    <row r="56" spans="2:10" x14ac:dyDescent="0.25">
      <c r="B56" s="87" t="s">
        <v>141</v>
      </c>
      <c r="C56" s="81">
        <v>5135</v>
      </c>
      <c r="D56" s="30">
        <v>132624361.73828779</v>
      </c>
      <c r="E56" s="4">
        <v>225827.05298166876</v>
      </c>
      <c r="F56" s="4">
        <v>344126.5203446587</v>
      </c>
      <c r="G56" s="4">
        <v>3011359.5192613634</v>
      </c>
      <c r="H56" s="4">
        <v>645287.4839293519</v>
      </c>
      <c r="I56" s="4">
        <v>635034.54442965018</v>
      </c>
      <c r="J56" s="4">
        <v>132624361.73828782</v>
      </c>
    </row>
    <row r="57" spans="2:10" x14ac:dyDescent="0.25">
      <c r="B57" s="87" t="s">
        <v>142</v>
      </c>
      <c r="C57" s="81">
        <v>5145</v>
      </c>
      <c r="D57" s="30">
        <v>153124.40900570544</v>
      </c>
      <c r="E57" s="4">
        <v>355.43025539950651</v>
      </c>
      <c r="F57" s="4">
        <v>1034.755735131256</v>
      </c>
      <c r="G57" s="4">
        <v>2233.5252733271459</v>
      </c>
      <c r="H57" s="4">
        <v>972.14259874369759</v>
      </c>
      <c r="I57" s="4">
        <v>1960.3689414274913</v>
      </c>
      <c r="J57" s="4">
        <v>153124.40900570538</v>
      </c>
    </row>
    <row r="58" spans="2:10" x14ac:dyDescent="0.25">
      <c r="B58" s="87" t="s">
        <v>143</v>
      </c>
      <c r="C58" s="81">
        <v>5150</v>
      </c>
      <c r="D58" s="30">
        <v>1326522.4592566197</v>
      </c>
      <c r="E58" s="4">
        <v>2168.9270611682336</v>
      </c>
      <c r="F58" s="4">
        <v>4486.4825729989425</v>
      </c>
      <c r="G58" s="4">
        <v>28172.79840021611</v>
      </c>
      <c r="H58" s="4">
        <v>6147.2219739521279</v>
      </c>
      <c r="I58" s="4">
        <v>8456.7798309353711</v>
      </c>
      <c r="J58" s="4">
        <v>1326522.4592566197</v>
      </c>
    </row>
    <row r="59" spans="2:10" x14ac:dyDescent="0.25">
      <c r="B59" s="87" t="s">
        <v>144</v>
      </c>
      <c r="C59" s="81">
        <v>5155</v>
      </c>
      <c r="D59" s="30">
        <v>6765264.542208761</v>
      </c>
      <c r="E59" s="4">
        <v>0</v>
      </c>
      <c r="F59" s="4">
        <v>0</v>
      </c>
      <c r="G59" s="4">
        <v>166141.23673873764</v>
      </c>
      <c r="H59" s="4">
        <v>0</v>
      </c>
      <c r="I59" s="4">
        <v>0</v>
      </c>
      <c r="J59" s="4">
        <v>6765264.54220876</v>
      </c>
    </row>
    <row r="60" spans="2:10" x14ac:dyDescent="0.25">
      <c r="B60" s="87" t="s">
        <v>145</v>
      </c>
      <c r="C60" s="81">
        <v>5160</v>
      </c>
      <c r="D60" s="30">
        <v>2966866.5941560115</v>
      </c>
      <c r="E60" s="4">
        <v>10088.861623060955</v>
      </c>
      <c r="F60" s="4">
        <v>18150.757792586835</v>
      </c>
      <c r="G60" s="4">
        <v>50754.656731052019</v>
      </c>
      <c r="H60" s="4">
        <v>25936.706309184672</v>
      </c>
      <c r="I60" s="4">
        <v>42917.003934159104</v>
      </c>
      <c r="J60" s="4">
        <v>2966866.5941560115</v>
      </c>
    </row>
    <row r="61" spans="2:10" x14ac:dyDescent="0.25">
      <c r="B61" s="87" t="s">
        <v>146</v>
      </c>
      <c r="C61" s="81">
        <v>5175</v>
      </c>
      <c r="D61" s="30">
        <v>7543725.9421527442</v>
      </c>
      <c r="E61" s="4">
        <v>17090.303383959505</v>
      </c>
      <c r="F61" s="4">
        <v>4656.2669984121112</v>
      </c>
      <c r="G61" s="4">
        <v>150138.59164778245</v>
      </c>
      <c r="H61" s="4">
        <v>33247.798006575962</v>
      </c>
      <c r="I61" s="4">
        <v>9634.251295519769</v>
      </c>
      <c r="J61" s="4">
        <v>7543725.942152747</v>
      </c>
    </row>
    <row r="62" spans="2:10" x14ac:dyDescent="0.25">
      <c r="B62" s="16"/>
      <c r="C62" s="16"/>
      <c r="D62" s="83">
        <f>SUM(D46:D61)</f>
        <v>262735280.32642546</v>
      </c>
      <c r="E62" s="116">
        <f>SUM(E46:E61)</f>
        <v>418819.34776404081</v>
      </c>
      <c r="F62" s="116">
        <f t="shared" ref="F62:J62" si="6">SUM(F46:F61)</f>
        <v>568774.90183484519</v>
      </c>
      <c r="G62" s="116">
        <f t="shared" si="6"/>
        <v>6030633.4326923946</v>
      </c>
      <c r="H62" s="116">
        <f t="shared" si="6"/>
        <v>1159180.8543606477</v>
      </c>
      <c r="I62" s="116">
        <f t="shared" si="6"/>
        <v>1061619.0729997412</v>
      </c>
      <c r="J62" s="116">
        <f t="shared" si="6"/>
        <v>262735280.32642552</v>
      </c>
    </row>
    <row r="64" spans="2:10" x14ac:dyDescent="0.25">
      <c r="B64" t="s">
        <v>225</v>
      </c>
      <c r="C64" s="29"/>
      <c r="D64" s="29">
        <v>591203912.6184057</v>
      </c>
      <c r="E64" s="25">
        <v>930190.49417788035</v>
      </c>
      <c r="F64" s="25">
        <v>1369242.326623389</v>
      </c>
      <c r="G64" s="25">
        <v>13194122.192541206</v>
      </c>
      <c r="H64" s="25">
        <v>2575289.0071331603</v>
      </c>
      <c r="I64" s="25">
        <v>2631702.5846504173</v>
      </c>
      <c r="J64" s="25">
        <v>10645</v>
      </c>
    </row>
    <row r="65" spans="1:11" x14ac:dyDescent="0.25">
      <c r="B65" t="s">
        <v>226</v>
      </c>
      <c r="C65" s="29"/>
      <c r="D65" s="89">
        <f t="shared" ref="D65:J65" si="7">D62/D64</f>
        <v>0.4444072082723321</v>
      </c>
      <c r="E65" s="89">
        <f t="shared" si="7"/>
        <v>0.45025115864487641</v>
      </c>
      <c r="F65" s="89">
        <f t="shared" si="7"/>
        <v>0.41539389396285226</v>
      </c>
      <c r="G65" s="89">
        <f t="shared" si="7"/>
        <v>0.4570696969974693</v>
      </c>
      <c r="H65" s="89">
        <f t="shared" si="7"/>
        <v>0.45011680287140293</v>
      </c>
      <c r="I65" s="89">
        <f t="shared" si="7"/>
        <v>0.40339629530772436</v>
      </c>
      <c r="J65" s="89">
        <f t="shared" si="7"/>
        <v>24681.566963496996</v>
      </c>
    </row>
    <row r="66" spans="1:11" x14ac:dyDescent="0.25">
      <c r="C66" s="29"/>
      <c r="D66" s="29"/>
    </row>
    <row r="68" spans="1:11" x14ac:dyDescent="0.25">
      <c r="A68" t="s">
        <v>152</v>
      </c>
      <c r="B68" s="16"/>
      <c r="C68" s="16" t="s">
        <v>149</v>
      </c>
      <c r="D68" s="85" t="s">
        <v>75</v>
      </c>
      <c r="E68" s="86" t="s">
        <v>275</v>
      </c>
      <c r="F68" s="86" t="s">
        <v>276</v>
      </c>
      <c r="G68" s="86" t="s">
        <v>277</v>
      </c>
      <c r="H68" s="86" t="s">
        <v>278</v>
      </c>
      <c r="I68" s="86" t="s">
        <v>279</v>
      </c>
      <c r="J68" s="86">
        <v>0</v>
      </c>
      <c r="K68" s="16"/>
    </row>
    <row r="69" spans="1:11" x14ac:dyDescent="0.25">
      <c r="B69" s="88" t="s">
        <v>150</v>
      </c>
      <c r="C69" s="84" t="s">
        <v>147</v>
      </c>
      <c r="D69" s="25">
        <f>SUM(E69:J69)</f>
        <v>0</v>
      </c>
      <c r="E69" s="25">
        <v>0</v>
      </c>
      <c r="F69" s="25">
        <v>0</v>
      </c>
      <c r="G69" s="25">
        <v>0</v>
      </c>
      <c r="H69" s="25">
        <v>0</v>
      </c>
      <c r="I69" s="25">
        <v>0</v>
      </c>
      <c r="J69" s="25">
        <v>0</v>
      </c>
      <c r="K69" s="25"/>
    </row>
    <row r="70" spans="1:11" x14ac:dyDescent="0.25">
      <c r="B70" s="88" t="s">
        <v>151</v>
      </c>
      <c r="C70" s="84" t="s">
        <v>148</v>
      </c>
      <c r="D70" s="25">
        <f>SUM(E70:J70)</f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/>
    </row>
    <row r="71" spans="1:11" x14ac:dyDescent="0.25">
      <c r="B71" s="16"/>
      <c r="C71" s="16"/>
      <c r="D71" s="16"/>
    </row>
    <row r="72" spans="1:11" x14ac:dyDescent="0.25">
      <c r="A72" t="s">
        <v>218</v>
      </c>
    </row>
    <row r="73" spans="1:11" x14ac:dyDescent="0.25">
      <c r="C73" s="84" t="s">
        <v>147</v>
      </c>
      <c r="D73" s="29">
        <f>SUM(E73:J73)</f>
        <v>0</v>
      </c>
      <c r="E73" s="29">
        <f>E69*E$42</f>
        <v>0</v>
      </c>
      <c r="F73" s="29">
        <f t="shared" ref="F73:J73" si="8">F69*F$42</f>
        <v>0</v>
      </c>
      <c r="G73" s="29">
        <f t="shared" si="8"/>
        <v>0</v>
      </c>
      <c r="H73" s="29">
        <f t="shared" si="8"/>
        <v>0</v>
      </c>
      <c r="I73" s="29">
        <f t="shared" si="8"/>
        <v>0</v>
      </c>
      <c r="J73" s="29">
        <f t="shared" si="8"/>
        <v>0</v>
      </c>
    </row>
    <row r="74" spans="1:11" x14ac:dyDescent="0.25">
      <c r="C74" s="84" t="s">
        <v>148</v>
      </c>
      <c r="D74" s="29">
        <f>SUM(E74:J74)</f>
        <v>0</v>
      </c>
      <c r="E74" s="29">
        <f>E70*E$65</f>
        <v>0</v>
      </c>
      <c r="F74" s="29">
        <f t="shared" ref="F74:J74" si="9">F70*F$65</f>
        <v>0</v>
      </c>
      <c r="G74" s="29">
        <f t="shared" si="9"/>
        <v>0</v>
      </c>
      <c r="H74" s="29">
        <f t="shared" si="9"/>
        <v>0</v>
      </c>
      <c r="I74" s="29">
        <f t="shared" si="9"/>
        <v>0</v>
      </c>
      <c r="J74" s="29">
        <f t="shared" si="9"/>
        <v>0</v>
      </c>
    </row>
    <row r="76" spans="1:11" x14ac:dyDescent="0.25">
      <c r="D76" t="s">
        <v>153</v>
      </c>
      <c r="E76" s="91"/>
    </row>
    <row r="77" spans="1:11" x14ac:dyDescent="0.25">
      <c r="C77" s="84" t="s">
        <v>147</v>
      </c>
      <c r="D77" s="95">
        <f>SUM(E73:G73)</f>
        <v>0</v>
      </c>
      <c r="E77" s="29">
        <f t="shared" ref="E77:G78" si="10">E73</f>
        <v>0</v>
      </c>
      <c r="F77" s="29">
        <f t="shared" si="10"/>
        <v>0</v>
      </c>
      <c r="G77" s="29">
        <f t="shared" si="10"/>
        <v>0</v>
      </c>
    </row>
    <row r="78" spans="1:11" x14ac:dyDescent="0.25">
      <c r="C78" s="84" t="s">
        <v>148</v>
      </c>
      <c r="D78" s="98">
        <f>SUM(E74:G74)</f>
        <v>0</v>
      </c>
      <c r="E78" s="29">
        <f t="shared" si="10"/>
        <v>0</v>
      </c>
      <c r="F78" s="29">
        <f t="shared" si="10"/>
        <v>0</v>
      </c>
      <c r="G78" s="29">
        <f t="shared" si="10"/>
        <v>0</v>
      </c>
    </row>
    <row r="79" spans="1:11" x14ac:dyDescent="0.25">
      <c r="C79" s="84"/>
      <c r="D79" s="25"/>
    </row>
    <row r="80" spans="1:11" x14ac:dyDescent="0.25">
      <c r="C80" s="84"/>
      <c r="D80" t="s">
        <v>154</v>
      </c>
      <c r="E80" s="25"/>
      <c r="F80" s="25"/>
    </row>
    <row r="81" spans="1:15" x14ac:dyDescent="0.25">
      <c r="C81" s="84" t="s">
        <v>147</v>
      </c>
      <c r="D81" s="95">
        <f>SUM(H73:J73)</f>
        <v>0</v>
      </c>
      <c r="E81" s="25">
        <f t="shared" ref="E81:G82" si="11">H73</f>
        <v>0</v>
      </c>
      <c r="F81" s="25">
        <f t="shared" si="11"/>
        <v>0</v>
      </c>
      <c r="G81" s="25">
        <f t="shared" si="11"/>
        <v>0</v>
      </c>
    </row>
    <row r="82" spans="1:15" x14ac:dyDescent="0.25">
      <c r="C82" s="84" t="s">
        <v>148</v>
      </c>
      <c r="D82" s="98">
        <f>SUM(H74:J74)</f>
        <v>0</v>
      </c>
      <c r="E82" s="25">
        <f t="shared" si="11"/>
        <v>0</v>
      </c>
      <c r="F82" s="25">
        <f t="shared" si="11"/>
        <v>0</v>
      </c>
      <c r="G82" s="25">
        <f t="shared" si="11"/>
        <v>0</v>
      </c>
    </row>
    <row r="83" spans="1:15" x14ac:dyDescent="0.25">
      <c r="C83" s="84"/>
      <c r="D83" s="25"/>
      <c r="E83" s="25"/>
      <c r="F83" s="25"/>
    </row>
    <row r="84" spans="1:15" x14ac:dyDescent="0.25">
      <c r="A84" t="s">
        <v>104</v>
      </c>
      <c r="C84" s="84"/>
    </row>
    <row r="85" spans="1:15" x14ac:dyDescent="0.25">
      <c r="B85" t="s">
        <v>162</v>
      </c>
      <c r="C85" s="84" t="s">
        <v>149</v>
      </c>
      <c r="D85" t="s">
        <v>75</v>
      </c>
      <c r="E85" t="s">
        <v>80</v>
      </c>
      <c r="F85" t="s">
        <v>81</v>
      </c>
      <c r="G85" t="s">
        <v>82</v>
      </c>
      <c r="H85" t="s">
        <v>83</v>
      </c>
      <c r="I85" t="s">
        <v>84</v>
      </c>
      <c r="J85" t="s">
        <v>85</v>
      </c>
      <c r="K85" t="s">
        <v>86</v>
      </c>
      <c r="L85" t="s">
        <v>87</v>
      </c>
      <c r="M85" t="s">
        <v>88</v>
      </c>
    </row>
    <row r="86" spans="1:15" x14ac:dyDescent="0.25">
      <c r="B86" t="s">
        <v>164</v>
      </c>
      <c r="C86" t="s">
        <v>147</v>
      </c>
      <c r="D86" s="90">
        <v>1</v>
      </c>
      <c r="E86" s="90">
        <v>0.6321533052572319</v>
      </c>
      <c r="F86" s="90">
        <v>0.13385820385001362</v>
      </c>
      <c r="G86" s="90">
        <v>0.13681550065345985</v>
      </c>
      <c r="H86" s="90">
        <v>0</v>
      </c>
      <c r="I86" s="90">
        <v>5.2510200883137341E-2</v>
      </c>
      <c r="J86" s="90">
        <v>0</v>
      </c>
      <c r="K86" s="90">
        <v>4.1717282301161354E-2</v>
      </c>
      <c r="L86" s="90">
        <v>0</v>
      </c>
      <c r="M86" s="90">
        <v>2.9455070549960698E-3</v>
      </c>
      <c r="N86" s="90"/>
      <c r="O86" s="90"/>
    </row>
    <row r="87" spans="1:15" x14ac:dyDescent="0.25">
      <c r="B87" s="3" t="s">
        <v>163</v>
      </c>
      <c r="C87" t="s">
        <v>147</v>
      </c>
      <c r="D87" s="4">
        <v>2191463.4121384453</v>
      </c>
      <c r="E87" s="4">
        <v>1385340.8393336097</v>
      </c>
      <c r="F87" s="4">
        <v>293345.35615187441</v>
      </c>
      <c r="G87" s="4">
        <v>299826.16389546084</v>
      </c>
      <c r="H87" s="4">
        <v>0</v>
      </c>
      <c r="I87" s="4">
        <v>115074.18399943536</v>
      </c>
      <c r="J87" s="4">
        <v>0</v>
      </c>
      <c r="K87" s="4">
        <v>91421.897816845842</v>
      </c>
      <c r="L87" s="4">
        <v>0</v>
      </c>
      <c r="M87" s="4">
        <v>6454.9709412195507</v>
      </c>
      <c r="N87" s="6"/>
    </row>
    <row r="88" spans="1:15" x14ac:dyDescent="0.25">
      <c r="B88" t="s">
        <v>169</v>
      </c>
      <c r="C88" t="s">
        <v>170</v>
      </c>
      <c r="D88" s="4">
        <v>4169207.1331068384</v>
      </c>
      <c r="E88" s="4">
        <v>2627286.5116613032</v>
      </c>
      <c r="F88" s="4">
        <v>560751.05598874041</v>
      </c>
      <c r="G88" s="4">
        <v>572009.1715390227</v>
      </c>
      <c r="H88" s="4">
        <v>0</v>
      </c>
      <c r="I88" s="4">
        <v>220591.48981154599</v>
      </c>
      <c r="J88" s="4">
        <v>0</v>
      </c>
      <c r="K88" s="4">
        <v>176245.21824803465</v>
      </c>
      <c r="L88" s="4">
        <v>0</v>
      </c>
      <c r="M88" s="4">
        <v>12323.685858191828</v>
      </c>
      <c r="N88" s="4"/>
    </row>
    <row r="89" spans="1:15" x14ac:dyDescent="0.25">
      <c r="B89" t="s">
        <v>171</v>
      </c>
      <c r="C89" s="84" t="s">
        <v>147</v>
      </c>
      <c r="D89" s="89">
        <f>SUM(E87:G87)/D87</f>
        <v>0.9028270097607054</v>
      </c>
      <c r="E89" s="89">
        <f t="shared" ref="E89:G90" si="12">E87/$D87</f>
        <v>0.6321533052572319</v>
      </c>
      <c r="F89" s="89">
        <f t="shared" si="12"/>
        <v>0.13385820385001362</v>
      </c>
      <c r="G89" s="89">
        <f t="shared" si="12"/>
        <v>0.13681550065345985</v>
      </c>
      <c r="H89" s="89"/>
      <c r="I89" s="89"/>
      <c r="J89" s="89"/>
      <c r="K89" s="89"/>
      <c r="L89" s="89"/>
      <c r="M89" s="89"/>
      <c r="N89" s="4"/>
    </row>
    <row r="90" spans="1:15" x14ac:dyDescent="0.25">
      <c r="B90" t="s">
        <v>172</v>
      </c>
      <c r="C90" s="84" t="s">
        <v>148</v>
      </c>
      <c r="D90" s="89">
        <f>SUM(E88:G88)/D88</f>
        <v>0.9018613417719854</v>
      </c>
      <c r="E90" s="89">
        <f t="shared" si="12"/>
        <v>0.63016454394854782</v>
      </c>
      <c r="F90" s="89">
        <f t="shared" si="12"/>
        <v>0.13449824824867265</v>
      </c>
      <c r="G90" s="89">
        <f t="shared" si="12"/>
        <v>0.13719854957476507</v>
      </c>
      <c r="H90" s="89"/>
      <c r="I90" s="89"/>
      <c r="J90" s="89"/>
      <c r="K90" s="89"/>
      <c r="L90" s="89"/>
      <c r="M90" s="89"/>
      <c r="N90" s="4"/>
    </row>
    <row r="91" spans="1:15" x14ac:dyDescent="0.25"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</row>
    <row r="92" spans="1:15" x14ac:dyDescent="0.25"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</row>
    <row r="93" spans="1:15" x14ac:dyDescent="0.25">
      <c r="A93" t="s">
        <v>154</v>
      </c>
    </row>
    <row r="94" spans="1:15" x14ac:dyDescent="0.25">
      <c r="B94" t="s">
        <v>12</v>
      </c>
    </row>
    <row r="95" spans="1:15" x14ac:dyDescent="0.25">
      <c r="B95" t="s">
        <v>162</v>
      </c>
      <c r="C95" s="84" t="s">
        <v>149</v>
      </c>
      <c r="D95" t="s">
        <v>75</v>
      </c>
      <c r="E95" t="s">
        <v>80</v>
      </c>
      <c r="F95" t="s">
        <v>81</v>
      </c>
      <c r="G95" t="s">
        <v>99</v>
      </c>
      <c r="H95" t="s">
        <v>83</v>
      </c>
      <c r="I95" t="s">
        <v>95</v>
      </c>
      <c r="J95" t="s">
        <v>96</v>
      </c>
      <c r="K95" t="s">
        <v>100</v>
      </c>
      <c r="L95" t="s">
        <v>87</v>
      </c>
      <c r="M95" t="s">
        <v>88</v>
      </c>
      <c r="N95" t="s">
        <v>101</v>
      </c>
    </row>
    <row r="96" spans="1:15" x14ac:dyDescent="0.25">
      <c r="B96" t="s">
        <v>164</v>
      </c>
      <c r="C96" t="s">
        <v>147</v>
      </c>
      <c r="D96" s="90">
        <v>0.99999999999999989</v>
      </c>
      <c r="E96" s="90">
        <v>0.67984370511962466</v>
      </c>
      <c r="F96" s="90">
        <v>0.15416147091816854</v>
      </c>
      <c r="G96" s="90">
        <v>0.14623556787688355</v>
      </c>
      <c r="H96" s="90">
        <v>0</v>
      </c>
      <c r="I96" s="90">
        <v>0</v>
      </c>
      <c r="J96" s="90">
        <v>0</v>
      </c>
      <c r="K96" s="90">
        <v>1.3947197686309276E-2</v>
      </c>
      <c r="L96" s="90">
        <v>4.1469834334982277E-3</v>
      </c>
      <c r="M96" s="90">
        <v>1.4838570997778406E-3</v>
      </c>
      <c r="N96" s="90">
        <v>1.8121786573789135E-4</v>
      </c>
    </row>
    <row r="97" spans="2:14" x14ac:dyDescent="0.25">
      <c r="B97" s="3" t="s">
        <v>163</v>
      </c>
      <c r="C97" t="s">
        <v>147</v>
      </c>
      <c r="D97" s="4">
        <v>3735260.1999999993</v>
      </c>
      <c r="E97" s="4">
        <v>2543562.6543517653</v>
      </c>
      <c r="F97" s="4">
        <v>574840.48492221115</v>
      </c>
      <c r="G97" s="4">
        <v>543271.39715560596</v>
      </c>
      <c r="H97" s="4">
        <v>0</v>
      </c>
      <c r="I97" s="4">
        <v>0</v>
      </c>
      <c r="J97" s="4">
        <v>0</v>
      </c>
      <c r="K97" s="4">
        <v>51895.520998691667</v>
      </c>
      <c r="L97" s="4">
        <v>15462.313041528256</v>
      </c>
      <c r="M97" s="4">
        <v>5543.8449519044316</v>
      </c>
      <c r="N97" s="4">
        <v>683.98457829301014</v>
      </c>
    </row>
    <row r="98" spans="2:14" x14ac:dyDescent="0.25">
      <c r="B98" t="s">
        <v>167</v>
      </c>
      <c r="C98" t="s">
        <v>168</v>
      </c>
      <c r="D98" s="4">
        <v>5615686.940497444</v>
      </c>
      <c r="E98" s="4">
        <v>3817789.4164196714</v>
      </c>
      <c r="F98" s="4">
        <v>865722.55896303558</v>
      </c>
      <c r="G98" s="4">
        <v>821213.16876244242</v>
      </c>
      <c r="H98" s="4">
        <v>0</v>
      </c>
      <c r="I98" s="4">
        <v>0</v>
      </c>
      <c r="J98" s="4">
        <v>0</v>
      </c>
      <c r="K98" s="4">
        <v>78323.095903543173</v>
      </c>
      <c r="L98" s="4">
        <v>23288.160709955249</v>
      </c>
      <c r="M98" s="4">
        <v>8332.8769367868317</v>
      </c>
      <c r="N98" s="4">
        <v>1017.6628020090957</v>
      </c>
    </row>
    <row r="99" spans="2:14" x14ac:dyDescent="0.25">
      <c r="B99" t="s">
        <v>173</v>
      </c>
      <c r="C99" t="s">
        <v>147</v>
      </c>
      <c r="D99" s="90">
        <f>SUM(E97:G97)/D97</f>
        <v>0.98029972220665718</v>
      </c>
      <c r="E99" s="90">
        <f t="shared" ref="E99:G100" si="13">E97/$D97</f>
        <v>0.68095996481095633</v>
      </c>
      <c r="F99" s="90">
        <f t="shared" si="13"/>
        <v>0.15389570047147219</v>
      </c>
      <c r="G99" s="90">
        <f t="shared" si="13"/>
        <v>0.14544405692422874</v>
      </c>
      <c r="H99" s="4"/>
      <c r="I99" s="4"/>
      <c r="J99" s="4"/>
      <c r="K99" s="4"/>
      <c r="L99" s="4"/>
      <c r="M99" s="4"/>
      <c r="N99" s="4"/>
    </row>
    <row r="100" spans="2:14" x14ac:dyDescent="0.25">
      <c r="B100" t="s">
        <v>174</v>
      </c>
      <c r="C100" t="s">
        <v>148</v>
      </c>
      <c r="D100" s="90">
        <f>SUM(E98:G98)/D98</f>
        <v>0.98024074391467675</v>
      </c>
      <c r="E100" s="90">
        <f t="shared" si="13"/>
        <v>0.67984370511962466</v>
      </c>
      <c r="F100" s="90">
        <f t="shared" si="13"/>
        <v>0.15416147091816854</v>
      </c>
      <c r="G100" s="90">
        <f t="shared" si="13"/>
        <v>0.14623556787688355</v>
      </c>
      <c r="H100" s="4"/>
      <c r="I100" s="4"/>
      <c r="J100" s="4"/>
      <c r="K100" s="4"/>
      <c r="L100" s="4"/>
      <c r="M100" s="4"/>
      <c r="N100" s="4"/>
    </row>
    <row r="102" spans="2:14" x14ac:dyDescent="0.25">
      <c r="B102" t="s">
        <v>13</v>
      </c>
    </row>
    <row r="103" spans="2:14" x14ac:dyDescent="0.25">
      <c r="B103" t="s">
        <v>162</v>
      </c>
      <c r="C103" t="s">
        <v>149</v>
      </c>
      <c r="D103" t="s">
        <v>75</v>
      </c>
      <c r="E103" t="s">
        <v>80</v>
      </c>
      <c r="F103" t="s">
        <v>93</v>
      </c>
      <c r="G103" t="s">
        <v>94</v>
      </c>
      <c r="H103" t="s">
        <v>83</v>
      </c>
      <c r="I103" t="s">
        <v>95</v>
      </c>
      <c r="J103" t="s">
        <v>96</v>
      </c>
      <c r="K103" t="s">
        <v>86</v>
      </c>
      <c r="L103" t="s">
        <v>97</v>
      </c>
      <c r="M103" t="s">
        <v>88</v>
      </c>
      <c r="N103" t="s">
        <v>98</v>
      </c>
    </row>
    <row r="104" spans="2:14" x14ac:dyDescent="0.25">
      <c r="B104" t="s">
        <v>150</v>
      </c>
      <c r="C104" t="s">
        <v>147</v>
      </c>
      <c r="D104" s="90">
        <v>0.99999999999999989</v>
      </c>
      <c r="E104" s="90">
        <v>0.70115387184004829</v>
      </c>
      <c r="F104" s="90">
        <v>0.12558648308956555</v>
      </c>
      <c r="G104" s="90">
        <v>9.0721269571361021E-2</v>
      </c>
      <c r="H104" s="90">
        <v>0</v>
      </c>
      <c r="I104" s="90">
        <v>0</v>
      </c>
      <c r="J104" s="90">
        <v>0</v>
      </c>
      <c r="K104" s="90">
        <v>2.4530428010633213E-2</v>
      </c>
      <c r="L104" s="90">
        <v>1.3130569330390843E-2</v>
      </c>
      <c r="M104" s="90">
        <v>1.8072552672073884E-3</v>
      </c>
      <c r="N104" s="90">
        <v>4.3070122890793601E-2</v>
      </c>
    </row>
    <row r="105" spans="2:14" x14ac:dyDescent="0.25">
      <c r="B105" t="s">
        <v>151</v>
      </c>
      <c r="C105" t="s">
        <v>148</v>
      </c>
      <c r="D105" s="90">
        <v>1</v>
      </c>
      <c r="E105" s="90">
        <v>0.72215731173260889</v>
      </c>
      <c r="F105" s="90">
        <v>0.12948550825113075</v>
      </c>
      <c r="G105" s="90">
        <v>9.368090834939112E-2</v>
      </c>
      <c r="H105" s="90">
        <v>0</v>
      </c>
      <c r="I105" s="90">
        <v>0</v>
      </c>
      <c r="J105" s="90">
        <v>0</v>
      </c>
      <c r="K105" s="90">
        <v>2.5367255553887399E-2</v>
      </c>
      <c r="L105" s="90">
        <v>1.3515547411120009E-2</v>
      </c>
      <c r="M105" s="90">
        <v>1.8608048339925451E-3</v>
      </c>
      <c r="N105" s="90">
        <v>1.3932663867869368E-2</v>
      </c>
    </row>
    <row r="106" spans="2:14" x14ac:dyDescent="0.25">
      <c r="B106" s="3" t="s">
        <v>165</v>
      </c>
      <c r="C106" t="s">
        <v>147</v>
      </c>
      <c r="D106" s="4">
        <v>5904835.0000000009</v>
      </c>
      <c r="E106" s="4">
        <v>4140197.9228266324</v>
      </c>
      <c r="F106" s="4">
        <v>741567.46087417495</v>
      </c>
      <c r="G106" s="4">
        <v>535694.12780940766</v>
      </c>
      <c r="H106" s="4">
        <v>0</v>
      </c>
      <c r="I106" s="4">
        <v>0</v>
      </c>
      <c r="J106" s="4">
        <v>0</v>
      </c>
      <c r="K106" s="4">
        <v>144848.12988216738</v>
      </c>
      <c r="L106" s="4">
        <v>77533.845352018427</v>
      </c>
      <c r="M106" s="4">
        <v>10671.544155740541</v>
      </c>
      <c r="N106" s="4">
        <v>254321.96909985927</v>
      </c>
    </row>
    <row r="107" spans="2:14" x14ac:dyDescent="0.25">
      <c r="B107" t="s">
        <v>166</v>
      </c>
      <c r="C107" t="s">
        <v>148</v>
      </c>
      <c r="D107" s="4">
        <v>7974020.4099999992</v>
      </c>
      <c r="E107" s="4">
        <v>5758497.1429865556</v>
      </c>
      <c r="F107" s="4">
        <v>1032520.08559374</v>
      </c>
      <c r="G107" s="4">
        <v>747013.47520538408</v>
      </c>
      <c r="H107" s="4">
        <v>0</v>
      </c>
      <c r="I107" s="4">
        <v>0</v>
      </c>
      <c r="J107" s="4">
        <v>0</v>
      </c>
      <c r="K107" s="4">
        <v>202279.01353238395</v>
      </c>
      <c r="L107" s="4">
        <v>107773.2509085936</v>
      </c>
      <c r="M107" s="4">
        <v>14838.095725283216</v>
      </c>
      <c r="N107" s="4">
        <v>111099.34604805987</v>
      </c>
    </row>
    <row r="108" spans="2:14" x14ac:dyDescent="0.25">
      <c r="B108" t="s">
        <v>173</v>
      </c>
      <c r="C108" t="s">
        <v>147</v>
      </c>
      <c r="D108" s="90">
        <f>SUM(E106:G106)/D106</f>
        <v>0.91746162450097501</v>
      </c>
      <c r="E108" s="90">
        <f t="shared" ref="E108:G109" si="14">E106/$D106</f>
        <v>0.70115387184004829</v>
      </c>
      <c r="F108" s="90">
        <f t="shared" si="14"/>
        <v>0.12558648308956555</v>
      </c>
      <c r="G108" s="90">
        <f t="shared" si="14"/>
        <v>9.0721269571361021E-2</v>
      </c>
    </row>
    <row r="109" spans="2:14" x14ac:dyDescent="0.25">
      <c r="B109" t="s">
        <v>174</v>
      </c>
      <c r="C109" t="s">
        <v>148</v>
      </c>
      <c r="D109" s="90">
        <f>SUM(E107:G107)/D107</f>
        <v>0.94532372833313094</v>
      </c>
      <c r="E109" s="90">
        <f t="shared" si="14"/>
        <v>0.72215731173260889</v>
      </c>
      <c r="F109" s="90">
        <f t="shared" si="14"/>
        <v>0.12948550825113075</v>
      </c>
      <c r="G109" s="90">
        <f t="shared" si="14"/>
        <v>9.368090834939112E-2</v>
      </c>
    </row>
    <row r="111" spans="2:14" x14ac:dyDescent="0.25">
      <c r="B111" s="50" t="s">
        <v>181</v>
      </c>
      <c r="C111" s="50"/>
      <c r="D111" s="50"/>
      <c r="E111" s="50"/>
      <c r="F111" s="50"/>
      <c r="G111" s="50"/>
    </row>
    <row r="112" spans="2:14" x14ac:dyDescent="0.25">
      <c r="B112" s="50" t="s">
        <v>175</v>
      </c>
      <c r="C112" s="50" t="s">
        <v>148</v>
      </c>
      <c r="D112" s="97">
        <f>$D10*D90</f>
        <v>701064.77807337709</v>
      </c>
      <c r="E112" s="97">
        <f>$D10*E90</f>
        <v>489860.40945604129</v>
      </c>
      <c r="F112" s="97">
        <f>$D10*F90</f>
        <v>104552.64040306676</v>
      </c>
      <c r="G112" s="97">
        <f>$D10*G90</f>
        <v>106651.72821426917</v>
      </c>
    </row>
    <row r="113" spans="1:14" x14ac:dyDescent="0.25">
      <c r="B113" s="93" t="s">
        <v>176</v>
      </c>
      <c r="C113" s="93" t="s">
        <v>148</v>
      </c>
      <c r="D113" s="96">
        <f>D100*$D6</f>
        <v>1116789.5069086554</v>
      </c>
      <c r="E113" s="96">
        <f>E100*$D6</f>
        <v>774546.78448010492</v>
      </c>
      <c r="F113" s="96">
        <f>F100*$D6</f>
        <v>175636.35684378399</v>
      </c>
      <c r="G113" s="96">
        <f>G100*$D6</f>
        <v>166606.36558476635</v>
      </c>
    </row>
    <row r="114" spans="1:14" x14ac:dyDescent="0.25">
      <c r="B114" s="93" t="s">
        <v>177</v>
      </c>
      <c r="C114" s="93" t="s">
        <v>148</v>
      </c>
      <c r="D114" s="96">
        <f>D109*$D7</f>
        <v>3212579.8227770468</v>
      </c>
      <c r="E114" s="96">
        <f>E109*$D7</f>
        <v>2454173.0404185224</v>
      </c>
      <c r="F114" s="96">
        <f>F109*$D7</f>
        <v>440042.40947501292</v>
      </c>
      <c r="G114" s="96">
        <f>G109*$D7</f>
        <v>318364.37288351095</v>
      </c>
    </row>
    <row r="115" spans="1:14" x14ac:dyDescent="0.25">
      <c r="B115" s="50" t="s">
        <v>178</v>
      </c>
      <c r="C115" s="50" t="s">
        <v>148</v>
      </c>
      <c r="D115" s="97">
        <f>SUM(D113:D114)</f>
        <v>4329369.329685702</v>
      </c>
      <c r="E115" s="97">
        <f>SUM(E113:E114)</f>
        <v>3228719.8248986276</v>
      </c>
      <c r="F115" s="97">
        <f>SUM(F113:F114)</f>
        <v>615678.7663187969</v>
      </c>
      <c r="G115" s="97">
        <f>SUM(G113:G114)</f>
        <v>484970.73846827727</v>
      </c>
    </row>
    <row r="117" spans="1:14" x14ac:dyDescent="0.25">
      <c r="A117" s="62"/>
      <c r="B117" s="126" t="s">
        <v>179</v>
      </c>
      <c r="C117" s="126"/>
      <c r="D117" s="126"/>
      <c r="E117" s="126"/>
      <c r="F117" s="126"/>
      <c r="G117" s="126"/>
      <c r="H117" s="126"/>
      <c r="I117" s="126"/>
      <c r="J117" s="50"/>
      <c r="K117" s="50"/>
      <c r="L117" s="50"/>
      <c r="M117" s="50"/>
      <c r="N117" s="50"/>
    </row>
    <row r="118" spans="1:14" x14ac:dyDescent="0.25">
      <c r="A118" s="62"/>
      <c r="B118" s="126" t="s">
        <v>175</v>
      </c>
      <c r="C118" s="126"/>
      <c r="D118" s="127">
        <f>D87/D88</f>
        <v>0.52563073557475071</v>
      </c>
      <c r="E118" s="127"/>
      <c r="F118" s="127"/>
      <c r="G118" s="127"/>
      <c r="H118" s="127"/>
      <c r="I118" s="127"/>
      <c r="J118" s="94"/>
      <c r="K118" s="94"/>
      <c r="L118" s="94"/>
      <c r="M118" s="94"/>
      <c r="N118" s="94"/>
    </row>
    <row r="119" spans="1:14" x14ac:dyDescent="0.25">
      <c r="A119" s="62"/>
      <c r="B119" s="128" t="s">
        <v>176</v>
      </c>
      <c r="C119" s="126"/>
      <c r="D119" s="127">
        <f>D97/D98</f>
        <v>0.66514751259783111</v>
      </c>
      <c r="E119" s="127"/>
      <c r="F119" s="127"/>
      <c r="G119" s="127"/>
      <c r="H119" s="127"/>
      <c r="I119" s="127"/>
      <c r="J119" s="94"/>
      <c r="K119" s="94"/>
      <c r="L119" s="94"/>
      <c r="M119" s="94"/>
      <c r="N119" s="94"/>
    </row>
    <row r="120" spans="1:14" x14ac:dyDescent="0.25">
      <c r="A120" s="62"/>
      <c r="B120" s="128" t="s">
        <v>177</v>
      </c>
      <c r="C120" s="126"/>
      <c r="D120" s="127">
        <f>D106/D107</f>
        <v>0.74050914048262406</v>
      </c>
      <c r="E120" s="127"/>
      <c r="F120" s="127"/>
      <c r="G120" s="127"/>
      <c r="H120" s="127"/>
      <c r="I120" s="127"/>
      <c r="J120" s="94"/>
      <c r="K120" s="94"/>
      <c r="L120" s="94"/>
      <c r="M120" s="94"/>
      <c r="N120" s="94"/>
    </row>
    <row r="121" spans="1:14" x14ac:dyDescent="0.25">
      <c r="A121" s="62"/>
      <c r="B121" s="126" t="s">
        <v>178</v>
      </c>
      <c r="C121" s="126"/>
      <c r="D121" s="127">
        <f>SUM(D97,D106)/SUM(D98,D107)</f>
        <v>0.70936738749176442</v>
      </c>
      <c r="E121" s="127"/>
      <c r="F121" s="127"/>
      <c r="G121" s="127"/>
      <c r="H121" s="127"/>
      <c r="I121" s="127"/>
      <c r="J121" s="94"/>
      <c r="K121" s="94"/>
      <c r="L121" s="94"/>
      <c r="M121" s="94"/>
      <c r="N121" s="94"/>
    </row>
    <row r="122" spans="1:14" x14ac:dyDescent="0.25">
      <c r="A122" s="62"/>
      <c r="B122" s="126"/>
      <c r="C122" s="126"/>
      <c r="D122" s="126"/>
      <c r="E122" s="126"/>
      <c r="F122" s="126"/>
      <c r="G122" s="126"/>
      <c r="H122" s="126"/>
      <c r="I122" s="126"/>
      <c r="J122" s="50"/>
      <c r="K122" s="50"/>
      <c r="L122" s="50"/>
      <c r="M122" s="50"/>
      <c r="N122" s="50"/>
    </row>
    <row r="123" spans="1:14" x14ac:dyDescent="0.25">
      <c r="A123" s="62"/>
      <c r="B123" s="126" t="s">
        <v>180</v>
      </c>
      <c r="C123" s="126"/>
      <c r="D123" s="126"/>
      <c r="E123" s="126"/>
      <c r="F123" s="126"/>
      <c r="G123" s="126"/>
      <c r="H123" s="126"/>
      <c r="I123" s="126"/>
      <c r="J123" s="50"/>
      <c r="K123" s="50"/>
      <c r="L123" s="50"/>
      <c r="M123" s="50"/>
      <c r="N123" s="50"/>
    </row>
    <row r="124" spans="1:14" x14ac:dyDescent="0.25">
      <c r="A124" s="62"/>
      <c r="B124" s="126" t="s">
        <v>175</v>
      </c>
      <c r="C124" s="62"/>
      <c r="D124" s="63">
        <f>D118*$D10</f>
        <v>408600.7215479755</v>
      </c>
      <c r="E124" s="63"/>
      <c r="F124" s="63"/>
      <c r="G124" s="63"/>
      <c r="H124" s="63"/>
      <c r="I124" s="63"/>
      <c r="J124" s="6"/>
      <c r="K124" s="6"/>
      <c r="L124" s="6"/>
      <c r="M124" s="6"/>
      <c r="N124" s="6"/>
    </row>
    <row r="125" spans="1:14" x14ac:dyDescent="0.25">
      <c r="A125" s="62"/>
      <c r="B125" s="128" t="s">
        <v>176</v>
      </c>
      <c r="C125" s="62"/>
      <c r="D125" s="63">
        <f>D119*$D6</f>
        <v>757803.39393881452</v>
      </c>
      <c r="E125" s="63"/>
      <c r="F125" s="63"/>
      <c r="G125" s="63"/>
      <c r="H125" s="63"/>
      <c r="I125" s="63"/>
      <c r="J125" s="6"/>
      <c r="K125" s="6"/>
      <c r="L125" s="6"/>
      <c r="M125" s="6"/>
      <c r="N125" s="6"/>
    </row>
    <row r="126" spans="1:14" x14ac:dyDescent="0.25">
      <c r="A126" s="62"/>
      <c r="B126" s="128" t="s">
        <v>177</v>
      </c>
      <c r="C126" s="62"/>
      <c r="D126" s="63">
        <f>D120*$D7</f>
        <v>2516539.7334214742</v>
      </c>
      <c r="E126" s="63"/>
      <c r="F126" s="63"/>
      <c r="G126" s="63"/>
      <c r="H126" s="63"/>
      <c r="I126" s="63"/>
      <c r="J126" s="6"/>
      <c r="K126" s="6"/>
      <c r="L126" s="6"/>
      <c r="M126" s="6"/>
      <c r="N126" s="6"/>
    </row>
    <row r="127" spans="1:14" x14ac:dyDescent="0.25">
      <c r="A127" s="62"/>
      <c r="B127" s="126" t="s">
        <v>178</v>
      </c>
      <c r="C127" s="62"/>
      <c r="D127" s="63">
        <f>SUM(D125:D126)</f>
        <v>3274343.127360289</v>
      </c>
      <c r="E127" s="63"/>
      <c r="F127" s="63"/>
      <c r="G127" s="63"/>
      <c r="H127" s="62"/>
      <c r="I127" s="62"/>
    </row>
    <row r="128" spans="1:14" x14ac:dyDescent="0.25">
      <c r="A128" s="62"/>
      <c r="B128" s="62"/>
      <c r="C128" s="62"/>
      <c r="D128" s="62"/>
      <c r="E128" s="62"/>
      <c r="F128" s="62"/>
      <c r="G128" s="62"/>
      <c r="H128" s="62"/>
      <c r="I128" s="62"/>
    </row>
    <row r="129" spans="1:9" x14ac:dyDescent="0.25">
      <c r="A129" s="62"/>
      <c r="B129" s="126" t="s">
        <v>181</v>
      </c>
      <c r="C129" s="126"/>
      <c r="D129" s="126" t="s">
        <v>75</v>
      </c>
      <c r="E129" s="126" t="s">
        <v>80</v>
      </c>
      <c r="F129" s="126" t="s">
        <v>93</v>
      </c>
      <c r="G129" s="126" t="s">
        <v>94</v>
      </c>
      <c r="H129" s="62"/>
      <c r="I129" s="62"/>
    </row>
    <row r="130" spans="1:9" x14ac:dyDescent="0.25">
      <c r="A130" s="62"/>
      <c r="B130" s="126" t="s">
        <v>175</v>
      </c>
      <c r="C130" s="126" t="s">
        <v>147</v>
      </c>
      <c r="D130" s="129">
        <f>$D124*D89</f>
        <v>368895.76762122533</v>
      </c>
      <c r="E130" s="129">
        <f>$D124*E89</f>
        <v>258298.29665704258</v>
      </c>
      <c r="F130" s="129">
        <f>$D124*F89</f>
        <v>54694.558678231559</v>
      </c>
      <c r="G130" s="129">
        <f>$D124*G89</f>
        <v>55902.912285951206</v>
      </c>
      <c r="H130" s="62"/>
      <c r="I130" s="62"/>
    </row>
    <row r="131" spans="1:9" x14ac:dyDescent="0.25">
      <c r="A131" s="62"/>
      <c r="B131" s="128" t="s">
        <v>176</v>
      </c>
      <c r="C131" s="126" t="s">
        <v>147</v>
      </c>
      <c r="D131" s="129">
        <f>$D125*D99</f>
        <v>742874.45656548184</v>
      </c>
      <c r="E131" s="129">
        <f>$D125*E99</f>
        <v>516033.7724701984</v>
      </c>
      <c r="F131" s="129">
        <f>$D125*F99</f>
        <v>116622.68412987284</v>
      </c>
      <c r="G131" s="129">
        <f>$D125*G99</f>
        <v>110217.99996541068</v>
      </c>
      <c r="H131" s="130" t="s">
        <v>238</v>
      </c>
      <c r="I131" s="62"/>
    </row>
    <row r="132" spans="1:9" x14ac:dyDescent="0.25">
      <c r="A132" s="62"/>
      <c r="B132" s="128" t="s">
        <v>177</v>
      </c>
      <c r="C132" s="126" t="s">
        <v>147</v>
      </c>
      <c r="D132" s="129">
        <f>$D126*D108</f>
        <v>2308828.6319461162</v>
      </c>
      <c r="E132" s="129">
        <f>$D126*E108</f>
        <v>1764481.5777277895</v>
      </c>
      <c r="F132" s="129">
        <f>$D126*F108</f>
        <v>316043.37467555579</v>
      </c>
      <c r="G132" s="129">
        <f>$D126*G108</f>
        <v>228303.67954277058</v>
      </c>
      <c r="H132" s="62"/>
      <c r="I132" s="62"/>
    </row>
    <row r="133" spans="1:9" x14ac:dyDescent="0.25">
      <c r="A133" s="62"/>
      <c r="B133" s="126" t="s">
        <v>178</v>
      </c>
      <c r="C133" s="126" t="s">
        <v>147</v>
      </c>
      <c r="D133" s="129">
        <f>SUM(D131:D132)</f>
        <v>3051703.0885115983</v>
      </c>
      <c r="E133" s="129">
        <f>SUM(E131:E132)</f>
        <v>2280515.3501979881</v>
      </c>
      <c r="F133" s="129">
        <f>SUM(F131:F132)</f>
        <v>432666.05880542862</v>
      </c>
      <c r="G133" s="129">
        <f>SUM(G131:G132)</f>
        <v>338521.67950818129</v>
      </c>
      <c r="H133" s="62"/>
      <c r="I133" s="62"/>
    </row>
    <row r="135" spans="1:9" x14ac:dyDescent="0.25">
      <c r="A135" t="s">
        <v>182</v>
      </c>
    </row>
    <row r="137" spans="1:9" ht="75" x14ac:dyDescent="0.25">
      <c r="D137" s="5" t="s">
        <v>219</v>
      </c>
      <c r="E137" s="5" t="s">
        <v>220</v>
      </c>
      <c r="F137" s="117" t="s">
        <v>221</v>
      </c>
    </row>
    <row r="138" spans="1:9" x14ac:dyDescent="0.25">
      <c r="B138" t="s">
        <v>183</v>
      </c>
      <c r="C138" s="84" t="s">
        <v>147</v>
      </c>
      <c r="D138" s="4">
        <f>D77</f>
        <v>0</v>
      </c>
      <c r="E138" s="4">
        <f>D112</f>
        <v>701064.77807337709</v>
      </c>
      <c r="F138" s="118">
        <f>D138-E138</f>
        <v>-701064.77807337709</v>
      </c>
    </row>
    <row r="139" spans="1:9" x14ac:dyDescent="0.25">
      <c r="B139" t="s">
        <v>183</v>
      </c>
      <c r="C139" s="84" t="s">
        <v>148</v>
      </c>
      <c r="D139" s="4">
        <f>D78</f>
        <v>0</v>
      </c>
      <c r="E139" s="30">
        <f>D112</f>
        <v>701064.77807337709</v>
      </c>
      <c r="F139" s="118">
        <f>D139-E139</f>
        <v>-701064.77807337709</v>
      </c>
      <c r="G139" s="120"/>
    </row>
    <row r="140" spans="1:9" x14ac:dyDescent="0.25">
      <c r="D140" s="4"/>
      <c r="E140" s="4"/>
      <c r="F140" s="118"/>
    </row>
    <row r="141" spans="1:9" x14ac:dyDescent="0.25">
      <c r="B141" t="s">
        <v>184</v>
      </c>
      <c r="C141" s="84" t="s">
        <v>147</v>
      </c>
      <c r="D141" s="4">
        <f>D81</f>
        <v>0</v>
      </c>
      <c r="E141" s="4">
        <f>D115</f>
        <v>4329369.329685702</v>
      </c>
      <c r="F141" s="118">
        <f>D141-E141</f>
        <v>-4329369.329685702</v>
      </c>
    </row>
    <row r="142" spans="1:9" x14ac:dyDescent="0.25">
      <c r="B142" t="s">
        <v>184</v>
      </c>
      <c r="C142" s="84" t="s">
        <v>148</v>
      </c>
      <c r="D142" s="4">
        <f>D82</f>
        <v>0</v>
      </c>
      <c r="E142" s="30">
        <f>D115</f>
        <v>4329369.329685702</v>
      </c>
      <c r="F142" s="118">
        <f>D142-E142</f>
        <v>-4329369.329685702</v>
      </c>
      <c r="G142" s="120"/>
    </row>
    <row r="144" spans="1:9" x14ac:dyDescent="0.25">
      <c r="A144" t="s">
        <v>222</v>
      </c>
    </row>
    <row r="145" spans="1:9" x14ac:dyDescent="0.25">
      <c r="D145" s="86" t="s">
        <v>275</v>
      </c>
      <c r="E145" s="86" t="s">
        <v>276</v>
      </c>
      <c r="F145" s="86" t="s">
        <v>277</v>
      </c>
      <c r="G145" s="86" t="s">
        <v>278</v>
      </c>
      <c r="H145" s="86" t="s">
        <v>279</v>
      </c>
      <c r="I145" s="86">
        <v>0</v>
      </c>
    </row>
    <row r="146" spans="1:9" x14ac:dyDescent="0.25">
      <c r="C146" s="84" t="s">
        <v>147</v>
      </c>
      <c r="D146" s="121" t="e">
        <f>E112/E77</f>
        <v>#DIV/0!</v>
      </c>
      <c r="E146" s="121" t="e">
        <f>F112/F77</f>
        <v>#DIV/0!</v>
      </c>
      <c r="F146" s="121" t="e">
        <f>G112/G77</f>
        <v>#DIV/0!</v>
      </c>
      <c r="G146" s="90" t="e">
        <f>E115/E81</f>
        <v>#DIV/0!</v>
      </c>
      <c r="H146" s="90" t="e">
        <f>F115/F81</f>
        <v>#DIV/0!</v>
      </c>
      <c r="I146" s="90" t="e">
        <f>G115/G81</f>
        <v>#DIV/0!</v>
      </c>
    </row>
    <row r="147" spans="1:9" x14ac:dyDescent="0.25">
      <c r="C147" s="84" t="s">
        <v>148</v>
      </c>
      <c r="D147" s="122" t="e">
        <f>E112/E78</f>
        <v>#DIV/0!</v>
      </c>
      <c r="E147" s="121" t="e">
        <f>F112/F78</f>
        <v>#DIV/0!</v>
      </c>
      <c r="F147" s="121" t="e">
        <f>G112/G78</f>
        <v>#DIV/0!</v>
      </c>
      <c r="G147" s="90" t="e">
        <f>E115/E82</f>
        <v>#DIV/0!</v>
      </c>
      <c r="H147" s="90" t="e">
        <f>F115/F82</f>
        <v>#DIV/0!</v>
      </c>
      <c r="I147" s="90" t="e">
        <f>G115/G82</f>
        <v>#DIV/0!</v>
      </c>
    </row>
    <row r="149" spans="1:9" x14ac:dyDescent="0.25">
      <c r="A149" t="s">
        <v>223</v>
      </c>
      <c r="D149" s="86" t="s">
        <v>275</v>
      </c>
      <c r="E149" s="86" t="s">
        <v>276</v>
      </c>
      <c r="F149" s="86" t="s">
        <v>277</v>
      </c>
      <c r="G149" s="86" t="s">
        <v>278</v>
      </c>
      <c r="H149" s="86" t="s">
        <v>279</v>
      </c>
      <c r="I149" s="86">
        <v>0</v>
      </c>
    </row>
    <row r="150" spans="1:9" x14ac:dyDescent="0.25">
      <c r="B150" t="s">
        <v>224</v>
      </c>
      <c r="D150" s="119">
        <f>E42</f>
        <v>7.0084572425877525</v>
      </c>
      <c r="E150" s="119">
        <f t="shared" ref="E150:I150" si="15">F42</f>
        <v>1.0467817994316533</v>
      </c>
      <c r="F150" s="119">
        <f t="shared" si="15"/>
        <v>0.18868270672153969</v>
      </c>
      <c r="G150" s="119">
        <f t="shared" si="15"/>
        <v>0.38148717989631109</v>
      </c>
      <c r="H150" s="119">
        <f t="shared" si="15"/>
        <v>0.55275926466789416</v>
      </c>
      <c r="I150" s="119">
        <f t="shared" si="15"/>
        <v>0.33319385464510176</v>
      </c>
    </row>
    <row r="151" spans="1:9" x14ac:dyDescent="0.25">
      <c r="B151" t="s">
        <v>226</v>
      </c>
      <c r="D151" s="119">
        <f>E65</f>
        <v>0.45025115864487641</v>
      </c>
      <c r="E151" s="119">
        <f t="shared" ref="E151:I151" si="16">F65</f>
        <v>0.41539389396285226</v>
      </c>
      <c r="F151" s="119">
        <f t="shared" si="16"/>
        <v>0.4570696969974693</v>
      </c>
      <c r="G151" s="119">
        <f t="shared" si="16"/>
        <v>0.45011680287140293</v>
      </c>
      <c r="H151" s="119">
        <f t="shared" si="16"/>
        <v>0.40339629530772436</v>
      </c>
      <c r="I151" s="119">
        <f t="shared" si="16"/>
        <v>24681.566963496996</v>
      </c>
    </row>
    <row r="152" spans="1:9" x14ac:dyDescent="0.25">
      <c r="D152" s="119"/>
      <c r="E152" s="119"/>
      <c r="F152" s="119"/>
      <c r="G152" s="119"/>
      <c r="H152" s="119"/>
      <c r="I152" s="119"/>
    </row>
    <row r="153" spans="1:9" x14ac:dyDescent="0.25">
      <c r="B153" t="s">
        <v>229</v>
      </c>
      <c r="C153" s="84" t="s">
        <v>147</v>
      </c>
      <c r="D153" s="89" t="e">
        <f>D150*D146</f>
        <v>#DIV/0!</v>
      </c>
      <c r="E153" s="89" t="e">
        <f t="shared" ref="E153:I153" si="17">E150*E146</f>
        <v>#DIV/0!</v>
      </c>
      <c r="F153" s="89" t="e">
        <f t="shared" si="17"/>
        <v>#DIV/0!</v>
      </c>
      <c r="G153" s="89" t="e">
        <f t="shared" si="17"/>
        <v>#DIV/0!</v>
      </c>
      <c r="H153" s="89" t="e">
        <f t="shared" si="17"/>
        <v>#DIV/0!</v>
      </c>
      <c r="I153" s="89" t="e">
        <f t="shared" si="17"/>
        <v>#DIV/0!</v>
      </c>
    </row>
    <row r="154" spans="1:9" x14ac:dyDescent="0.25">
      <c r="B154" t="s">
        <v>229</v>
      </c>
      <c r="C154" s="84" t="s">
        <v>148</v>
      </c>
      <c r="D154" s="89" t="e">
        <f>D151*D147</f>
        <v>#DIV/0!</v>
      </c>
      <c r="E154" s="89" t="e">
        <f t="shared" ref="E154:I154" si="18">E151*E147</f>
        <v>#DIV/0!</v>
      </c>
      <c r="F154" s="89" t="e">
        <f t="shared" si="18"/>
        <v>#DIV/0!</v>
      </c>
      <c r="G154" s="89" t="e">
        <f t="shared" si="18"/>
        <v>#DIV/0!</v>
      </c>
      <c r="H154" s="89" t="e">
        <f t="shared" si="18"/>
        <v>#DIV/0!</v>
      </c>
      <c r="I154" s="89" t="e">
        <f t="shared" si="18"/>
        <v>#DIV/0!</v>
      </c>
    </row>
    <row r="163" spans="1:1" x14ac:dyDescent="0.25">
      <c r="A163" t="s">
        <v>185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FE77665E354B468AF3F4F0E95858A6" ma:contentTypeVersion="13" ma:contentTypeDescription="Create a new document." ma:contentTypeScope="" ma:versionID="ec61b8ae24c14f74f22dad1bba2d0035">
  <xsd:schema xmlns:xsd="http://www.w3.org/2001/XMLSchema" xmlns:xs="http://www.w3.org/2001/XMLSchema" xmlns:p="http://schemas.microsoft.com/office/2006/metadata/properties" xmlns:ns2="15087633-b2f0-4c7f-ae87-63512b664eba" xmlns:ns3="00b55595-d4eb-41d0-b489-5e4082844449" targetNamespace="http://schemas.microsoft.com/office/2006/metadata/properties" ma:root="true" ma:fieldsID="6d0a492abd66c425fe04f65e7712f1fb" ns2:_="" ns3:_="">
    <xsd:import namespace="15087633-b2f0-4c7f-ae87-63512b664eba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IntervernorAcronym" minOccurs="0"/>
                <xsd:element ref="ns2:LeadRA" minOccurs="0"/>
                <xsd:element ref="ns2:ReviewedbyLeadR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Updated" minOccurs="0"/>
                <xsd:element ref="ns2:Completed" minOccurs="0"/>
                <xsd:element ref="ns2:PDF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87633-b2f0-4c7f-ae87-63512b664e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IntervernorAcronym" ma:index="10" nillable="true" ma:displayName="Intervenor Acronym" ma:format="Dropdown" ma:internalName="IntervernorAcronym">
      <xsd:simpleType>
        <xsd:restriction base="dms:Choice">
          <xsd:enumeration value="AMPCO"/>
          <xsd:enumeration value="Anwaatin"/>
          <xsd:enumeration value="CCC"/>
          <xsd:enumeration value="CME"/>
          <xsd:enumeration value="DRC"/>
          <xsd:enumeration value="ED"/>
          <xsd:enumeration value="Energy Probe"/>
          <xsd:enumeration value="LPMA"/>
          <xsd:enumeration value="MFN"/>
          <xsd:enumeration value="OFA"/>
          <xsd:enumeration value="OSEA"/>
          <xsd:enumeration value="PP"/>
          <xsd:enumeration value="PWU"/>
          <xsd:enumeration value="RG"/>
          <xsd:enumeration value="SEC"/>
          <xsd:enumeration value="Staff"/>
          <xsd:enumeration value="SUP"/>
          <xsd:enumeration value="VECC"/>
          <xsd:enumeration value="CLS Staff"/>
        </xsd:restriction>
      </xsd:simpleType>
    </xsd:element>
    <xsd:element name="LeadRA" ma:index="11" nillable="true" ma:displayName="Lead RA" ma:format="Dropdown" ma:internalName="LeadRA">
      <xsd:simpleType>
        <xsd:restriction base="dms:Text">
          <xsd:maxLength value="255"/>
        </xsd:restriction>
      </xsd:simpleType>
    </xsd:element>
    <xsd:element name="ReviewedbyLeadRA" ma:index="12" nillable="true" ma:displayName="Reviewed by Lead RA" ma:default="0" ma:format="Dropdown" ma:internalName="ReviewedbyLeadRA">
      <xsd:simpleType>
        <xsd:restriction base="dms:Boolea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Updated" ma:index="17" nillable="true" ma:displayName="Updated" ma:default="0" ma:format="Dropdown" ma:internalName="Updated">
      <xsd:simpleType>
        <xsd:restriction base="dms:Boolean"/>
      </xsd:simpleType>
    </xsd:element>
    <xsd:element name="Completed" ma:index="18" nillable="true" ma:displayName="Completed" ma:default="0" ma:format="Dropdown" ma:internalName="Completed">
      <xsd:simpleType>
        <xsd:restriction base="dms:Boolean"/>
      </xsd:simpleType>
    </xsd:element>
    <xsd:element name="PDFCreated" ma:index="19" nillable="true" ma:displayName="PDF Created" ma:default="0" ma:format="Dropdown" ma:internalName="PDFCreat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DFCreated xmlns="15087633-b2f0-4c7f-ae87-63512b664eba">false</PDFCreated>
    <Updated xmlns="15087633-b2f0-4c7f-ae87-63512b664eba">false</Updated>
    <Completed xmlns="15087633-b2f0-4c7f-ae87-63512b664eba">false</Completed>
    <LeadRA xmlns="15087633-b2f0-4c7f-ae87-63512b664eba" xsi:nil="true"/>
    <IntervernorAcronym xmlns="15087633-b2f0-4c7f-ae87-63512b664eba" xsi:nil="true"/>
    <ReviewedbyLeadRA xmlns="15087633-b2f0-4c7f-ae87-63512b664eba">false</ReviewedbyLeadRA>
  </documentManagement>
</p:properties>
</file>

<file path=customXml/itemProps1.xml><?xml version="1.0" encoding="utf-8"?>
<ds:datastoreItem xmlns:ds="http://schemas.openxmlformats.org/officeDocument/2006/customXml" ds:itemID="{6C4285D3-81E0-47DD-A35B-EEAF900E36B6}"/>
</file>

<file path=customXml/itemProps2.xml><?xml version="1.0" encoding="utf-8"?>
<ds:datastoreItem xmlns:ds="http://schemas.openxmlformats.org/officeDocument/2006/customXml" ds:itemID="{81BC61C5-97A1-4707-BE04-2CD34E9B7104}"/>
</file>

<file path=customXml/itemProps3.xml><?xml version="1.0" encoding="utf-8"?>
<ds:datastoreItem xmlns:ds="http://schemas.openxmlformats.org/officeDocument/2006/customXml" ds:itemID="{97946125-7013-41AD-90DE-9222B850AC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1a.ISA and Disposals</vt:lpstr>
      <vt:lpstr>1. Forecast Acq GBV</vt:lpstr>
      <vt:lpstr>2. Acq Last CAM outputs</vt:lpstr>
      <vt:lpstr>3. Allocated Forecast Acq GBV</vt:lpstr>
      <vt:lpstr>4. Non Adj 2023 CAM outputs</vt:lpstr>
      <vt:lpstr>5. Determine Alloc for Acq</vt:lpstr>
      <vt:lpstr>5a. Acq Bulk Factors</vt:lpstr>
      <vt:lpstr>6.NFA</vt:lpstr>
      <vt:lpstr>7.OMA_old</vt:lpstr>
      <vt:lpstr>7.OMA</vt:lpstr>
      <vt:lpstr>7. Depn5705</vt:lpstr>
    </vt:vector>
  </TitlesOfParts>
  <Company>Hydro 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UNDERTAKING JT-VECC-TCQ-19-02</dc:title>
  <dc:creator>KIM Susan</dc:creator>
  <cp:lastModifiedBy>SHETH Nikita</cp:lastModifiedBy>
  <cp:lastPrinted>2019-04-11T15:18:03Z</cp:lastPrinted>
  <dcterms:created xsi:type="dcterms:W3CDTF">2017-01-12T19:09:46Z</dcterms:created>
  <dcterms:modified xsi:type="dcterms:W3CDTF">2022-01-12T21:00:01Z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0x0101003AFE77665E354B468AF3F4F0E95858A6</vt:lpwstr>
  </property>
  <property fmtid="{D5CDD505-2E9C-101B-9397-08002B2CF9AE}" pid="3" name="IntervenorAcronym">
    <vt:lpwstr>VECC</vt:lpwstr>
  </property>
  <property fmtid="{D5CDD505-2E9C-101B-9397-08002B2CF9AE}" pid="4" name="RegDirectorApproved">
    <vt:bool>false</vt:bool>
  </property>
  <property fmtid="{D5CDD505-2E9C-101B-9397-08002B2CF9AE}" pid="5" name="DraftReady">
    <vt:lpwstr>Ready</vt:lpwstr>
  </property>
  <property fmtid="{D5CDD505-2E9C-101B-9397-08002B2CF9AE}" pid="6" name="WitnessApproved">
    <vt:lpwstr>Approved</vt:lpwstr>
  </property>
  <property fmtid="{D5CDD505-2E9C-101B-9397-08002B2CF9AE}" pid="7" name="ConfidentialFlag">
    <vt:bool>false</vt:bool>
  </property>
  <property fmtid="{D5CDD505-2E9C-101B-9397-08002B2CF9AE}" pid="8" name="Witness">
    <vt:lpwstr>LI Clement</vt:lpwstr>
  </property>
  <property fmtid="{D5CDD505-2E9C-101B-9397-08002B2CF9AE}" pid="10" name="Internal">
    <vt:lpwstr>No</vt:lpwstr>
  </property>
  <property fmtid="{D5CDD505-2E9C-101B-9397-08002B2CF9AE}" pid="13" name="UTAuthors">
    <vt:lpwstr/>
  </property>
  <property fmtid="{D5CDD505-2E9C-101B-9397-08002B2CF9AE}" pid="14" name="IssueDate">
    <vt:filetime>2022-01-14T05:00:00Z</vt:filetime>
  </property>
  <property fmtid="{D5CDD505-2E9C-101B-9397-08002B2CF9AE}" pid="15" name="Panel">
    <vt:lpwstr>3 - Rates &amp; Custom IR</vt:lpwstr>
  </property>
  <property fmtid="{D5CDD505-2E9C-101B-9397-08002B2CF9AE}" pid="17" name="Exhibit">
    <vt:lpwstr>JT-VECC-TCQ-19-02</vt:lpwstr>
  </property>
  <property fmtid="{D5CDD505-2E9C-101B-9397-08002B2CF9AE}" pid="18" name="RAApproved">
    <vt:bool>true</vt:bool>
  </property>
  <property fmtid="{D5CDD505-2E9C-101B-9397-08002B2CF9AE}" pid="19" name="FormattingComplete">
    <vt:bool>false</vt:bool>
  </property>
  <property fmtid="{D5CDD505-2E9C-101B-9397-08002B2CF9AE}" pid="20" name="RA">
    <vt:lpwstr>25;#i:0#.f|membership|heloise.apesteguy-reux@hydroone.com</vt:lpwstr>
  </property>
</Properties>
</file>