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ergyfuturesgroup.sharepoint.com/Shared Documents/Consulting/Canada/Ontario/Enbridge/egd 2021/2022-2027 DSM plan/Interrogatories/GEC responses/"/>
    </mc:Choice>
  </mc:AlternateContent>
  <xr:revisionPtr revIDLastSave="15" documentId="8_{5C73F6B5-CA01-4667-9768-503155B8BD6E}" xr6:coauthVersionLast="47" xr6:coauthVersionMax="47" xr10:uidLastSave="{EAFF842C-D7E6-4E96-B1D4-490DE22F6BFF}"/>
  <bookViews>
    <workbookView xWindow="-108" yWindow="-108" windowWidth="23256" windowHeight="14016" activeTab="1" xr2:uid="{62545E57-777C-4AB3-A386-F224A3C350B3}"/>
  </bookViews>
  <sheets>
    <sheet name="VECC 1&amp;2" sheetId="1" r:id="rId1"/>
    <sheet name="VECC 3" sheetId="2" r:id="rId2"/>
    <sheet name="VECC 5" sheetId="3" r:id="rId3"/>
    <sheet name="VECC 6" sheetId="4" r:id="rId4"/>
  </sheets>
  <externalReferences>
    <externalReference r:id="rId5"/>
  </externalReferences>
  <definedNames>
    <definedName name="_ftn1" localSheetId="0">'VECC 1&amp;2'!$B$19</definedName>
    <definedName name="_ftnref1" localSheetId="0">'VECC 1&amp;2'!$B$16</definedName>
    <definedName name="_Ref88585915" localSheetId="0">'VECC 1&amp;2'!$B$37</definedName>
    <definedName name="_Ref88644157" localSheetId="1">'VECC 3'!$A$12</definedName>
    <definedName name="_Ref88671261" localSheetId="3">'VECC 6'!$B$10</definedName>
    <definedName name="_Ref89104139" localSheetId="2">'VECC 5'!$A$32</definedName>
    <definedName name="_Ref89350848" localSheetId="0">'VECC 1&amp;2'!$B$16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18" i="4"/>
  <c r="F21" i="3" l="1"/>
  <c r="D2" i="4"/>
  <c r="D12" i="4" s="1"/>
  <c r="D13" i="4"/>
  <c r="D16" i="4"/>
  <c r="D15" i="4"/>
  <c r="D7" i="4"/>
  <c r="D17" i="4" s="1"/>
  <c r="D4" i="4"/>
  <c r="C4" i="4"/>
  <c r="I28" i="3"/>
  <c r="C27" i="3"/>
  <c r="C13" i="3"/>
  <c r="D13" i="3"/>
  <c r="E13" i="3"/>
  <c r="F13" i="3"/>
  <c r="G13" i="3"/>
  <c r="H13" i="3"/>
  <c r="I13" i="3"/>
  <c r="J13" i="3" s="1"/>
  <c r="K13" i="3" s="1"/>
  <c r="L13" i="3" s="1"/>
  <c r="M13" i="3" s="1"/>
  <c r="N13" i="3" s="1"/>
  <c r="B16" i="3"/>
  <c r="C16" i="3"/>
  <c r="D16" i="3"/>
  <c r="E16" i="3"/>
  <c r="F16" i="3"/>
  <c r="G16" i="3"/>
  <c r="H16" i="3"/>
  <c r="I16" i="3"/>
  <c r="J16" i="3"/>
  <c r="K16" i="3"/>
  <c r="L16" i="3"/>
  <c r="M16" i="3"/>
  <c r="N16" i="3"/>
  <c r="D4" i="3"/>
  <c r="C26" i="3"/>
  <c r="D26" i="3" s="1"/>
  <c r="E26" i="3" s="1"/>
  <c r="F26" i="3" s="1"/>
  <c r="G26" i="3" s="1"/>
  <c r="H26" i="3" s="1"/>
  <c r="I26" i="3" s="1"/>
  <c r="J26" i="3" s="1"/>
  <c r="K26" i="3" s="1"/>
  <c r="L26" i="3" s="1"/>
  <c r="M26" i="3" s="1"/>
  <c r="O21" i="3"/>
  <c r="C20" i="3"/>
  <c r="D20" i="3" s="1"/>
  <c r="E20" i="3" s="1"/>
  <c r="F20" i="3" s="1"/>
  <c r="G20" i="3" s="1"/>
  <c r="H20" i="3" s="1"/>
  <c r="I20" i="3" s="1"/>
  <c r="J20" i="3" s="1"/>
  <c r="K20" i="3" s="1"/>
  <c r="L20" i="3" s="1"/>
  <c r="M20" i="3" s="1"/>
  <c r="N20" i="3" s="1"/>
  <c r="N4" i="3"/>
  <c r="M27" i="3" s="1"/>
  <c r="M4" i="3"/>
  <c r="L27" i="3" s="1"/>
  <c r="L4" i="3"/>
  <c r="K4" i="3"/>
  <c r="J4" i="3"/>
  <c r="I4" i="3"/>
  <c r="H4" i="3"/>
  <c r="G4" i="3"/>
  <c r="F27" i="3" s="1"/>
  <c r="F4" i="3"/>
  <c r="E4" i="3"/>
  <c r="C4" i="3"/>
  <c r="B27" i="3" s="1"/>
  <c r="B4" i="3"/>
  <c r="D2" i="3"/>
  <c r="E2" i="3" s="1"/>
  <c r="F2" i="3" s="1"/>
  <c r="G2" i="3" s="1"/>
  <c r="H2" i="3" s="1"/>
  <c r="I2" i="3" s="1"/>
  <c r="J2" i="3" s="1"/>
  <c r="K2" i="3" s="1"/>
  <c r="L2" i="3" s="1"/>
  <c r="M2" i="3" s="1"/>
  <c r="N2" i="3" s="1"/>
  <c r="C7" i="2"/>
  <c r="E7" i="2"/>
  <c r="F7" i="2"/>
  <c r="J7" i="2"/>
  <c r="K7" i="2"/>
  <c r="I7" i="2"/>
  <c r="D7" i="2"/>
  <c r="M7" i="2"/>
  <c r="L7" i="2"/>
  <c r="H7" i="2"/>
  <c r="G7" i="2"/>
  <c r="M5" i="2"/>
  <c r="L5" i="2"/>
  <c r="K5" i="2"/>
  <c r="J5" i="2"/>
  <c r="I5" i="2"/>
  <c r="H5" i="2"/>
  <c r="G5" i="2"/>
  <c r="F5" i="2"/>
  <c r="E5" i="2"/>
  <c r="D5" i="2"/>
  <c r="C5" i="2"/>
  <c r="B5" i="2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I9" i="1"/>
  <c r="H7" i="1"/>
  <c r="G7" i="1"/>
  <c r="F7" i="1"/>
  <c r="E7" i="1"/>
  <c r="C7" i="1"/>
  <c r="N5" i="1"/>
  <c r="N6" i="1" s="1"/>
  <c r="M5" i="1"/>
  <c r="M6" i="1" s="1"/>
  <c r="L5" i="1"/>
  <c r="L6" i="1" s="1"/>
  <c r="K5" i="1"/>
  <c r="K6" i="1" s="1"/>
  <c r="J5" i="1"/>
  <c r="A5" i="1"/>
  <c r="A6" i="1" s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J9" i="1" l="1"/>
  <c r="J7" i="1" s="1"/>
  <c r="I7" i="1"/>
  <c r="D14" i="4"/>
  <c r="B21" i="3"/>
  <c r="E21" i="3"/>
  <c r="H21" i="3"/>
  <c r="D27" i="3"/>
  <c r="I21" i="3"/>
  <c r="K21" i="3"/>
  <c r="E27" i="3"/>
  <c r="G27" i="3"/>
  <c r="H27" i="3"/>
  <c r="M21" i="3"/>
  <c r="D21" i="3"/>
  <c r="G21" i="3"/>
  <c r="L21" i="3"/>
  <c r="N21" i="3"/>
  <c r="C21" i="3"/>
  <c r="B22" i="3" s="1"/>
  <c r="I27" i="3"/>
  <c r="J27" i="3"/>
  <c r="K27" i="3"/>
  <c r="J21" i="3"/>
  <c r="B7" i="2"/>
  <c r="K9" i="1"/>
  <c r="A7" i="1"/>
  <c r="A8" i="1" s="1"/>
  <c r="A9" i="1" s="1"/>
  <c r="J6" i="1"/>
  <c r="J22" i="3" l="1"/>
  <c r="J23" i="3"/>
  <c r="N23" i="3"/>
  <c r="M23" i="3"/>
  <c r="L23" i="3"/>
  <c r="K23" i="3"/>
  <c r="K7" i="1"/>
  <c r="L9" i="1"/>
  <c r="J28" i="3" l="1"/>
  <c r="K28" i="3"/>
  <c r="L28" i="3"/>
  <c r="M28" i="3"/>
  <c r="L7" i="1"/>
  <c r="M9" i="1"/>
  <c r="N9" i="1" l="1"/>
  <c r="M7" i="1"/>
  <c r="N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 Neme</author>
  </authors>
  <commentList>
    <comment ref="I4" authorId="0" shapeId="0" xr:uid="{DF0713D5-4149-4EAC-9511-8097AD313F80}">
      <text>
        <r>
          <rPr>
            <b/>
            <sz val="9"/>
            <color indexed="81"/>
            <rFont val="Tahoma"/>
            <family val="2"/>
          </rPr>
          <t>Chris Neme:</t>
        </r>
        <r>
          <rPr>
            <sz val="9"/>
            <color indexed="81"/>
            <rFont val="Tahoma"/>
            <family val="2"/>
          </rPr>
          <t xml:space="preserve">
6.Staff.13a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Stacy Sherwood</author>
    <author>Chris Neme</author>
  </authors>
  <commentList>
    <comment ref="H3" authorId="0" shapeId="0" xr:uid="{EE3F1308-4467-4F2C-AC8C-33E6DD0729A0}">
      <text>
        <r>
          <rPr>
            <b/>
            <sz val="9"/>
            <color indexed="81"/>
            <rFont val="Tahoma"/>
            <family val="2"/>
          </rPr>
          <t>Stacy Sherwood:</t>
        </r>
        <r>
          <rPr>
            <sz val="9"/>
            <color indexed="81"/>
            <rFont val="Tahoma"/>
            <family val="2"/>
          </rPr>
          <t xml:space="preserve">
I.6. EGI. Staff.13 Attachment 1 (PDF pg 13)
</t>
        </r>
      </text>
    </comment>
    <comment ref="I3" authorId="1" shapeId="0" xr:uid="{F5F4B7C4-B694-4AE4-86C8-7CA034B1826D}">
      <text>
        <r>
          <rPr>
            <b/>
            <sz val="9"/>
            <color indexed="81"/>
            <rFont val="Tahoma"/>
            <family val="2"/>
          </rPr>
          <t>Chris Neme:</t>
        </r>
        <r>
          <rPr>
            <sz val="9"/>
            <color indexed="81"/>
            <rFont val="Tahoma"/>
            <family val="2"/>
          </rPr>
          <t xml:space="preserve">
6.Staff.13a</t>
        </r>
      </text>
    </comment>
    <comment ref="I15" authorId="1" shapeId="0" xr:uid="{288F6EFF-2D37-4E66-9382-BEC8BADCB501}">
      <text>
        <r>
          <rPr>
            <b/>
            <sz val="9"/>
            <color indexed="81"/>
            <rFont val="Tahoma"/>
            <family val="2"/>
          </rPr>
          <t>Chris Neme:</t>
        </r>
        <r>
          <rPr>
            <sz val="9"/>
            <color indexed="81"/>
            <rFont val="Tahoma"/>
            <family val="2"/>
          </rPr>
          <t xml:space="preserve">
6.Staff.13a</t>
        </r>
      </text>
    </comment>
  </commentList>
</comments>
</file>

<file path=xl/sharedStrings.xml><?xml version="1.0" encoding="utf-8"?>
<sst xmlns="http://schemas.openxmlformats.org/spreadsheetml/2006/main" count="115" uniqueCount="76">
  <si>
    <t>Enbridge Plan Budget (millions $)</t>
  </si>
  <si>
    <t>Shareholder Incentive at 100% Target (millions $)</t>
  </si>
  <si>
    <t>Budget w/Shareholder Incentive (millions $)</t>
  </si>
  <si>
    <t>Spend/Budget (2021 $)</t>
  </si>
  <si>
    <t>Savings (m3/yr)</t>
  </si>
  <si>
    <t>Bank of Canada CPI (Oct)</t>
  </si>
  <si>
    <t>spend and savings from 1.CCC.3 for 2016-2020 and 2023-2027; from 2.ED.8 for 2021 and 2022 savings; from 6.Staff.13 for 2021 and 2022 spending</t>
  </si>
  <si>
    <t xml:space="preserve">BOC CPI:  </t>
  </si>
  <si>
    <t>https://www.bankofcanada.ca/rates/related/inflation-calculator/</t>
  </si>
  <si>
    <t>Figure 2: Enbridge Historic and Planned DSM Spending (Millions of 2021 $)</t>
  </si>
  <si>
    <t>Figure 1:  Enbridge Historic and Forecast Annual Gas Savings (Million m3)</t>
  </si>
  <si>
    <t>Sales to Eligible Customers (thousands m3)</t>
  </si>
  <si>
    <t>Sales to Eligible Customers (millions m3)</t>
  </si>
  <si>
    <t>Attachment 1 to 5.GEC.3; sales to Enbridge Rates 125, 200, and 300, Unionn rates 25, M9, M10 and T3 excluded from "eligible"</t>
  </si>
  <si>
    <t>Savings (millions m3)</t>
  </si>
  <si>
    <t>Savings as % of Sales</t>
  </si>
  <si>
    <t>Figure 3: Enbridge Historic and Planned Savings as a Percentage of Eligible Sales</t>
  </si>
  <si>
    <t>Source</t>
  </si>
  <si>
    <t>Savings from 1.CCC.3 for 2016-2020 and 2023-2027; from 2.ED.8 for 2021 and 2022 savings.</t>
  </si>
  <si>
    <t xml:space="preserve">Adjustment of LI spending </t>
  </si>
  <si>
    <t>LI Spend/Budget</t>
  </si>
  <si>
    <t>I.6.EGI.Staff.13</t>
  </si>
  <si>
    <t>Low Income Spending/Budget (2021 $)</t>
  </si>
  <si>
    <t>Program budget (excl portfolio overhead)</t>
  </si>
  <si>
    <t>Spend/Budget</t>
  </si>
  <si>
    <t>LI% of Total Spend 2021$</t>
  </si>
  <si>
    <t>2016-2019 Average LI Spend</t>
  </si>
  <si>
    <t xml:space="preserve">Projected spend based on Average </t>
  </si>
  <si>
    <t>Total</t>
  </si>
  <si>
    <t>Projected Spend Based on Historic Average % of Total DSM Budget (2021 $)</t>
  </si>
  <si>
    <t>Sources</t>
  </si>
  <si>
    <t>LI Spend/Budget I.6.EGI.Staff.13</t>
  </si>
  <si>
    <t>Figure 6 Enbridge Historic, Planned and Projected Spending on the Dedicated Low Income Program (2021 $)</t>
  </si>
  <si>
    <t>State</t>
  </si>
  <si>
    <t>Utility</t>
  </si>
  <si>
    <t>2019 Total Spending</t>
  </si>
  <si>
    <t>2019 Low Income Spending</t>
  </si>
  <si>
    <t>2019 Res, LI, and C&amp;I Spending Only</t>
  </si>
  <si>
    <t>MN</t>
  </si>
  <si>
    <t>CenterPoint (Dth)</t>
  </si>
  <si>
    <t>MI</t>
  </si>
  <si>
    <t>DTE (MMcf)</t>
  </si>
  <si>
    <t>Consumers Energy</t>
  </si>
  <si>
    <t>MA</t>
  </si>
  <si>
    <t>Eversource (Therms)</t>
  </si>
  <si>
    <t>National Grid (Therms)</t>
  </si>
  <si>
    <t>RI</t>
  </si>
  <si>
    <t>National Grid (MMBtu)</t>
  </si>
  <si>
    <t>Jurisdiction</t>
  </si>
  <si>
    <t>2019 Low Income Spend as % of Total Program Spend</t>
  </si>
  <si>
    <t>Minnesota</t>
  </si>
  <si>
    <t>Centerpoint</t>
  </si>
  <si>
    <t>DTE</t>
  </si>
  <si>
    <t>Michigan</t>
  </si>
  <si>
    <t>Eversource</t>
  </si>
  <si>
    <t>Massachusetts</t>
  </si>
  <si>
    <t>National Grid</t>
  </si>
  <si>
    <t>Rhode Island</t>
  </si>
  <si>
    <t>Enbridge</t>
  </si>
  <si>
    <t>Ontario</t>
  </si>
  <si>
    <t>CenterPoint MN</t>
  </si>
  <si>
    <t xml:space="preserve">https://minnesotapuc.legistar.com/LegislationDetail.aspx?ID=4598510&amp;GUID=DB88A1F7-DDA5-46FB-A875-6CCC1F8DEFBD </t>
  </si>
  <si>
    <t>DTE MI</t>
  </si>
  <si>
    <t xml:space="preserve">https://www.newlook.dteenergy.com/wps/wcm/connect/dac12d4d-f194-4632-83b0-7206c4fe149c/EWR-Annual-Report.pdf?MOD=AJPERES </t>
  </si>
  <si>
    <t>Consumers</t>
  </si>
  <si>
    <t>Case U-20702 EWR Annual Report Witness Taykimoff</t>
  </si>
  <si>
    <t>Berkshire Gas</t>
  </si>
  <si>
    <t>https://ma-eeac.org/results-reporting/</t>
  </si>
  <si>
    <t xml:space="preserve">Eversource </t>
  </si>
  <si>
    <t>Liberty Utilities</t>
  </si>
  <si>
    <t>National Grid RI</t>
  </si>
  <si>
    <t xml:space="preserve">http://rieermc.ri.gov/wp-content/uploads/2020/05/ngrid_4888-year-end-report-2019-puc-5-15-20.pdf </t>
  </si>
  <si>
    <t>ON</t>
  </si>
  <si>
    <t>Table 9:  Leading Gas Utilities and Enbridge 2019 Low Income Spending as % of Total 2019 DSM Program Spendin</t>
  </si>
  <si>
    <t>OR</t>
  </si>
  <si>
    <t>1.CCC.3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</si>
</sst>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"/>
    <numFmt numFmtId="166" formatCode="0.0%"/>
    <numFmt numFmtId="167" formatCode="0.0"/>
    <numFmt numFmtId="168" formatCode="&quot;$&quot;#,##0.00"/>
    <numFmt numFmtId="169" formatCode="0.000"/>
    <numFmt numFmtId="170" formatCode="_(* #,##0_);_(* \(#,##0\);_(* &quot;-&quot;??_);_(@_)"/>
    <numFmt numFmtId="171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rgb="FF0070C0"/>
      <name val="Calibri"/>
      <family val="2"/>
      <scheme val="minor"/>
    </font>
    <font>
      <i/>
      <sz val="9"/>
      <color rgb="FF0070C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9"/>
      <color rgb="FF44546A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7">
    <xf numFmtId="0" fontId="0" fillId="0" borderId="0" xfId="0"/>
    <xf numFmtId="0" fontId="0" fillId="2" borderId="1" xfId="0" applyFill="1" applyBorder="1"/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9" fontId="0" fillId="0" borderId="0" xfId="3" applyFont="1"/>
    <xf numFmtId="165" fontId="0" fillId="0" borderId="0" xfId="0" applyNumberFormat="1"/>
    <xf numFmtId="166" fontId="0" fillId="0" borderId="0" xfId="3" applyNumberFormat="1" applyFont="1"/>
    <xf numFmtId="167" fontId="0" fillId="0" borderId="1" xfId="0" applyNumberFormat="1" applyBorder="1"/>
    <xf numFmtId="0" fontId="3" fillId="0" borderId="0" xfId="0" applyFont="1"/>
    <xf numFmtId="168" fontId="0" fillId="0" borderId="0" xfId="0" applyNumberFormat="1"/>
    <xf numFmtId="0" fontId="4" fillId="0" borderId="0" xfId="0" applyFont="1"/>
    <xf numFmtId="167" fontId="0" fillId="0" borderId="0" xfId="0" applyNumberFormat="1"/>
    <xf numFmtId="2" fontId="0" fillId="0" borderId="0" xfId="0" applyNumberFormat="1"/>
    <xf numFmtId="169" fontId="0" fillId="0" borderId="0" xfId="0" applyNumberFormat="1"/>
    <xf numFmtId="0" fontId="7" fillId="0" borderId="0" xfId="4" applyAlignment="1">
      <alignment vertical="center"/>
    </xf>
    <xf numFmtId="0" fontId="2" fillId="0" borderId="0" xfId="0" applyFont="1"/>
    <xf numFmtId="170" fontId="8" fillId="3" borderId="2" xfId="1" applyNumberFormat="1" applyFont="1" applyFill="1" applyBorder="1"/>
    <xf numFmtId="170" fontId="0" fillId="0" borderId="0" xfId="0" applyNumberFormat="1"/>
    <xf numFmtId="1" fontId="0" fillId="0" borderId="0" xfId="0" applyNumberFormat="1"/>
    <xf numFmtId="10" fontId="0" fillId="0" borderId="0" xfId="3" applyNumberFormat="1" applyFont="1"/>
    <xf numFmtId="10" fontId="0" fillId="0" borderId="0" xfId="0" applyNumberFormat="1"/>
    <xf numFmtId="171" fontId="0" fillId="0" borderId="0" xfId="2" applyNumberFormat="1" applyFont="1"/>
    <xf numFmtId="44" fontId="0" fillId="0" borderId="0" xfId="0" applyNumberFormat="1"/>
    <xf numFmtId="166" fontId="0" fillId="0" borderId="0" xfId="0" applyNumberFormat="1"/>
    <xf numFmtId="0" fontId="9" fillId="0" borderId="0" xfId="0" applyFont="1" applyAlignment="1">
      <alignment vertical="center"/>
    </xf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4" borderId="0" xfId="0" applyFill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166" fontId="0" fillId="0" borderId="1" xfId="3" applyNumberFormat="1" applyFont="1" applyBorder="1" applyAlignment="1">
      <alignment horizontal="center" vertical="center"/>
    </xf>
    <xf numFmtId="0" fontId="2" fillId="5" borderId="2" xfId="0" applyFont="1" applyFill="1" applyBorder="1" applyAlignment="1">
      <alignment wrapText="1"/>
    </xf>
    <xf numFmtId="0" fontId="0" fillId="5" borderId="0" xfId="0" applyFill="1" applyAlignment="1">
      <alignment wrapText="1"/>
    </xf>
    <xf numFmtId="0" fontId="0" fillId="5" borderId="0" xfId="0" applyFill="1"/>
    <xf numFmtId="0" fontId="7" fillId="5" borderId="0" xfId="4" applyFill="1"/>
    <xf numFmtId="0" fontId="7" fillId="5" borderId="0" xfId="4" applyFill="1" applyAlignment="1">
      <alignment vertical="center"/>
    </xf>
    <xf numFmtId="0" fontId="2" fillId="0" borderId="0" xfId="0" applyFont="1" applyFill="1" applyAlignment="1"/>
    <xf numFmtId="0" fontId="2" fillId="0" borderId="0" xfId="0" applyFont="1" applyFill="1"/>
    <xf numFmtId="0" fontId="0" fillId="0" borderId="0" xfId="0" applyFill="1"/>
    <xf numFmtId="0" fontId="2" fillId="0" borderId="0" xfId="0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170" fontId="0" fillId="0" borderId="0" xfId="1" applyNumberFormat="1" applyFont="1" applyFill="1" applyBorder="1"/>
    <xf numFmtId="10" fontId="0" fillId="0" borderId="0" xfId="3" applyNumberFormat="1" applyFont="1" applyFill="1" applyBorder="1"/>
    <xf numFmtId="44" fontId="0" fillId="0" borderId="0" xfId="0" applyNumberFormat="1" applyFill="1" applyBorder="1"/>
    <xf numFmtId="171" fontId="0" fillId="0" borderId="0" xfId="2" applyNumberFormat="1" applyFont="1" applyFill="1" applyBorder="1"/>
    <xf numFmtId="164" fontId="0" fillId="0" borderId="0" xfId="0" applyNumberFormat="1"/>
    <xf numFmtId="164" fontId="0" fillId="4" borderId="0" xfId="1" applyNumberFormat="1" applyFont="1" applyFill="1"/>
    <xf numFmtId="164" fontId="0" fillId="4" borderId="0" xfId="2" applyNumberFormat="1" applyFont="1" applyFill="1"/>
    <xf numFmtId="0" fontId="0" fillId="2" borderId="1" xfId="0" applyFill="1" applyBorder="1" applyAlignment="1">
      <alignment horizontal="center"/>
    </xf>
    <xf numFmtId="0" fontId="7" fillId="5" borderId="0" xfId="4" applyFill="1" applyAlignment="1">
      <alignment horizontal="center"/>
    </xf>
    <xf numFmtId="0" fontId="2" fillId="5" borderId="0" xfId="0" applyFont="1" applyFill="1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'VECC 1&amp;2'!$C$3:$N$3</c:f>
              <c:numCache>
                <c:formatCode>General</c:formatCode>
                <c:ptCount val="1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</c:numCache>
            </c:numRef>
          </c:cat>
          <c:val>
            <c:numRef>
              <c:f>'VECC 1&amp;2'!$C$7:$N$7</c:f>
              <c:numCache>
                <c:formatCode>"$"#,##0.0</c:formatCode>
                <c:ptCount val="12"/>
                <c:pt idx="0">
                  <c:v>118.48621223857475</c:v>
                </c:pt>
                <c:pt idx="1">
                  <c:v>139.50275019098547</c:v>
                </c:pt>
                <c:pt idx="2">
                  <c:v>145.18769574944073</c:v>
                </c:pt>
                <c:pt idx="3">
                  <c:v>145.79619326500733</c:v>
                </c:pt>
                <c:pt idx="4">
                  <c:v>124.5389090909091</c:v>
                </c:pt>
                <c:pt idx="5">
                  <c:v>135</c:v>
                </c:pt>
                <c:pt idx="6">
                  <c:v>130.98039215686273</c:v>
                </c:pt>
                <c:pt idx="7">
                  <c:v>136.77431757016529</c:v>
                </c:pt>
                <c:pt idx="8">
                  <c:v>140.21756338060021</c:v>
                </c:pt>
                <c:pt idx="9">
                  <c:v>143.84273283232821</c:v>
                </c:pt>
                <c:pt idx="10">
                  <c:v>147.54354892129325</c:v>
                </c:pt>
                <c:pt idx="11">
                  <c:v>151.3991206627457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EA-48A3-9E08-6D6DF3DD0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1298543"/>
        <c:axId val="1681301455"/>
      </c:lineChart>
      <c:catAx>
        <c:axId val="1681298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1301455"/>
        <c:crosses val="autoZero"/>
        <c:auto val="1"/>
        <c:lblAlgn val="ctr"/>
        <c:lblOffset val="100"/>
        <c:noMultiLvlLbl val="0"/>
      </c:catAx>
      <c:valAx>
        <c:axId val="1681301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1298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'VECC 1&amp;2'!$C$3:$N$3</c:f>
              <c:numCache>
                <c:formatCode>General</c:formatCode>
                <c:ptCount val="1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</c:numCache>
            </c:numRef>
          </c:cat>
          <c:val>
            <c:numRef>
              <c:f>'VECC 1&amp;2'!$C$8:$N$8</c:f>
              <c:numCache>
                <c:formatCode>0.0</c:formatCode>
                <c:ptCount val="12"/>
                <c:pt idx="0">
                  <c:v>106.5</c:v>
                </c:pt>
                <c:pt idx="1">
                  <c:v>114</c:v>
                </c:pt>
                <c:pt idx="2">
                  <c:v>108.4</c:v>
                </c:pt>
                <c:pt idx="3">
                  <c:v>115.7</c:v>
                </c:pt>
                <c:pt idx="4">
                  <c:v>96.2</c:v>
                </c:pt>
                <c:pt idx="5">
                  <c:v>101.4</c:v>
                </c:pt>
                <c:pt idx="6">
                  <c:v>102.2</c:v>
                </c:pt>
                <c:pt idx="7" formatCode="&quot;$&quot;#,##0">
                  <c:v>106.7</c:v>
                </c:pt>
                <c:pt idx="8" formatCode="&quot;$&quot;#,##0">
                  <c:v>108.9</c:v>
                </c:pt>
                <c:pt idx="9" formatCode="&quot;$&quot;#,##0">
                  <c:v>111.2</c:v>
                </c:pt>
                <c:pt idx="10" formatCode="&quot;$&quot;#,##0">
                  <c:v>113.2</c:v>
                </c:pt>
                <c:pt idx="11" formatCode="&quot;$&quot;#,##0">
                  <c:v>115.4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E-4F58-B4B8-EC591F67C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7231407"/>
        <c:axId val="1527231823"/>
      </c:lineChart>
      <c:catAx>
        <c:axId val="1527231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7231823"/>
        <c:crosses val="autoZero"/>
        <c:auto val="1"/>
        <c:lblAlgn val="ctr"/>
        <c:lblOffset val="100"/>
        <c:noMultiLvlLbl val="0"/>
      </c:catAx>
      <c:valAx>
        <c:axId val="1527231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7231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'VECC 3'!$B$3:$M$3</c:f>
              <c:numCache>
                <c:formatCode>General</c:formatCode>
                <c:ptCount val="1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</c:numCache>
            </c:numRef>
          </c:cat>
          <c:val>
            <c:numRef>
              <c:f>'VECC 3'!$B$7:$M$7</c:f>
              <c:numCache>
                <c:formatCode>0.00%</c:formatCode>
                <c:ptCount val="12"/>
                <c:pt idx="0">
                  <c:v>4.3754991848480775E-3</c:v>
                </c:pt>
                <c:pt idx="1">
                  <c:v>4.7273278599640521E-3</c:v>
                </c:pt>
                <c:pt idx="2">
                  <c:v>4.3798935805698588E-3</c:v>
                </c:pt>
                <c:pt idx="3">
                  <c:v>4.6258214415490218E-3</c:v>
                </c:pt>
                <c:pt idx="4">
                  <c:v>3.8481802277488264E-3</c:v>
                </c:pt>
                <c:pt idx="5">
                  <c:v>4.1129415948386759E-3</c:v>
                </c:pt>
                <c:pt idx="6">
                  <c:v>4.0479262640775787E-3</c:v>
                </c:pt>
                <c:pt idx="7">
                  <c:v>4.17899319958268E-3</c:v>
                </c:pt>
                <c:pt idx="8">
                  <c:v>4.2443889908272137E-3</c:v>
                </c:pt>
                <c:pt idx="9">
                  <c:v>4.3245454191795383E-3</c:v>
                </c:pt>
                <c:pt idx="10">
                  <c:v>4.3740175277673515E-3</c:v>
                </c:pt>
                <c:pt idx="11">
                  <c:v>4.4418694264006303E-3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E5-4BA3-ACF3-82457686D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886783"/>
        <c:axId val="244898847"/>
      </c:lineChart>
      <c:catAx>
        <c:axId val="244886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898847"/>
        <c:crosses val="autoZero"/>
        <c:auto val="1"/>
        <c:lblAlgn val="ctr"/>
        <c:lblOffset val="100"/>
        <c:noMultiLvlLbl val="0"/>
      </c:catAx>
      <c:valAx>
        <c:axId val="244898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8867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'VECC 5'!$A$27</c:f>
              <c:strCache>
                <c:ptCount val="1"/>
                <c:pt idx="0">
                  <c:v>Low Income Spending/Budget (2021 $)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'VECC 5'!$B$26:$M$26</c:f>
              <c:numCache>
                <c:formatCode>General</c:formatCode>
                <c:ptCount val="1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</c:numCache>
            </c:numRef>
          </c:cat>
          <c:val>
            <c:numRef>
              <c:f>'VECC 5'!$B$27:$M$27</c:f>
              <c:numCache>
                <c:formatCode>"$"#,##0.0</c:formatCode>
                <c:ptCount val="12"/>
                <c:pt idx="0">
                  <c:v>20207535.920216888</c:v>
                </c:pt>
                <c:pt idx="1">
                  <c:v>20564488.462948814</c:v>
                </c:pt>
                <c:pt idx="2">
                  <c:v>23010909.499627147</c:v>
                </c:pt>
                <c:pt idx="3">
                  <c:v>25567905.49487555</c:v>
                </c:pt>
                <c:pt idx="4">
                  <c:v>21860477.973818183</c:v>
                </c:pt>
                <c:pt idx="5">
                  <c:v>25491045</c:v>
                </c:pt>
                <c:pt idx="6">
                  <c:v>24923313.725490194</c:v>
                </c:pt>
                <c:pt idx="7">
                  <c:v>22095045.174932715</c:v>
                </c:pt>
                <c:pt idx="8">
                  <c:v>22095045.457629412</c:v>
                </c:pt>
                <c:pt idx="9">
                  <c:v>22095045.660875406</c:v>
                </c:pt>
                <c:pt idx="10">
                  <c:v>22095045.8782508</c:v>
                </c:pt>
                <c:pt idx="11">
                  <c:v>22095045.594099957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A-4B8A-BEB0-A3D72FB1D55C}"/>
            </c:ext>
          </c:extLst>
        </c:ser>
        <c:ser>
          <c:idx val="1"/>
          <c:order val="1"/>
          <c:tx>
            <c:strRef>
              <c:f>'VECC 5'!$A$28</c:f>
              <c:strCache>
                <c:ptCount val="1"/>
                <c:pt idx="0">
                  <c:v>Projected Spend Based on Historic Average % of Total DSM Budget (2021 $)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'VECC 5'!$B$26:$M$26</c:f>
              <c:numCache>
                <c:formatCode>General</c:formatCode>
                <c:ptCount val="1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</c:numCache>
            </c:numRef>
          </c:cat>
          <c:val>
            <c:numRef>
              <c:f>'VECC 5'!$B$28:$M$28</c:f>
              <c:numCache>
                <c:formatCode>General</c:formatCode>
                <c:ptCount val="12"/>
                <c:pt idx="7" formatCode="_(&quot;$&quot;* #,##0.00_);_(&quot;$&quot;* \(#,##0.00\);_(&quot;$&quot;* &quot;-&quot;??_);_(@_)">
                  <c:v>22621244.290184751</c:v>
                </c:pt>
                <c:pt idx="8" formatCode="_(&quot;$&quot;* #,##0.00_);_(&quot;$&quot;* \(#,##0.00\);_(&quot;$&quot;* &quot;-&quot;??_);_(@_)">
                  <c:v>23200707.776170209</c:v>
                </c:pt>
                <c:pt idx="9" formatCode="_(&quot;$&quot;* #,##0.00_);_(&quot;$&quot;* \(#,##0.00\);_(&quot;$&quot;* &quot;-&quot;??_);_(@_)">
                  <c:v>23797214.305861115</c:v>
                </c:pt>
                <c:pt idx="10" formatCode="_(&quot;$&quot;* #,##0.00_);_(&quot;$&quot;* \(#,##0.00\);_(&quot;$&quot;* &quot;-&quot;??_);_(@_)">
                  <c:v>24411265.238150775</c:v>
                </c:pt>
                <c:pt idx="11" formatCode="_(&quot;$&quot;* #,##0.00_);_(&quot;$&quot;* \(#,##0.00\);_(&quot;$&quot;* &quot;-&quot;??_);_(@_)">
                  <c:v>25043376.474937521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A-4B8A-BEB0-A3D72FB1D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9182384"/>
        <c:axId val="1689180304"/>
      </c:lineChart>
      <c:catAx>
        <c:axId val="168918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9180304"/>
        <c:crosses val="autoZero"/>
        <c:auto val="1"/>
        <c:lblAlgn val="ctr"/>
        <c:lblOffset val="100"/>
        <c:noMultiLvlLbl val="0"/>
      </c:catAx>
      <c:valAx>
        <c:axId val="1689180304"/>
        <c:scaling>
          <c:orientation val="minMax"/>
          <c:min val="11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9182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134619</xdr:colOff>
      <xdr:row>37</xdr:row>
      <xdr:rowOff>162136</xdr:rowOff>
    </xdr:from>
    <xdr:to>
      <xdr:col>2</xdr:col>
      <xdr:colOff>0</xdr:colOff>
      <xdr:row>52</xdr:row>
      <xdr:rowOff>162136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9F36DA-2F37-46F4-85BE-75018F82B6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142240</xdr:colOff>
      <xdr:row>16</xdr:row>
      <xdr:rowOff>69003</xdr:rowOff>
    </xdr:from>
    <xdr:to>
      <xdr:col>2</xdr:col>
      <xdr:colOff>0</xdr:colOff>
      <xdr:row>31</xdr:row>
      <xdr:rowOff>69003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0363A15-57EC-47B8-B6FA-D44E1B760B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34290</xdr:rowOff>
    </xdr:from>
    <xdr:to>
      <xdr:col>5</xdr:col>
      <xdr:colOff>320040</xdr:colOff>
      <xdr:row>27</xdr:row>
      <xdr:rowOff>34290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8FF3EDF-BAAD-4691-B85A-752C482583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42705</xdr:colOff>
      <xdr:row>32</xdr:row>
      <xdr:rowOff>179197</xdr:rowOff>
    </xdr:from>
    <xdr:to>
      <xdr:col>3</xdr:col>
      <xdr:colOff>555170</xdr:colOff>
      <xdr:row>47</xdr:row>
      <xdr:rowOff>179197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A33F6D37-768B-4F12-BEF4-110A1D5C64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%20Documents/Consulting/Canada/Ontario/Enbridge/egd%202021/2022-2027%20DSM%20plan/GEC%20Evidence/GEC%20evidence%20workpap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f Inc"/>
      <sheetName val="PIM sum proposal"/>
      <sheetName val="res-ind shift"/>
      <sheetName val="budget"/>
      <sheetName val="EGD save % sales"/>
      <sheetName val="Leaders Save % sales"/>
      <sheetName val="gas HP"/>
      <sheetName val="2015 pot study"/>
    </sheetNames>
    <sheetDataSet>
      <sheetData sheetId="0">
        <row r="7">
          <cell r="C7">
            <v>21.29</v>
          </cell>
          <cell r="D7">
            <v>21.687799999999999</v>
          </cell>
          <cell r="E7">
            <v>22.093556</v>
          </cell>
          <cell r="F7">
            <v>22.507427119999999</v>
          </cell>
          <cell r="G7">
            <v>22.929575662399998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ma-eeac.org/results-reporting/" TargetMode="External"/><Relationship Id="rId13" Type="http://schemas.openxmlformats.org/officeDocument/2006/relationships/hyperlink" Target="https://ma-eeac.org/results-reporting/" TargetMode="External"/><Relationship Id="rId3" Type="http://schemas.openxmlformats.org/officeDocument/2006/relationships/hyperlink" Target="https://minnesotapuc.legistar.com/LegislationDetail.aspx?ID=4598510&amp;GUID=DB88A1F7-DDA5-46FB-A875-6CCC1F8DEFBD" TargetMode="External"/><Relationship Id="rId7" Type="http://schemas.openxmlformats.org/officeDocument/2006/relationships/hyperlink" Target="https://ma-eeac.org/results-reporting/" TargetMode="External"/><Relationship Id="rId12" Type="http://schemas.openxmlformats.org/officeDocument/2006/relationships/hyperlink" Target="https://ma-eeac.org/results-reporting/" TargetMode="External"/><Relationship Id="rId2" Type="http://schemas.openxmlformats.org/officeDocument/2006/relationships/hyperlink" Target="http://rieermc.ri.gov/wp-content/uploads/2020/05/ngrid_4888-year-end-report-2019-puc-5-15-20.pdf" TargetMode="External"/><Relationship Id="rId1" Type="http://schemas.openxmlformats.org/officeDocument/2006/relationships/hyperlink" Target="https://ma-eeac.org/results-reporting/" TargetMode="External"/><Relationship Id="rId6" Type="http://schemas.openxmlformats.org/officeDocument/2006/relationships/hyperlink" Target="https://www.newlook.dteenergy.com/wps/wcm/connect/dac12d4d-f194-4632-83b0-7206c4fe149c/EWR-Annual-Report.pdf?MOD=AJPERES" TargetMode="External"/><Relationship Id="rId11" Type="http://schemas.openxmlformats.org/officeDocument/2006/relationships/hyperlink" Target="https://ma-eeac.org/results-reporting/" TargetMode="External"/><Relationship Id="rId5" Type="http://schemas.openxmlformats.org/officeDocument/2006/relationships/hyperlink" Target="https://www.newlook.dteenergy.com/wps/wcm/connect/dac12d4d-f194-4632-83b0-7206c4fe149c/EWR-Annual-Report.pdf?MOD=AJPERES" TargetMode="External"/><Relationship Id="rId10" Type="http://schemas.openxmlformats.org/officeDocument/2006/relationships/hyperlink" Target="https://ma-eeac.org/results-reporting/" TargetMode="External"/><Relationship Id="rId4" Type="http://schemas.openxmlformats.org/officeDocument/2006/relationships/hyperlink" Target="https://minnesotapuc.legistar.com/LegislationDetail.aspx?ID=4598510&amp;GUID=DB88A1F7-DDA5-46FB-A875-6CCC1F8DEFBD" TargetMode="External"/><Relationship Id="rId9" Type="http://schemas.openxmlformats.org/officeDocument/2006/relationships/hyperlink" Target="https://ma-eeac.org/results-reporting/" TargetMode="External"/><Relationship Id="rId1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DE086-6BF7-49D0-BBD5-395B3DDDE0EE}">
  <dimension ref="A3:Q37"/>
  <sheetViews>
    <sheetView zoomScale="90" zoomScaleNormal="90" workbookViewId="0">
      <selection activeCell="B11" sqref="B11"/>
    </sheetView>
  </sheetViews>
  <sheetFormatPr defaultRowHeight="14.4" x14ac:dyDescent="0.3"/>
  <cols>
    <col min="1" max="1" width="2.109375" customWidth="1"/>
    <col min="2" max="2" width="61.21875" customWidth="1"/>
    <col min="3" max="9" width="8.88671875" customWidth="1"/>
    <col min="10" max="10" width="10.5546875" bestFit="1" customWidth="1"/>
  </cols>
  <sheetData>
    <row r="3" spans="1:17" x14ac:dyDescent="0.3">
      <c r="A3" s="54"/>
      <c r="B3" s="54"/>
      <c r="C3" s="1">
        <v>2016</v>
      </c>
      <c r="D3" s="1">
        <f t="shared" ref="D3:N3" si="0">C3+1</f>
        <v>2017</v>
      </c>
      <c r="E3" s="1">
        <f t="shared" si="0"/>
        <v>2018</v>
      </c>
      <c r="F3" s="1">
        <f t="shared" si="0"/>
        <v>2019</v>
      </c>
      <c r="G3" s="1">
        <f t="shared" si="0"/>
        <v>2020</v>
      </c>
      <c r="H3" s="1">
        <f t="shared" si="0"/>
        <v>2021</v>
      </c>
      <c r="I3" s="1">
        <f t="shared" si="0"/>
        <v>2022</v>
      </c>
      <c r="J3" s="2">
        <f t="shared" si="0"/>
        <v>2023</v>
      </c>
      <c r="K3" s="2">
        <f t="shared" si="0"/>
        <v>2024</v>
      </c>
      <c r="L3" s="2">
        <f t="shared" si="0"/>
        <v>2025</v>
      </c>
      <c r="M3" s="2">
        <f t="shared" si="0"/>
        <v>2026</v>
      </c>
      <c r="N3" s="2">
        <f t="shared" si="0"/>
        <v>2027</v>
      </c>
    </row>
    <row r="4" spans="1:17" x14ac:dyDescent="0.3">
      <c r="A4" s="3">
        <v>1</v>
      </c>
      <c r="B4" s="4" t="s">
        <v>0</v>
      </c>
      <c r="C4" s="5">
        <v>106.3</v>
      </c>
      <c r="D4" s="5">
        <v>126.9</v>
      </c>
      <c r="E4" s="5">
        <v>135.30000000000001</v>
      </c>
      <c r="F4" s="5">
        <v>138.4</v>
      </c>
      <c r="G4" s="5">
        <v>119</v>
      </c>
      <c r="H4" s="5">
        <v>135</v>
      </c>
      <c r="I4" s="5">
        <v>133.6</v>
      </c>
      <c r="J4" s="5">
        <v>142.30000000000001</v>
      </c>
      <c r="K4" s="5">
        <v>148.80000000000001</v>
      </c>
      <c r="L4" s="5">
        <v>155.69999999999999</v>
      </c>
      <c r="M4" s="5">
        <v>162.9</v>
      </c>
      <c r="N4" s="5">
        <v>170.5</v>
      </c>
      <c r="O4" s="8"/>
      <c r="P4" s="7"/>
      <c r="Q4" s="7"/>
    </row>
    <row r="5" spans="1:17" x14ac:dyDescent="0.3">
      <c r="A5" s="3">
        <f>A4+1</f>
        <v>2</v>
      </c>
      <c r="B5" s="4" t="s">
        <v>1</v>
      </c>
      <c r="C5" s="5"/>
      <c r="D5" s="5"/>
      <c r="E5" s="5"/>
      <c r="F5" s="5"/>
      <c r="G5" s="5"/>
      <c r="H5" s="5"/>
      <c r="I5" s="5"/>
      <c r="J5" s="6">
        <f>'[1]Perf Inc'!C7/2</f>
        <v>10.645</v>
      </c>
      <c r="K5" s="6">
        <f>'[1]Perf Inc'!D7/2</f>
        <v>10.8439</v>
      </c>
      <c r="L5" s="6">
        <f>'[1]Perf Inc'!E7/2</f>
        <v>11.046778</v>
      </c>
      <c r="M5" s="6">
        <f>'[1]Perf Inc'!F7/2</f>
        <v>11.25371356</v>
      </c>
      <c r="N5" s="6">
        <f>'[1]Perf Inc'!G7/2</f>
        <v>11.464787831199999</v>
      </c>
      <c r="O5" s="7"/>
      <c r="P5" s="8"/>
      <c r="Q5" s="8"/>
    </row>
    <row r="6" spans="1:17" x14ac:dyDescent="0.3">
      <c r="A6" s="3">
        <f t="shared" ref="A6:A9" si="1">A5+1</f>
        <v>3</v>
      </c>
      <c r="B6" s="4" t="s">
        <v>2</v>
      </c>
      <c r="C6" s="5"/>
      <c r="D6" s="5"/>
      <c r="E6" s="5"/>
      <c r="F6" s="5"/>
      <c r="G6" s="5"/>
      <c r="H6" s="5"/>
      <c r="I6" s="5"/>
      <c r="J6" s="6">
        <f>J5+J4</f>
        <v>152.94500000000002</v>
      </c>
      <c r="K6" s="6">
        <f t="shared" ref="K6:N6" si="2">K5+K4</f>
        <v>159.6439</v>
      </c>
      <c r="L6" s="6">
        <f t="shared" si="2"/>
        <v>166.74677799999998</v>
      </c>
      <c r="M6" s="6">
        <f t="shared" si="2"/>
        <v>174.15371356</v>
      </c>
      <c r="N6" s="6">
        <f t="shared" si="2"/>
        <v>181.9647878312</v>
      </c>
      <c r="O6" s="7"/>
      <c r="P6" s="8"/>
      <c r="Q6" s="8"/>
    </row>
    <row r="7" spans="1:17" x14ac:dyDescent="0.3">
      <c r="A7" s="3">
        <f t="shared" si="1"/>
        <v>4</v>
      </c>
      <c r="B7" s="4" t="s">
        <v>3</v>
      </c>
      <c r="C7" s="5">
        <f>C4*($H$9/C9)</f>
        <v>118.48621223857475</v>
      </c>
      <c r="D7" s="5">
        <f>D4*($H$9/D9)</f>
        <v>139.50275019098547</v>
      </c>
      <c r="E7" s="5">
        <f t="shared" ref="E7:F7" si="3">E4*($H$9/E9)</f>
        <v>145.18769574944073</v>
      </c>
      <c r="F7" s="5">
        <f t="shared" si="3"/>
        <v>145.79619326500733</v>
      </c>
      <c r="G7" s="5">
        <f>G4*($H$9/G9)</f>
        <v>124.5389090909091</v>
      </c>
      <c r="H7" s="5">
        <f t="shared" ref="H7:M7" si="4">H4*($H$9/H9)</f>
        <v>135</v>
      </c>
      <c r="I7" s="5">
        <f>I4*($H$9/I9)</f>
        <v>130.98039215686273</v>
      </c>
      <c r="J7" s="5">
        <f>J4*($H$9/J9)</f>
        <v>136.77431757016529</v>
      </c>
      <c r="K7" s="5">
        <f t="shared" si="4"/>
        <v>140.21756338060021</v>
      </c>
      <c r="L7" s="5">
        <f t="shared" si="4"/>
        <v>143.84273283232821</v>
      </c>
      <c r="M7" s="5">
        <f t="shared" si="4"/>
        <v>147.54354892129325</v>
      </c>
      <c r="N7" s="5">
        <f>N4*($H$9/N9)</f>
        <v>151.3991206627457</v>
      </c>
      <c r="O7" s="7"/>
      <c r="P7" s="8"/>
      <c r="Q7" s="8"/>
    </row>
    <row r="8" spans="1:17" x14ac:dyDescent="0.3">
      <c r="A8" s="3">
        <f t="shared" si="1"/>
        <v>5</v>
      </c>
      <c r="B8" s="4" t="s">
        <v>4</v>
      </c>
      <c r="C8" s="10">
        <v>106.5</v>
      </c>
      <c r="D8" s="10">
        <v>114</v>
      </c>
      <c r="E8" s="10">
        <v>108.4</v>
      </c>
      <c r="F8" s="10">
        <v>115.7</v>
      </c>
      <c r="G8" s="10">
        <v>96.2</v>
      </c>
      <c r="H8" s="10">
        <v>101.4</v>
      </c>
      <c r="I8" s="10">
        <v>102.2</v>
      </c>
      <c r="J8" s="6">
        <v>106.7</v>
      </c>
      <c r="K8" s="6">
        <v>108.9</v>
      </c>
      <c r="L8" s="6">
        <v>111.2</v>
      </c>
      <c r="M8" s="6">
        <v>113.2</v>
      </c>
      <c r="N8" s="6">
        <v>115.4</v>
      </c>
    </row>
    <row r="9" spans="1:17" x14ac:dyDescent="0.3">
      <c r="A9" s="3">
        <f t="shared" si="1"/>
        <v>6</v>
      </c>
      <c r="B9" s="4" t="s">
        <v>5</v>
      </c>
      <c r="C9" s="4">
        <v>129.1</v>
      </c>
      <c r="D9" s="4">
        <v>130.9</v>
      </c>
      <c r="E9" s="4">
        <v>134.1</v>
      </c>
      <c r="F9" s="4">
        <v>136.6</v>
      </c>
      <c r="G9" s="4">
        <v>137.5</v>
      </c>
      <c r="H9" s="4">
        <v>143.9</v>
      </c>
      <c r="I9" s="10">
        <f>H9*1.02</f>
        <v>146.77800000000002</v>
      </c>
      <c r="J9" s="6">
        <f t="shared" ref="J9:N9" si="5">I9*1.02</f>
        <v>149.71356000000003</v>
      </c>
      <c r="K9" s="6">
        <f t="shared" si="5"/>
        <v>152.70783120000004</v>
      </c>
      <c r="L9" s="6">
        <f t="shared" si="5"/>
        <v>155.76198782400004</v>
      </c>
      <c r="M9" s="6">
        <f t="shared" si="5"/>
        <v>158.87722758048005</v>
      </c>
      <c r="N9" s="6">
        <f t="shared" si="5"/>
        <v>162.05477213208965</v>
      </c>
    </row>
    <row r="10" spans="1:17" x14ac:dyDescent="0.3">
      <c r="B10" s="11"/>
      <c r="J10" s="12"/>
      <c r="K10" s="12"/>
      <c r="L10" s="12"/>
      <c r="M10" s="12"/>
      <c r="N10" s="12"/>
    </row>
    <row r="11" spans="1:17" x14ac:dyDescent="0.3">
      <c r="B11" s="13" t="s">
        <v>6</v>
      </c>
      <c r="E11" s="14"/>
      <c r="F11" s="14"/>
      <c r="H11" s="15"/>
    </row>
    <row r="12" spans="1:17" x14ac:dyDescent="0.3">
      <c r="B12" s="11" t="s">
        <v>7</v>
      </c>
      <c r="H12" s="15"/>
    </row>
    <row r="13" spans="1:17" x14ac:dyDescent="0.3">
      <c r="K13" s="9"/>
      <c r="L13" s="9"/>
      <c r="M13" s="9"/>
      <c r="N13" s="9"/>
    </row>
    <row r="14" spans="1:17" x14ac:dyDescent="0.3">
      <c r="J14" s="16"/>
      <c r="K14" s="16"/>
      <c r="L14" s="16"/>
      <c r="M14" s="16"/>
      <c r="N14" s="16"/>
    </row>
    <row r="16" spans="1:17" x14ac:dyDescent="0.3">
      <c r="B16" s="17" t="s">
        <v>10</v>
      </c>
    </row>
    <row r="19" spans="2:2" x14ac:dyDescent="0.3">
      <c r="B19" s="17"/>
    </row>
    <row r="36" spans="2:14" x14ac:dyDescent="0.3">
      <c r="J36" s="9"/>
      <c r="K36" s="9"/>
      <c r="L36" s="9"/>
      <c r="M36" s="9"/>
      <c r="N36" s="9"/>
    </row>
    <row r="37" spans="2:14" x14ac:dyDescent="0.3">
      <c r="B37" t="s">
        <v>9</v>
      </c>
      <c r="J37" s="9"/>
      <c r="K37" s="9"/>
      <c r="L37" s="9"/>
      <c r="M37" s="9"/>
      <c r="N37" s="9"/>
    </row>
  </sheetData>
  <mergeCells count="1">
    <mergeCell ref="A3:B3"/>
  </mergeCells>
  <hyperlinks>
    <hyperlink ref="B16" location="_ftn1" display="_ftn1" xr:uid="{2C358560-7559-43B7-9FE9-20ECE90C5C55}"/>
  </hyperlink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58CF8-0E62-47F4-B802-51A9EB9E76FA}">
  <dimension ref="A3:N12"/>
  <sheetViews>
    <sheetView tabSelected="1" workbookViewId="0">
      <selection activeCell="H30" sqref="H30"/>
    </sheetView>
  </sheetViews>
  <sheetFormatPr defaultRowHeight="14.4" x14ac:dyDescent="0.3"/>
  <cols>
    <col min="1" max="1" width="35.44140625" customWidth="1"/>
    <col min="2" max="2" width="10.109375" bestFit="1" customWidth="1"/>
  </cols>
  <sheetData>
    <row r="3" spans="1:14" x14ac:dyDescent="0.3">
      <c r="B3" s="18">
        <v>2016</v>
      </c>
      <c r="C3" s="18">
        <f>B3+1</f>
        <v>2017</v>
      </c>
      <c r="D3" s="18">
        <f t="shared" ref="D3:M3" si="0">C3+1</f>
        <v>2018</v>
      </c>
      <c r="E3" s="18">
        <f t="shared" si="0"/>
        <v>2019</v>
      </c>
      <c r="F3" s="18">
        <f t="shared" si="0"/>
        <v>2020</v>
      </c>
      <c r="G3" s="18">
        <f t="shared" si="0"/>
        <v>2021</v>
      </c>
      <c r="H3" s="18">
        <f t="shared" si="0"/>
        <v>2022</v>
      </c>
      <c r="I3" s="18">
        <f t="shared" si="0"/>
        <v>2023</v>
      </c>
      <c r="J3" s="18">
        <f t="shared" si="0"/>
        <v>2024</v>
      </c>
      <c r="K3" s="18">
        <f>J3+1</f>
        <v>2025</v>
      </c>
      <c r="L3" s="18">
        <f t="shared" si="0"/>
        <v>2026</v>
      </c>
      <c r="M3" s="18">
        <f t="shared" si="0"/>
        <v>2027</v>
      </c>
      <c r="N3" t="s">
        <v>17</v>
      </c>
    </row>
    <row r="4" spans="1:14" hidden="1" x14ac:dyDescent="0.3">
      <c r="A4" t="s">
        <v>11</v>
      </c>
      <c r="B4" s="19">
        <v>24340079.954488166</v>
      </c>
      <c r="C4" s="19">
        <v>24115103.368537437</v>
      </c>
      <c r="D4" s="19">
        <v>24749459.777033284</v>
      </c>
      <c r="E4" s="19">
        <v>25011773.900476411</v>
      </c>
      <c r="F4" s="19">
        <v>24998829.136512846</v>
      </c>
      <c r="G4" s="19">
        <v>24653887.652391348</v>
      </c>
      <c r="H4" s="19">
        <v>25247495.466246799</v>
      </c>
      <c r="I4" s="19">
        <v>25532465.573443674</v>
      </c>
      <c r="J4" s="19">
        <v>25657403.276502196</v>
      </c>
      <c r="K4" s="19">
        <v>25713685.305933747</v>
      </c>
      <c r="L4" s="19">
        <v>25880097.480492074</v>
      </c>
      <c r="M4" s="19">
        <v>25980052.298275642</v>
      </c>
      <c r="N4" s="19">
        <v>25980052.298275642</v>
      </c>
    </row>
    <row r="5" spans="1:14" x14ac:dyDescent="0.3">
      <c r="A5" t="s">
        <v>12</v>
      </c>
      <c r="B5" s="20">
        <f>B4/1000</f>
        <v>24340.079954488167</v>
      </c>
      <c r="C5" s="20">
        <f t="shared" ref="C5:M5" si="1">C4/1000</f>
        <v>24115.103368537439</v>
      </c>
      <c r="D5" s="20">
        <f t="shared" si="1"/>
        <v>24749.459777033284</v>
      </c>
      <c r="E5" s="20">
        <f t="shared" si="1"/>
        <v>25011.773900476412</v>
      </c>
      <c r="F5" s="20">
        <f t="shared" si="1"/>
        <v>24998.829136512846</v>
      </c>
      <c r="G5" s="20">
        <f t="shared" si="1"/>
        <v>24653.88765239135</v>
      </c>
      <c r="H5" s="20">
        <f t="shared" si="1"/>
        <v>25247.495466246797</v>
      </c>
      <c r="I5" s="20">
        <f t="shared" si="1"/>
        <v>25532.465573443675</v>
      </c>
      <c r="J5" s="20">
        <f t="shared" si="1"/>
        <v>25657.403276502195</v>
      </c>
      <c r="K5" s="20">
        <f t="shared" si="1"/>
        <v>25713.685305933748</v>
      </c>
      <c r="L5" s="20">
        <f t="shared" si="1"/>
        <v>25880.097480492073</v>
      </c>
      <c r="M5" s="20">
        <f t="shared" si="1"/>
        <v>25980.052298275641</v>
      </c>
      <c r="N5" s="13" t="s">
        <v>13</v>
      </c>
    </row>
    <row r="6" spans="1:14" x14ac:dyDescent="0.3">
      <c r="A6" t="s">
        <v>14</v>
      </c>
      <c r="B6" s="21">
        <v>106.5</v>
      </c>
      <c r="C6" s="21">
        <v>114</v>
      </c>
      <c r="D6" s="21">
        <v>108.4</v>
      </c>
      <c r="E6" s="21">
        <v>115.7</v>
      </c>
      <c r="F6" s="21">
        <v>96.2</v>
      </c>
      <c r="G6" s="21">
        <v>101.4</v>
      </c>
      <c r="H6" s="21">
        <v>102.2</v>
      </c>
      <c r="I6" s="21">
        <v>106.7</v>
      </c>
      <c r="J6" s="21">
        <v>108.9</v>
      </c>
      <c r="K6" s="21">
        <v>111.2</v>
      </c>
      <c r="L6" s="21">
        <v>113.2</v>
      </c>
      <c r="M6" s="14">
        <v>115.4</v>
      </c>
      <c r="N6" s="13" t="s">
        <v>18</v>
      </c>
    </row>
    <row r="7" spans="1:14" x14ac:dyDescent="0.3">
      <c r="A7" t="s">
        <v>15</v>
      </c>
      <c r="B7" s="22">
        <f>B6/B5</f>
        <v>4.3754991848480775E-3</v>
      </c>
      <c r="C7" s="22">
        <f t="shared" ref="C7:M7" si="2">C6/C5</f>
        <v>4.7273278599640521E-3</v>
      </c>
      <c r="D7" s="22">
        <f t="shared" si="2"/>
        <v>4.3798935805698588E-3</v>
      </c>
      <c r="E7" s="22">
        <f t="shared" si="2"/>
        <v>4.6258214415490218E-3</v>
      </c>
      <c r="F7" s="22">
        <f t="shared" si="2"/>
        <v>3.8481802277488264E-3</v>
      </c>
      <c r="G7" s="22">
        <f t="shared" si="2"/>
        <v>4.1129415948386759E-3</v>
      </c>
      <c r="H7" s="22">
        <f t="shared" si="2"/>
        <v>4.0479262640775787E-3</v>
      </c>
      <c r="I7" s="22">
        <f t="shared" si="2"/>
        <v>4.17899319958268E-3</v>
      </c>
      <c r="J7" s="22">
        <f t="shared" si="2"/>
        <v>4.2443889908272137E-3</v>
      </c>
      <c r="K7" s="22">
        <f t="shared" si="2"/>
        <v>4.3245454191795383E-3</v>
      </c>
      <c r="L7" s="22">
        <f t="shared" si="2"/>
        <v>4.3740175277673515E-3</v>
      </c>
      <c r="M7" s="22">
        <f t="shared" si="2"/>
        <v>4.4418694264006303E-3</v>
      </c>
      <c r="N7" s="23"/>
    </row>
    <row r="8" spans="1:14" x14ac:dyDescent="0.3">
      <c r="N8" s="22"/>
    </row>
    <row r="12" spans="1:14" x14ac:dyDescent="0.3">
      <c r="A12" t="s">
        <v>16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E3E6-F117-424A-AA68-78C16682178E}">
  <dimension ref="A1:S32"/>
  <sheetViews>
    <sheetView topLeftCell="A18" zoomScale="70" zoomScaleNormal="70" workbookViewId="0">
      <selection activeCell="B3" sqref="B3:N4"/>
    </sheetView>
  </sheetViews>
  <sheetFormatPr defaultRowHeight="14.4" x14ac:dyDescent="0.3"/>
  <cols>
    <col min="1" max="1" width="39.6640625" customWidth="1"/>
    <col min="2" max="5" width="15.109375" customWidth="1"/>
    <col min="6" max="14" width="15.6640625" bestFit="1" customWidth="1"/>
    <col min="15" max="15" width="14.6640625" bestFit="1" customWidth="1"/>
  </cols>
  <sheetData>
    <row r="1" spans="1:19" x14ac:dyDescent="0.3">
      <c r="A1" t="s">
        <v>19</v>
      </c>
    </row>
    <row r="2" spans="1:19" x14ac:dyDescent="0.3">
      <c r="B2">
        <v>2015</v>
      </c>
      <c r="C2">
        <v>2016</v>
      </c>
      <c r="D2">
        <f t="shared" ref="D2:N2" si="0">C2+1</f>
        <v>2017</v>
      </c>
      <c r="E2">
        <f t="shared" si="0"/>
        <v>2018</v>
      </c>
      <c r="F2">
        <f t="shared" si="0"/>
        <v>2019</v>
      </c>
      <c r="G2">
        <f t="shared" si="0"/>
        <v>2020</v>
      </c>
      <c r="H2">
        <f t="shared" si="0"/>
        <v>2021</v>
      </c>
      <c r="I2">
        <f t="shared" si="0"/>
        <v>2022</v>
      </c>
      <c r="J2">
        <f t="shared" si="0"/>
        <v>2023</v>
      </c>
      <c r="K2">
        <f t="shared" si="0"/>
        <v>2024</v>
      </c>
      <c r="L2">
        <f t="shared" si="0"/>
        <v>2025</v>
      </c>
      <c r="M2">
        <f t="shared" si="0"/>
        <v>2026</v>
      </c>
      <c r="N2">
        <f t="shared" si="0"/>
        <v>2027</v>
      </c>
    </row>
    <row r="3" spans="1:19" x14ac:dyDescent="0.3">
      <c r="A3" t="s">
        <v>20</v>
      </c>
      <c r="B3" s="51">
        <v>15943482</v>
      </c>
      <c r="C3" s="51">
        <v>18129207</v>
      </c>
      <c r="D3" s="51">
        <v>18706682</v>
      </c>
      <c r="E3" s="51">
        <v>21443801</v>
      </c>
      <c r="F3" s="51">
        <v>24270854</v>
      </c>
      <c r="G3" s="51">
        <v>20888226</v>
      </c>
      <c r="H3" s="51">
        <v>25491045</v>
      </c>
      <c r="I3" s="51">
        <v>25421780</v>
      </c>
      <c r="J3" s="51">
        <v>22987685</v>
      </c>
      <c r="K3" s="51">
        <v>23447439</v>
      </c>
      <c r="L3" s="51">
        <v>23916388</v>
      </c>
      <c r="M3" s="51">
        <v>24394716</v>
      </c>
      <c r="N3" s="51">
        <v>24882610</v>
      </c>
    </row>
    <row r="4" spans="1:19" x14ac:dyDescent="0.3">
      <c r="A4" t="s">
        <v>22</v>
      </c>
      <c r="B4" s="51">
        <f>B3*($H$6/B6)</f>
        <v>18036690.721698113</v>
      </c>
      <c r="C4" s="51">
        <f t="shared" ref="C4:I4" si="1">C3*($H$6/C6)</f>
        <v>20207535.920216888</v>
      </c>
      <c r="D4" s="51">
        <f>D3*($H$6/D6)</f>
        <v>20564488.462948814</v>
      </c>
      <c r="E4" s="51">
        <f t="shared" si="1"/>
        <v>23010909.499627147</v>
      </c>
      <c r="F4" s="51">
        <f t="shared" si="1"/>
        <v>25567905.49487555</v>
      </c>
      <c r="G4" s="51">
        <f t="shared" si="1"/>
        <v>21860477.973818183</v>
      </c>
      <c r="H4" s="51">
        <f t="shared" si="1"/>
        <v>25491045</v>
      </c>
      <c r="I4" s="51">
        <f t="shared" si="1"/>
        <v>24923313.725490194</v>
      </c>
      <c r="J4" s="51">
        <f>J3*($H$6/J6)</f>
        <v>22095045.174932715</v>
      </c>
      <c r="K4" s="51">
        <f t="shared" ref="K4:N4" si="2">K3*($H$6/K6)</f>
        <v>22095045.457629412</v>
      </c>
      <c r="L4" s="51">
        <f t="shared" si="2"/>
        <v>22095045.660875406</v>
      </c>
      <c r="M4" s="51">
        <f t="shared" si="2"/>
        <v>22095045.8782508</v>
      </c>
      <c r="N4" s="51">
        <f t="shared" si="2"/>
        <v>22095045.594099957</v>
      </c>
      <c r="O4" s="8"/>
    </row>
    <row r="5" spans="1:19" x14ac:dyDescent="0.3">
      <c r="A5" t="s">
        <v>4</v>
      </c>
      <c r="B5">
        <v>174</v>
      </c>
      <c r="C5" s="14">
        <v>106.5</v>
      </c>
      <c r="D5" s="14">
        <v>114</v>
      </c>
      <c r="E5" s="14">
        <v>108.4</v>
      </c>
      <c r="F5" s="14">
        <v>115.7</v>
      </c>
      <c r="G5" s="14">
        <v>96.2</v>
      </c>
      <c r="H5" s="14">
        <v>101.4</v>
      </c>
      <c r="I5" s="14">
        <v>102.2</v>
      </c>
      <c r="J5" s="14">
        <v>106.7</v>
      </c>
      <c r="K5" s="14">
        <v>108.9</v>
      </c>
      <c r="L5" s="14">
        <v>111.2</v>
      </c>
      <c r="M5" s="14">
        <v>113.2</v>
      </c>
      <c r="N5" s="14">
        <v>115.4</v>
      </c>
    </row>
    <row r="6" spans="1:19" x14ac:dyDescent="0.3">
      <c r="A6" t="s">
        <v>5</v>
      </c>
      <c r="B6">
        <v>127.2</v>
      </c>
      <c r="C6">
        <v>129.1</v>
      </c>
      <c r="D6">
        <v>130.9</v>
      </c>
      <c r="E6">
        <v>134.1</v>
      </c>
      <c r="F6">
        <v>136.6</v>
      </c>
      <c r="G6">
        <v>137.5</v>
      </c>
      <c r="H6">
        <v>143.9</v>
      </c>
      <c r="I6" s="14">
        <v>146.77800000000002</v>
      </c>
      <c r="J6" s="14">
        <v>149.71356000000003</v>
      </c>
      <c r="K6" s="14">
        <v>152.70783120000004</v>
      </c>
      <c r="L6" s="14">
        <v>155.76198782400004</v>
      </c>
      <c r="M6" s="14">
        <v>158.87722758048005</v>
      </c>
      <c r="N6" s="14">
        <v>162.05477213208965</v>
      </c>
    </row>
    <row r="7" spans="1:19" x14ac:dyDescent="0.3">
      <c r="I7" s="14"/>
      <c r="J7" s="14"/>
      <c r="K7" s="14"/>
      <c r="L7" s="14"/>
      <c r="M7" s="14"/>
      <c r="N7" s="14"/>
    </row>
    <row r="8" spans="1:19" x14ac:dyDescent="0.3">
      <c r="A8" t="s">
        <v>30</v>
      </c>
      <c r="I8" s="14"/>
      <c r="J8" s="14"/>
      <c r="K8" s="14"/>
      <c r="L8" s="14"/>
      <c r="M8" s="14"/>
      <c r="N8" s="14"/>
    </row>
    <row r="9" spans="1:19" x14ac:dyDescent="0.3">
      <c r="A9" t="s">
        <v>31</v>
      </c>
      <c r="I9" s="14"/>
      <c r="J9" s="14"/>
      <c r="K9" s="14"/>
      <c r="L9" s="14"/>
      <c r="M9" s="14"/>
      <c r="N9" s="14"/>
    </row>
    <row r="10" spans="1:19" x14ac:dyDescent="0.3">
      <c r="A10" t="s">
        <v>6</v>
      </c>
    </row>
    <row r="11" spans="1:19" x14ac:dyDescent="0.3">
      <c r="A11" t="s">
        <v>7</v>
      </c>
      <c r="B11" t="s">
        <v>8</v>
      </c>
    </row>
    <row r="13" spans="1:19" x14ac:dyDescent="0.3">
      <c r="B13">
        <v>2015</v>
      </c>
      <c r="C13">
        <f t="shared" ref="C13:N13" si="3">B13+1</f>
        <v>2016</v>
      </c>
      <c r="D13">
        <f t="shared" si="3"/>
        <v>2017</v>
      </c>
      <c r="E13">
        <f t="shared" si="3"/>
        <v>2018</v>
      </c>
      <c r="F13">
        <f t="shared" si="3"/>
        <v>2019</v>
      </c>
      <c r="G13">
        <f t="shared" si="3"/>
        <v>2020</v>
      </c>
      <c r="H13">
        <f t="shared" si="3"/>
        <v>2021</v>
      </c>
      <c r="I13">
        <f t="shared" si="3"/>
        <v>2022</v>
      </c>
      <c r="J13">
        <f t="shared" si="3"/>
        <v>2023</v>
      </c>
      <c r="K13">
        <f t="shared" si="3"/>
        <v>2024</v>
      </c>
      <c r="L13">
        <f t="shared" si="3"/>
        <v>2025</v>
      </c>
      <c r="M13">
        <f t="shared" si="3"/>
        <v>2026</v>
      </c>
      <c r="N13">
        <f t="shared" si="3"/>
        <v>2027</v>
      </c>
    </row>
    <row r="14" spans="1:19" x14ac:dyDescent="0.3">
      <c r="A14" t="s">
        <v>23</v>
      </c>
      <c r="B14" s="24">
        <v>64045137</v>
      </c>
      <c r="C14" s="24">
        <v>94902471</v>
      </c>
      <c r="D14" s="24">
        <v>115584485</v>
      </c>
      <c r="E14" s="24">
        <v>121951961</v>
      </c>
      <c r="F14" s="24">
        <v>127401082</v>
      </c>
      <c r="G14" s="24">
        <v>111464042</v>
      </c>
      <c r="H14" s="24">
        <v>126190374</v>
      </c>
      <c r="I14" s="24">
        <v>122701198</v>
      </c>
      <c r="J14" s="24">
        <v>123900000</v>
      </c>
      <c r="K14" s="24">
        <v>130095000</v>
      </c>
      <c r="L14" s="24">
        <v>136599750</v>
      </c>
      <c r="M14" s="24">
        <v>143429738</v>
      </c>
      <c r="N14" s="24">
        <v>150601225</v>
      </c>
    </row>
    <row r="15" spans="1:19" x14ac:dyDescent="0.3">
      <c r="A15" t="s">
        <v>24</v>
      </c>
      <c r="B15" s="24">
        <v>68172617</v>
      </c>
      <c r="C15" s="24">
        <v>106313936</v>
      </c>
      <c r="D15" s="24">
        <v>126944549</v>
      </c>
      <c r="E15" s="24">
        <v>135277387</v>
      </c>
      <c r="F15" s="24">
        <v>138447745</v>
      </c>
      <c r="G15" s="24">
        <v>119036736</v>
      </c>
      <c r="H15" s="24">
        <v>135015071</v>
      </c>
      <c r="I15" s="24">
        <v>133606917</v>
      </c>
      <c r="J15" s="24">
        <v>142260000</v>
      </c>
      <c r="K15" s="24">
        <v>148822200</v>
      </c>
      <c r="L15" s="24">
        <v>155701494</v>
      </c>
      <c r="M15" s="24">
        <v>162913517</v>
      </c>
      <c r="N15" s="24">
        <v>170474680</v>
      </c>
      <c r="O15" s="7"/>
      <c r="Q15" s="7"/>
      <c r="R15" s="8"/>
      <c r="S15" s="8"/>
    </row>
    <row r="16" spans="1:19" x14ac:dyDescent="0.3">
      <c r="A16" t="s">
        <v>3</v>
      </c>
      <c r="B16" s="24">
        <f>B15*($H$18/B18)</f>
        <v>77122952.722484276</v>
      </c>
      <c r="C16" s="24">
        <f>C15*($H$18/C18)</f>
        <v>118501745.85902402</v>
      </c>
      <c r="D16" s="24">
        <f t="shared" ref="D16:M16" si="4">D15*($H$18/D18)</f>
        <v>139551723.46142092</v>
      </c>
      <c r="E16" s="24">
        <f t="shared" si="4"/>
        <v>145163430.19612232</v>
      </c>
      <c r="F16" s="24">
        <f t="shared" si="4"/>
        <v>145846489.79136166</v>
      </c>
      <c r="G16" s="24">
        <f t="shared" si="4"/>
        <v>124577354.98472729</v>
      </c>
      <c r="H16" s="24">
        <f t="shared" si="4"/>
        <v>135015071</v>
      </c>
      <c r="I16" s="24">
        <f t="shared" si="4"/>
        <v>130987173.52941176</v>
      </c>
      <c r="J16" s="24">
        <f>J15*($H$18/J18)</f>
        <v>136735870.81891578</v>
      </c>
      <c r="K16" s="24">
        <f>K15*($H$18/K18)</f>
        <v>140238482.93642715</v>
      </c>
      <c r="L16" s="24">
        <f t="shared" si="4"/>
        <v>143844113.05739471</v>
      </c>
      <c r="M16" s="24">
        <f t="shared" si="4"/>
        <v>147555791.68464974</v>
      </c>
      <c r="N16" s="24">
        <f>N15*($H$18/N18)</f>
        <v>151376637.22734874</v>
      </c>
      <c r="O16" s="7"/>
      <c r="P16" s="8"/>
      <c r="Q16" s="7"/>
      <c r="R16" s="8"/>
      <c r="S16" s="8"/>
    </row>
    <row r="17" spans="1:15" x14ac:dyDescent="0.3">
      <c r="A17" t="s">
        <v>4</v>
      </c>
      <c r="B17">
        <v>174</v>
      </c>
      <c r="C17" s="14">
        <v>106.5</v>
      </c>
      <c r="D17" s="14">
        <v>114</v>
      </c>
      <c r="E17" s="14">
        <v>108.4</v>
      </c>
      <c r="F17" s="14">
        <v>115.7</v>
      </c>
      <c r="G17" s="14">
        <v>96.2</v>
      </c>
      <c r="H17" s="14">
        <v>101.4</v>
      </c>
      <c r="I17" s="14">
        <v>102.2</v>
      </c>
      <c r="J17" s="14">
        <v>106.7</v>
      </c>
      <c r="K17" s="14">
        <v>108.9</v>
      </c>
      <c r="L17" s="14">
        <v>111.2</v>
      </c>
      <c r="M17" s="14">
        <v>113.2</v>
      </c>
      <c r="N17" s="14">
        <v>115.4</v>
      </c>
    </row>
    <row r="18" spans="1:15" x14ac:dyDescent="0.3">
      <c r="A18" t="s">
        <v>5</v>
      </c>
      <c r="B18">
        <v>127.2</v>
      </c>
      <c r="C18">
        <v>129.1</v>
      </c>
      <c r="D18">
        <v>130.9</v>
      </c>
      <c r="E18">
        <v>134.1</v>
      </c>
      <c r="F18">
        <v>136.6</v>
      </c>
      <c r="G18">
        <v>137.5</v>
      </c>
      <c r="H18">
        <v>143.9</v>
      </c>
      <c r="I18" s="14">
        <v>146.77800000000002</v>
      </c>
      <c r="J18" s="14">
        <v>149.71356000000003</v>
      </c>
      <c r="K18" s="14">
        <v>152.70783120000004</v>
      </c>
      <c r="L18" s="14">
        <v>155.76198782400004</v>
      </c>
      <c r="M18" s="14">
        <v>158.87722758048005</v>
      </c>
      <c r="N18" s="14">
        <v>162.05477213208965</v>
      </c>
    </row>
    <row r="20" spans="1:15" x14ac:dyDescent="0.3">
      <c r="B20">
        <v>2015</v>
      </c>
      <c r="C20">
        <f t="shared" ref="C20:N20" si="5">B20+1</f>
        <v>2016</v>
      </c>
      <c r="D20">
        <f t="shared" si="5"/>
        <v>2017</v>
      </c>
      <c r="E20">
        <f t="shared" si="5"/>
        <v>2018</v>
      </c>
      <c r="F20">
        <f t="shared" si="5"/>
        <v>2019</v>
      </c>
      <c r="G20">
        <f t="shared" si="5"/>
        <v>2020</v>
      </c>
      <c r="H20">
        <f t="shared" si="5"/>
        <v>2021</v>
      </c>
      <c r="I20">
        <f t="shared" si="5"/>
        <v>2022</v>
      </c>
      <c r="J20">
        <f t="shared" si="5"/>
        <v>2023</v>
      </c>
      <c r="K20">
        <f t="shared" si="5"/>
        <v>2024</v>
      </c>
      <c r="L20">
        <f t="shared" si="5"/>
        <v>2025</v>
      </c>
      <c r="M20">
        <f t="shared" si="5"/>
        <v>2026</v>
      </c>
      <c r="N20">
        <f t="shared" si="5"/>
        <v>2027</v>
      </c>
    </row>
    <row r="21" spans="1:15" x14ac:dyDescent="0.3">
      <c r="A21" t="s">
        <v>25</v>
      </c>
      <c r="B21" s="22">
        <f t="shared" ref="B21:N21" si="6">B4/B16</f>
        <v>0.23386929681751839</v>
      </c>
      <c r="C21" s="22">
        <f t="shared" si="6"/>
        <v>0.17052521693863354</v>
      </c>
      <c r="D21" s="22">
        <f t="shared" si="6"/>
        <v>0.14736104974464087</v>
      </c>
      <c r="E21" s="22">
        <f t="shared" si="6"/>
        <v>0.15851726201660002</v>
      </c>
      <c r="F21" s="22">
        <f t="shared" si="6"/>
        <v>0.17530696509358096</v>
      </c>
      <c r="G21" s="22">
        <f t="shared" si="6"/>
        <v>0.1754771400990027</v>
      </c>
      <c r="H21" s="22">
        <f t="shared" si="6"/>
        <v>0.18880147831792793</v>
      </c>
      <c r="I21" s="22">
        <f t="shared" si="6"/>
        <v>0.19027293324940653</v>
      </c>
      <c r="J21" s="22">
        <f t="shared" si="6"/>
        <v>0.1615892380149023</v>
      </c>
      <c r="K21" s="22">
        <f t="shared" si="6"/>
        <v>0.15755336905381051</v>
      </c>
      <c r="L21" s="22">
        <f t="shared" si="6"/>
        <v>0.15360410093431728</v>
      </c>
      <c r="M21" s="22">
        <f t="shared" si="6"/>
        <v>0.14974028214000193</v>
      </c>
      <c r="N21" s="22">
        <f t="shared" si="6"/>
        <v>0.14596073739513693</v>
      </c>
      <c r="O21" s="9">
        <f>SUM(J3:N3)/SUM(J15:N15)</f>
        <v>0.15333651388883479</v>
      </c>
    </row>
    <row r="22" spans="1:15" x14ac:dyDescent="0.3">
      <c r="A22" t="s">
        <v>26</v>
      </c>
      <c r="B22" s="23">
        <f>AVERAGE(C21:G21)</f>
        <v>0.16543752677849163</v>
      </c>
      <c r="J22" s="23">
        <f>AVERAGE(J21:N21)</f>
        <v>0.15368954550763378</v>
      </c>
    </row>
    <row r="23" spans="1:15" x14ac:dyDescent="0.3">
      <c r="A23" t="s">
        <v>27</v>
      </c>
      <c r="C23" s="22"/>
      <c r="D23" s="22"/>
      <c r="J23" s="25">
        <f>$B$22*J16</f>
        <v>22621244.290184751</v>
      </c>
      <c r="K23" s="25">
        <f>$B$22*K16</f>
        <v>23200707.776170209</v>
      </c>
      <c r="L23" s="25">
        <f>$B$22*L16</f>
        <v>23797214.305861115</v>
      </c>
      <c r="M23" s="25">
        <f>$B$22*M16</f>
        <v>24411265.238150775</v>
      </c>
      <c r="N23" s="25">
        <f>$B$22*N16</f>
        <v>25043376.474937521</v>
      </c>
      <c r="O23" t="s">
        <v>28</v>
      </c>
    </row>
    <row r="26" spans="1:15" x14ac:dyDescent="0.3">
      <c r="B26">
        <v>2016</v>
      </c>
      <c r="C26">
        <f t="shared" ref="C26:M26" si="7">B26+1</f>
        <v>2017</v>
      </c>
      <c r="D26">
        <f t="shared" si="7"/>
        <v>2018</v>
      </c>
      <c r="E26">
        <f t="shared" si="7"/>
        <v>2019</v>
      </c>
      <c r="F26">
        <f t="shared" si="7"/>
        <v>2020</v>
      </c>
      <c r="G26">
        <f t="shared" si="7"/>
        <v>2021</v>
      </c>
      <c r="H26">
        <f t="shared" si="7"/>
        <v>2022</v>
      </c>
      <c r="I26">
        <f t="shared" si="7"/>
        <v>2023</v>
      </c>
      <c r="J26">
        <f t="shared" si="7"/>
        <v>2024</v>
      </c>
      <c r="K26">
        <f t="shared" si="7"/>
        <v>2025</v>
      </c>
      <c r="L26">
        <f t="shared" si="7"/>
        <v>2026</v>
      </c>
      <c r="M26">
        <f t="shared" si="7"/>
        <v>2027</v>
      </c>
    </row>
    <row r="27" spans="1:15" x14ac:dyDescent="0.3">
      <c r="A27" t="s">
        <v>22</v>
      </c>
      <c r="B27" s="8">
        <f t="shared" ref="B27:M27" si="8">C4</f>
        <v>20207535.920216888</v>
      </c>
      <c r="C27" s="8">
        <f t="shared" si="8"/>
        <v>20564488.462948814</v>
      </c>
      <c r="D27" s="8">
        <f t="shared" si="8"/>
        <v>23010909.499627147</v>
      </c>
      <c r="E27" s="8">
        <f t="shared" si="8"/>
        <v>25567905.49487555</v>
      </c>
      <c r="F27" s="8">
        <f t="shared" si="8"/>
        <v>21860477.973818183</v>
      </c>
      <c r="G27" s="8">
        <f t="shared" si="8"/>
        <v>25491045</v>
      </c>
      <c r="H27" s="8">
        <f t="shared" si="8"/>
        <v>24923313.725490194</v>
      </c>
      <c r="I27" s="8">
        <f t="shared" si="8"/>
        <v>22095045.174932715</v>
      </c>
      <c r="J27" s="8">
        <f t="shared" si="8"/>
        <v>22095045.457629412</v>
      </c>
      <c r="K27" s="8">
        <f t="shared" si="8"/>
        <v>22095045.660875406</v>
      </c>
      <c r="L27" s="8">
        <f t="shared" si="8"/>
        <v>22095045.8782508</v>
      </c>
      <c r="M27" s="8">
        <f t="shared" si="8"/>
        <v>22095045.594099957</v>
      </c>
    </row>
    <row r="28" spans="1:15" x14ac:dyDescent="0.3">
      <c r="A28" t="s">
        <v>29</v>
      </c>
      <c r="I28" s="25">
        <f>J23</f>
        <v>22621244.290184751</v>
      </c>
      <c r="J28" s="25">
        <f t="shared" ref="J28:M28" si="9">K23</f>
        <v>23200707.776170209</v>
      </c>
      <c r="K28" s="25">
        <f t="shared" si="9"/>
        <v>23797214.305861115</v>
      </c>
      <c r="L28" s="25">
        <f t="shared" si="9"/>
        <v>24411265.238150775</v>
      </c>
      <c r="M28" s="25">
        <f t="shared" si="9"/>
        <v>25043376.474937521</v>
      </c>
    </row>
    <row r="32" spans="1:15" x14ac:dyDescent="0.3">
      <c r="A32" s="27" t="s">
        <v>32</v>
      </c>
    </row>
  </sheetData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C5311-D907-4757-8F33-F0E07C726CC6}">
  <dimension ref="A1:CM34"/>
  <sheetViews>
    <sheetView zoomScale="80" zoomScaleNormal="80" workbookViewId="0">
      <selection activeCell="J14" sqref="J14"/>
    </sheetView>
  </sheetViews>
  <sheetFormatPr defaultRowHeight="14.4" x14ac:dyDescent="0.3"/>
  <cols>
    <col min="2" max="2" width="29.33203125" customWidth="1"/>
    <col min="3" max="3" width="16.77734375" customWidth="1"/>
    <col min="4" max="4" width="14.77734375" customWidth="1"/>
    <col min="5" max="5" width="14.6640625" customWidth="1"/>
    <col min="6" max="6" width="20.109375" customWidth="1"/>
    <col min="7" max="7" width="14.6640625" customWidth="1"/>
    <col min="8" max="9" width="10.21875" customWidth="1"/>
    <col min="10" max="10" width="18.33203125" customWidth="1"/>
    <col min="11" max="11" width="15.44140625" customWidth="1"/>
    <col min="12" max="12" width="12.6640625" customWidth="1"/>
    <col min="13" max="13" width="15.6640625" customWidth="1"/>
    <col min="14" max="14" width="15.44140625" customWidth="1"/>
    <col min="15" max="15" width="15.33203125" customWidth="1"/>
    <col min="16" max="16" width="16.21875" customWidth="1"/>
    <col min="17" max="17" width="13.5546875" customWidth="1"/>
    <col min="18" max="18" width="18.77734375" customWidth="1"/>
    <col min="19" max="19" width="14.77734375" customWidth="1"/>
    <col min="20" max="20" width="8.88671875" customWidth="1"/>
  </cols>
  <sheetData>
    <row r="1" spans="1:91" ht="42.6" customHeight="1" x14ac:dyDescent="0.3">
      <c r="A1" s="28" t="s">
        <v>33</v>
      </c>
      <c r="B1" s="29" t="s">
        <v>34</v>
      </c>
      <c r="C1" s="29" t="s">
        <v>36</v>
      </c>
      <c r="D1" s="30" t="s">
        <v>37</v>
      </c>
      <c r="E1" s="44"/>
      <c r="F1" s="44"/>
      <c r="G1" s="44"/>
      <c r="H1" s="44"/>
      <c r="I1" s="44"/>
      <c r="J1" s="44"/>
      <c r="K1" s="44"/>
      <c r="L1" s="45"/>
      <c r="M1" s="44"/>
      <c r="N1" s="44"/>
      <c r="O1" s="44"/>
      <c r="P1" s="44"/>
      <c r="Q1" s="46"/>
      <c r="R1" s="46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</row>
    <row r="2" spans="1:91" s="31" customFormat="1" x14ac:dyDescent="0.3">
      <c r="A2" s="31" t="s">
        <v>38</v>
      </c>
      <c r="B2" s="31" t="s">
        <v>39</v>
      </c>
      <c r="C2" s="52">
        <v>5112191</v>
      </c>
      <c r="D2" s="53">
        <f>21150161+405697+9191970</f>
        <v>30747828</v>
      </c>
      <c r="E2" s="47"/>
      <c r="F2" s="47"/>
      <c r="G2" s="48"/>
      <c r="H2" s="45"/>
      <c r="I2" s="49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</row>
    <row r="3" spans="1:91" s="31" customFormat="1" x14ac:dyDescent="0.3">
      <c r="A3" s="31" t="s">
        <v>40</v>
      </c>
      <c r="B3" s="31" t="s">
        <v>41</v>
      </c>
      <c r="C3" s="52">
        <v>6972300</v>
      </c>
      <c r="D3" s="53">
        <v>28120000</v>
      </c>
      <c r="E3" s="47"/>
      <c r="F3" s="47"/>
      <c r="G3" s="48"/>
      <c r="H3" s="45"/>
      <c r="I3" s="49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</row>
    <row r="4" spans="1:91" s="31" customFormat="1" x14ac:dyDescent="0.3">
      <c r="A4" s="31" t="s">
        <v>40</v>
      </c>
      <c r="B4" s="31" t="s">
        <v>42</v>
      </c>
      <c r="C4" s="52">
        <f>4057609+7349937</f>
        <v>11407546</v>
      </c>
      <c r="D4" s="53">
        <f>33158283+13720495+1438694</f>
        <v>48317472</v>
      </c>
      <c r="E4" s="47"/>
      <c r="F4" s="47"/>
      <c r="G4" s="48"/>
      <c r="H4" s="45"/>
      <c r="I4" s="49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</row>
    <row r="5" spans="1:91" s="31" customFormat="1" x14ac:dyDescent="0.3">
      <c r="A5" s="31" t="s">
        <v>43</v>
      </c>
      <c r="B5" s="31" t="s">
        <v>44</v>
      </c>
      <c r="C5" s="53">
        <v>11181028</v>
      </c>
      <c r="D5" s="53">
        <v>57561418</v>
      </c>
      <c r="E5" s="50"/>
      <c r="F5" s="50"/>
      <c r="G5" s="48"/>
      <c r="H5" s="45"/>
      <c r="I5" s="49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</row>
    <row r="6" spans="1:91" s="31" customFormat="1" x14ac:dyDescent="0.3">
      <c r="A6" s="31" t="s">
        <v>43</v>
      </c>
      <c r="B6" s="31" t="s">
        <v>45</v>
      </c>
      <c r="C6" s="53">
        <v>36681252</v>
      </c>
      <c r="D6" s="53">
        <v>144291900</v>
      </c>
      <c r="E6" s="50"/>
      <c r="F6" s="50"/>
      <c r="G6" s="48"/>
      <c r="H6" s="45"/>
      <c r="I6" s="49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</row>
    <row r="7" spans="1:91" s="31" customFormat="1" x14ac:dyDescent="0.3">
      <c r="A7" s="31" t="s">
        <v>46</v>
      </c>
      <c r="B7" s="31" t="s">
        <v>47</v>
      </c>
      <c r="C7" s="53">
        <v>6919900</v>
      </c>
      <c r="D7" s="53">
        <f>6919900+13821200+8860600</f>
        <v>29601700</v>
      </c>
      <c r="E7" s="50"/>
      <c r="F7" s="50"/>
      <c r="G7" s="48"/>
      <c r="H7" s="45"/>
      <c r="I7" s="49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</row>
    <row r="8" spans="1:91" x14ac:dyDescent="0.3">
      <c r="A8" s="31" t="s">
        <v>72</v>
      </c>
      <c r="B8" s="31" t="s">
        <v>58</v>
      </c>
      <c r="C8" s="53">
        <v>24270854</v>
      </c>
      <c r="D8" s="53">
        <v>127401082</v>
      </c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</row>
    <row r="10" spans="1:91" x14ac:dyDescent="0.3">
      <c r="B10" t="s">
        <v>73</v>
      </c>
    </row>
    <row r="11" spans="1:91" ht="42.6" customHeight="1" x14ac:dyDescent="0.3">
      <c r="B11" s="33" t="s">
        <v>34</v>
      </c>
      <c r="C11" s="2" t="s">
        <v>48</v>
      </c>
      <c r="D11" s="32" t="s">
        <v>49</v>
      </c>
    </row>
    <row r="12" spans="1:91" x14ac:dyDescent="0.3">
      <c r="B12" s="4" t="s">
        <v>51</v>
      </c>
      <c r="C12" s="34" t="s">
        <v>50</v>
      </c>
      <c r="D12" s="35">
        <f t="shared" ref="D12:D18" si="0">C2/D2</f>
        <v>0.1662618575855179</v>
      </c>
    </row>
    <row r="13" spans="1:91" x14ac:dyDescent="0.3">
      <c r="B13" s="4" t="s">
        <v>52</v>
      </c>
      <c r="C13" s="34" t="s">
        <v>53</v>
      </c>
      <c r="D13" s="35">
        <f t="shared" si="0"/>
        <v>0.24794807965860596</v>
      </c>
    </row>
    <row r="14" spans="1:91" x14ac:dyDescent="0.3">
      <c r="B14" s="4" t="s">
        <v>42</v>
      </c>
      <c r="C14" s="34" t="s">
        <v>53</v>
      </c>
      <c r="D14" s="35">
        <f t="shared" si="0"/>
        <v>0.23609567156162475</v>
      </c>
    </row>
    <row r="15" spans="1:91" x14ac:dyDescent="0.3">
      <c r="B15" s="4" t="s">
        <v>54</v>
      </c>
      <c r="C15" s="34" t="s">
        <v>55</v>
      </c>
      <c r="D15" s="35">
        <f t="shared" si="0"/>
        <v>0.19424517999191751</v>
      </c>
    </row>
    <row r="16" spans="1:91" x14ac:dyDescent="0.3">
      <c r="B16" s="4" t="s">
        <v>56</v>
      </c>
      <c r="C16" s="34" t="s">
        <v>55</v>
      </c>
      <c r="D16" s="35">
        <f t="shared" si="0"/>
        <v>0.2542156004599011</v>
      </c>
    </row>
    <row r="17" spans="1:16" x14ac:dyDescent="0.3">
      <c r="B17" s="4" t="s">
        <v>56</v>
      </c>
      <c r="C17" s="34" t="s">
        <v>57</v>
      </c>
      <c r="D17" s="35">
        <f t="shared" si="0"/>
        <v>0.23376697959914464</v>
      </c>
    </row>
    <row r="18" spans="1:16" x14ac:dyDescent="0.3">
      <c r="B18" s="4" t="s">
        <v>58</v>
      </c>
      <c r="C18" s="34" t="s">
        <v>59</v>
      </c>
      <c r="D18" s="35">
        <f t="shared" si="0"/>
        <v>0.19050744011734533</v>
      </c>
    </row>
    <row r="19" spans="1:16" x14ac:dyDescent="0.3">
      <c r="E19" s="26"/>
    </row>
    <row r="20" spans="1:16" x14ac:dyDescent="0.3">
      <c r="E20" s="7"/>
    </row>
    <row r="23" spans="1:16" x14ac:dyDescent="0.3">
      <c r="A23" s="56" t="s">
        <v>30</v>
      </c>
      <c r="B23" s="56"/>
      <c r="C23" s="56"/>
      <c r="D23" s="56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2"/>
      <c r="P23" s="43"/>
    </row>
    <row r="24" spans="1:16" ht="43.2" x14ac:dyDescent="0.3">
      <c r="A24" s="36" t="s">
        <v>33</v>
      </c>
      <c r="B24" s="36" t="s">
        <v>34</v>
      </c>
      <c r="C24" s="36" t="s">
        <v>35</v>
      </c>
      <c r="D24" s="36" t="s">
        <v>36</v>
      </c>
    </row>
    <row r="25" spans="1:16" x14ac:dyDescent="0.3">
      <c r="A25" s="37" t="s">
        <v>38</v>
      </c>
      <c r="B25" s="38" t="s">
        <v>60</v>
      </c>
      <c r="C25" s="39" t="s">
        <v>61</v>
      </c>
      <c r="D25" s="39" t="s">
        <v>61</v>
      </c>
    </row>
    <row r="26" spans="1:16" x14ac:dyDescent="0.3">
      <c r="A26" s="37" t="s">
        <v>40</v>
      </c>
      <c r="B26" s="38" t="s">
        <v>62</v>
      </c>
      <c r="C26" s="39" t="s">
        <v>63</v>
      </c>
      <c r="D26" s="39" t="s">
        <v>63</v>
      </c>
    </row>
    <row r="27" spans="1:16" x14ac:dyDescent="0.3">
      <c r="A27" s="37" t="s">
        <v>40</v>
      </c>
      <c r="B27" s="38" t="s">
        <v>64</v>
      </c>
      <c r="C27" s="55" t="s">
        <v>65</v>
      </c>
      <c r="D27" s="55"/>
    </row>
    <row r="28" spans="1:16" ht="14.4" customHeight="1" x14ac:dyDescent="0.3">
      <c r="A28" s="37" t="s">
        <v>43</v>
      </c>
      <c r="B28" s="38" t="s">
        <v>66</v>
      </c>
      <c r="C28" s="40" t="s">
        <v>67</v>
      </c>
      <c r="D28" s="40" t="s">
        <v>67</v>
      </c>
    </row>
    <row r="29" spans="1:16" x14ac:dyDescent="0.3">
      <c r="A29" s="37" t="s">
        <v>43</v>
      </c>
      <c r="B29" s="38" t="s">
        <v>68</v>
      </c>
      <c r="C29" s="40" t="s">
        <v>67</v>
      </c>
      <c r="D29" s="40" t="s">
        <v>67</v>
      </c>
    </row>
    <row r="30" spans="1:16" x14ac:dyDescent="0.3">
      <c r="A30" s="37" t="s">
        <v>43</v>
      </c>
      <c r="B30" s="38" t="s">
        <v>69</v>
      </c>
      <c r="C30" s="40" t="s">
        <v>67</v>
      </c>
      <c r="D30" s="40" t="s">
        <v>67</v>
      </c>
    </row>
    <row r="31" spans="1:16" x14ac:dyDescent="0.3">
      <c r="A31" s="37" t="s">
        <v>43</v>
      </c>
      <c r="B31" s="38" t="s">
        <v>56</v>
      </c>
      <c r="C31" s="40" t="s">
        <v>67</v>
      </c>
      <c r="D31" s="40" t="s">
        <v>67</v>
      </c>
    </row>
    <row r="32" spans="1:16" x14ac:dyDescent="0.3">
      <c r="A32" s="37" t="s">
        <v>46</v>
      </c>
      <c r="B32" s="38" t="s">
        <v>70</v>
      </c>
      <c r="C32" s="55" t="s">
        <v>71</v>
      </c>
      <c r="D32" s="55"/>
    </row>
    <row r="33" spans="1:4" x14ac:dyDescent="0.3">
      <c r="A33" s="37" t="s">
        <v>74</v>
      </c>
      <c r="B33" s="38" t="s">
        <v>58</v>
      </c>
      <c r="C33" s="38" t="s">
        <v>21</v>
      </c>
      <c r="D33" s="38" t="s">
        <v>75</v>
      </c>
    </row>
    <row r="34" spans="1:4" x14ac:dyDescent="0.3">
      <c r="A34" s="37"/>
      <c r="B34" s="38"/>
      <c r="C34" s="38"/>
      <c r="D34" s="38"/>
    </row>
  </sheetData>
  <mergeCells count="3">
    <mergeCell ref="C32:D32"/>
    <mergeCell ref="A23:D23"/>
    <mergeCell ref="C27:D27"/>
  </mergeCells>
  <hyperlinks>
    <hyperlink ref="C28" r:id="rId1" xr:uid="{632A3F05-6083-46E1-9349-75E48A90DE49}"/>
    <hyperlink ref="C32" r:id="rId2" xr:uid="{CA396A72-7272-4F2A-8ADE-E8850658116B}"/>
    <hyperlink ref="C25" r:id="rId3" xr:uid="{84420819-DB28-4B57-AF07-F68F47A07450}"/>
    <hyperlink ref="D25" r:id="rId4" xr:uid="{0AC2007E-BB98-4D74-934C-328707060658}"/>
    <hyperlink ref="C26" r:id="rId5" xr:uid="{D3EC7042-CA49-4456-B7E5-4A1980CB9245}"/>
    <hyperlink ref="D26" r:id="rId6" xr:uid="{26C156CA-59BE-4742-AD66-96EEA3B5911C}"/>
    <hyperlink ref="C29" r:id="rId7" xr:uid="{34CB5B13-1D46-4116-B974-E8456ED2B69A}"/>
    <hyperlink ref="C30" r:id="rId8" xr:uid="{3B14D240-4B97-4BB6-9824-9F3773AA5C2E}"/>
    <hyperlink ref="C31" r:id="rId9" xr:uid="{1E8FB3EF-AF1C-40C6-84C3-4F0F81B90F64}"/>
    <hyperlink ref="D31" r:id="rId10" xr:uid="{053FF585-065F-4363-AA8C-1236516F283C}"/>
    <hyperlink ref="D30" r:id="rId11" xr:uid="{14053820-BCB7-4F67-A026-9DF945CC1D75}"/>
    <hyperlink ref="D29" r:id="rId12" xr:uid="{38F1BEE7-C5E1-4903-B8B5-607844B61D4D}"/>
    <hyperlink ref="D28" r:id="rId13" xr:uid="{0949B31B-51AB-452E-8401-96B7E154C286}"/>
  </hyperlinks>
  <pageMargins left="0.7" right="0.7" top="0.75" bottom="0.75" header="0.3" footer="0.3"/>
  <pageSetup orientation="portrait" r:id="rId1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58427FD0CC4444B87AB1CF5C8D52EB" ma:contentTypeVersion="13" ma:contentTypeDescription="Create a new document." ma:contentTypeScope="" ma:versionID="4ab785188ee20def7303332e8c7fd2a0">
  <xsd:schema xmlns:xsd="http://www.w3.org/2001/XMLSchema" xmlns:xs="http://www.w3.org/2001/XMLSchema" xmlns:p="http://schemas.microsoft.com/office/2006/metadata/properties" xmlns:ns2="173c2605-4b7d-457e-8dba-1d57dca954fb" xmlns:ns3="2546f5b2-04f2-4a0e-9993-466f4f9aad71" targetNamespace="http://schemas.microsoft.com/office/2006/metadata/properties" ma:root="true" ma:fieldsID="8eda87d1bccf0c863aad46c73ed8b7c0" ns2:_="" ns3:_="">
    <xsd:import namespace="173c2605-4b7d-457e-8dba-1d57dca954fb"/>
    <xsd:import namespace="2546f5b2-04f2-4a0e-9993-466f4f9aad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3c2605-4b7d-457e-8dba-1d57dca954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6f5b2-04f2-4a0e-9993-466f4f9aad7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CE4562-98D0-4E87-9BD1-65AF593EA7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3c2605-4b7d-457e-8dba-1d57dca954fb"/>
    <ds:schemaRef ds:uri="2546f5b2-04f2-4a0e-9993-466f4f9aad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47E275-58B7-4052-A220-D152296CE2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337691-F0BB-4256-9A0E-1069974EAD3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VECC 1&amp;2</vt:lpstr>
      <vt:lpstr>VECC 3</vt:lpstr>
      <vt:lpstr>VECC 5</vt:lpstr>
      <vt:lpstr>VECC 6</vt:lpstr>
      <vt:lpstr>'VECC 1&amp;2'!_ftn1</vt:lpstr>
      <vt:lpstr>'VECC 1&amp;2'!_ftnref1</vt:lpstr>
      <vt:lpstr>'VECC 1&amp;2'!_Ref88585915</vt:lpstr>
      <vt:lpstr>'VECC 3'!_Ref88644157</vt:lpstr>
      <vt:lpstr>'VECC 6'!_Ref88671261</vt:lpstr>
      <vt:lpstr>'VECC 5'!_Ref89104139</vt:lpstr>
      <vt:lpstr>'VECC 1&amp;2'!_Ref89350848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Stacy Sherwood</dc:creator>
  <cp:lastModifiedBy>Stacy Sherwood</cp:lastModifiedBy>
  <dcterms:created xsi:type="dcterms:W3CDTF">2022-01-16T17:54:42Z</dcterms:created>
  <dcterms:modified xsi:type="dcterms:W3CDTF">2022-01-18T15:02:48Z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0x010100A558427FD0CC4444B87AB1CF5C8D52EB</vt:lpwstr>
  </property>
</Properties>
</file>